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ПЗ" sheetId="8" r:id="rId1"/>
    <sheet name="Протокол" sheetId="7" r:id="rId2"/>
    <sheet name="НМЦ" sheetId="6" r:id="rId3"/>
    <sheet name="Проект сметы контракта" sheetId="5" r:id="rId4"/>
    <sheet name="ВОР" sheetId="4" r:id="rId5"/>
    <sheet name="НМЦК" sheetId="3" r:id="rId6"/>
    <sheet name="ССРСС 4 кв. 2022" sheetId="1" r:id="rId7"/>
  </sheets>
  <externalReferences>
    <externalReference r:id="rId8"/>
  </externalReferenc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D79" i="3"/>
  <c r="F77" i="3"/>
  <c r="F81" i="3" s="1"/>
  <c r="D77" i="3"/>
  <c r="F73" i="3"/>
  <c r="F74" i="3" s="1"/>
  <c r="A7" i="7"/>
  <c r="F75" i="3" l="1"/>
  <c r="F80" i="3"/>
  <c r="F82" i="3" s="1"/>
  <c r="C80" i="3"/>
  <c r="C81" i="3"/>
  <c r="C82" i="3" l="1"/>
  <c r="F62" i="3"/>
  <c r="A63" i="3"/>
  <c r="C7" i="6" l="1"/>
  <c r="C6" i="6"/>
  <c r="C5" i="6" l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J33" i="3"/>
  <c r="J31" i="3"/>
  <c r="J30" i="3"/>
  <c r="K30" i="3" s="1"/>
  <c r="J29" i="3"/>
  <c r="K29" i="3" s="1"/>
  <c r="J27" i="3"/>
  <c r="K27" i="3" s="1"/>
  <c r="J26" i="3"/>
  <c r="J25" i="3"/>
  <c r="J24" i="3"/>
  <c r="J23" i="3"/>
  <c r="J22" i="3"/>
  <c r="J21" i="3"/>
  <c r="K21" i="3" s="1"/>
  <c r="J20" i="3"/>
  <c r="K20" i="3" s="1"/>
  <c r="J19" i="3"/>
  <c r="K19" i="3" s="1"/>
  <c r="J18" i="3"/>
  <c r="J16" i="3"/>
  <c r="K16" i="3" s="1"/>
  <c r="J15" i="3"/>
  <c r="K15" i="3" s="1"/>
  <c r="I43" i="3"/>
  <c r="I14" i="3"/>
  <c r="I42" i="3"/>
  <c r="G41" i="3"/>
  <c r="H41" i="3" s="1"/>
  <c r="I41" i="3" s="1"/>
  <c r="I40" i="3"/>
  <c r="H40" i="3"/>
  <c r="G40" i="3"/>
  <c r="I39" i="3"/>
  <c r="H39" i="3"/>
  <c r="G39" i="3"/>
  <c r="G38" i="3"/>
  <c r="H38" i="3" s="1"/>
  <c r="I38" i="3" s="1"/>
  <c r="H36" i="3"/>
  <c r="I36" i="3" s="1"/>
  <c r="G36" i="3"/>
  <c r="E32" i="3"/>
  <c r="D32" i="3"/>
  <c r="H35" i="3"/>
  <c r="I35" i="3" s="1"/>
  <c r="G35" i="3"/>
  <c r="H34" i="3"/>
  <c r="I34" i="3" s="1"/>
  <c r="I32" i="3" s="1"/>
  <c r="G34" i="3"/>
  <c r="H33" i="3"/>
  <c r="I33" i="3" s="1"/>
  <c r="G33" i="3"/>
  <c r="G32" i="3" s="1"/>
  <c r="D33" i="3"/>
  <c r="H31" i="3"/>
  <c r="I31" i="3" s="1"/>
  <c r="G31" i="3"/>
  <c r="D31" i="3"/>
  <c r="E28" i="3"/>
  <c r="D28" i="3"/>
  <c r="H30" i="3"/>
  <c r="I30" i="3" s="1"/>
  <c r="I28" i="3" s="1"/>
  <c r="G30" i="3"/>
  <c r="D30" i="3"/>
  <c r="H29" i="3"/>
  <c r="I29" i="3" s="1"/>
  <c r="G29" i="3"/>
  <c r="G28" i="3" s="1"/>
  <c r="D29" i="3"/>
  <c r="E17" i="3"/>
  <c r="D17" i="3"/>
  <c r="H27" i="3"/>
  <c r="I27" i="3" s="1"/>
  <c r="G27" i="3"/>
  <c r="H26" i="3"/>
  <c r="I26" i="3" s="1"/>
  <c r="G26" i="3"/>
  <c r="E26" i="3"/>
  <c r="D26" i="3"/>
  <c r="H25" i="3"/>
  <c r="I25" i="3" s="1"/>
  <c r="G25" i="3"/>
  <c r="D25" i="3"/>
  <c r="I24" i="3"/>
  <c r="H24" i="3"/>
  <c r="G24" i="3"/>
  <c r="D24" i="3"/>
  <c r="H23" i="3"/>
  <c r="I23" i="3" s="1"/>
  <c r="G23" i="3"/>
  <c r="E23" i="3"/>
  <c r="D23" i="3"/>
  <c r="H22" i="3"/>
  <c r="I22" i="3" s="1"/>
  <c r="G22" i="3"/>
  <c r="E22" i="3"/>
  <c r="D22" i="3"/>
  <c r="H21" i="3"/>
  <c r="I21" i="3" s="1"/>
  <c r="G21" i="3"/>
  <c r="H20" i="3"/>
  <c r="I20" i="3" s="1"/>
  <c r="G20" i="3"/>
  <c r="D20" i="3"/>
  <c r="H19" i="3"/>
  <c r="I19" i="3" s="1"/>
  <c r="G19" i="3"/>
  <c r="H18" i="3"/>
  <c r="I18" i="3" s="1"/>
  <c r="G18" i="3"/>
  <c r="G17" i="3" s="1"/>
  <c r="D18" i="3"/>
  <c r="I13" i="3"/>
  <c r="I11" i="3" s="1"/>
  <c r="K28" i="3" l="1"/>
  <c r="K23" i="3"/>
  <c r="K24" i="3"/>
  <c r="K25" i="3"/>
  <c r="K34" i="3"/>
  <c r="K22" i="3"/>
  <c r="K33" i="3"/>
  <c r="K18" i="3"/>
  <c r="K26" i="3"/>
  <c r="K31" i="3"/>
  <c r="I17" i="3"/>
  <c r="H17" i="3"/>
  <c r="H32" i="3"/>
  <c r="H28" i="3"/>
  <c r="K32" i="3" l="1"/>
  <c r="K17" i="3"/>
  <c r="G37" i="3"/>
  <c r="H37" i="3" s="1"/>
  <c r="I37" i="3" s="1"/>
  <c r="G16" i="3"/>
  <c r="H16" i="3" s="1"/>
  <c r="I16" i="3" s="1"/>
  <c r="F15" i="3"/>
  <c r="G15" i="3" s="1"/>
  <c r="H15" i="3" s="1"/>
  <c r="I15" i="3" s="1"/>
  <c r="H87" i="1"/>
  <c r="D58" i="3" l="1"/>
  <c r="F95" i="3" l="1"/>
  <c r="D95" i="3"/>
  <c r="F93" i="3"/>
  <c r="D93" i="3"/>
  <c r="F89" i="3"/>
  <c r="F90" i="3" s="1"/>
  <c r="O58" i="3"/>
  <c r="N58" i="3"/>
  <c r="M58" i="3"/>
  <c r="L58" i="3"/>
  <c r="K58" i="3"/>
  <c r="J58" i="3"/>
  <c r="I58" i="3"/>
  <c r="H58" i="3"/>
  <c r="G58" i="3"/>
  <c r="F58" i="3"/>
  <c r="E58" i="3"/>
  <c r="F97" i="3" l="1"/>
  <c r="I44" i="3"/>
  <c r="F96" i="3"/>
  <c r="F91" i="3"/>
  <c r="C96" i="3"/>
  <c r="C97" i="3"/>
  <c r="J42" i="3" l="1"/>
  <c r="K42" i="3" s="1"/>
  <c r="K14" i="3" s="1"/>
  <c r="J13" i="3"/>
  <c r="K13" i="3" s="1"/>
  <c r="J12" i="3"/>
  <c r="K12" i="3" s="1"/>
  <c r="K11" i="3" s="1"/>
  <c r="M47" i="3"/>
  <c r="L13" i="3"/>
  <c r="M13" i="3" s="1"/>
  <c r="L12" i="3"/>
  <c r="I45" i="3"/>
  <c r="F98" i="3"/>
  <c r="C98" i="3"/>
  <c r="L42" i="3" l="1"/>
  <c r="M42" i="3" s="1"/>
  <c r="L41" i="3"/>
  <c r="M41" i="3" s="1"/>
  <c r="E38" i="5" s="1"/>
  <c r="F38" i="5" s="1"/>
  <c r="L33" i="3"/>
  <c r="L23" i="3"/>
  <c r="L39" i="3"/>
  <c r="M39" i="3" s="1"/>
  <c r="E36" i="5" s="1"/>
  <c r="F36" i="5" s="1"/>
  <c r="L30" i="3"/>
  <c r="L38" i="3"/>
  <c r="M38" i="3" s="1"/>
  <c r="E35" i="5" s="1"/>
  <c r="F35" i="5" s="1"/>
  <c r="L35" i="3"/>
  <c r="M35" i="3" s="1"/>
  <c r="E32" i="5" s="1"/>
  <c r="F32" i="5" s="1"/>
  <c r="L16" i="3"/>
  <c r="M16" i="3" s="1"/>
  <c r="E13" i="5" s="1"/>
  <c r="F13" i="5" s="1"/>
  <c r="L24" i="3"/>
  <c r="L40" i="3"/>
  <c r="M40" i="3" s="1"/>
  <c r="E37" i="5" s="1"/>
  <c r="F37" i="5" s="1"/>
  <c r="L31" i="3"/>
  <c r="L22" i="3"/>
  <c r="M22" i="3" s="1"/>
  <c r="L21" i="3"/>
  <c r="L29" i="3"/>
  <c r="M29" i="3" s="1"/>
  <c r="L20" i="3"/>
  <c r="M20" i="3" s="1"/>
  <c r="E17" i="5" s="1"/>
  <c r="F17" i="5" s="1"/>
  <c r="L25" i="3"/>
  <c r="L34" i="3"/>
  <c r="L15" i="3"/>
  <c r="M15" i="3" s="1"/>
  <c r="E12" i="5" s="1"/>
  <c r="F12" i="5" s="1"/>
  <c r="L37" i="3"/>
  <c r="L27" i="3"/>
  <c r="M27" i="3" s="1"/>
  <c r="E24" i="5" s="1"/>
  <c r="F24" i="5" s="1"/>
  <c r="L19" i="3"/>
  <c r="M19" i="3" s="1"/>
  <c r="E16" i="5" s="1"/>
  <c r="F16" i="5" s="1"/>
  <c r="L36" i="3"/>
  <c r="M36" i="3" s="1"/>
  <c r="E33" i="5" s="1"/>
  <c r="F33" i="5" s="1"/>
  <c r="L26" i="3"/>
  <c r="L18" i="3"/>
  <c r="E10" i="5"/>
  <c r="F10" i="5" s="1"/>
  <c r="C14" i="6" s="1"/>
  <c r="M48" i="3"/>
  <c r="K43" i="3"/>
  <c r="K44" i="3" s="1"/>
  <c r="K45" i="3" s="1"/>
  <c r="M12" i="3"/>
  <c r="E9" i="5" s="1"/>
  <c r="M21" i="3" l="1"/>
  <c r="E18" i="5" s="1"/>
  <c r="F18" i="5" s="1"/>
  <c r="M37" i="3"/>
  <c r="E34" i="5" s="1"/>
  <c r="F34" i="5" s="1"/>
  <c r="G27" i="5"/>
  <c r="M30" i="3"/>
  <c r="E27" i="5" s="1"/>
  <c r="F27" i="5" s="1"/>
  <c r="G19" i="5"/>
  <c r="H19" i="5" s="1"/>
  <c r="E19" i="5"/>
  <c r="F19" i="5" s="1"/>
  <c r="G23" i="5"/>
  <c r="H23" i="5" s="1"/>
  <c r="M26" i="3"/>
  <c r="E23" i="5" s="1"/>
  <c r="F23" i="5" s="1"/>
  <c r="G28" i="5"/>
  <c r="H28" i="5" s="1"/>
  <c r="M31" i="3"/>
  <c r="E28" i="5" s="1"/>
  <c r="F28" i="5" s="1"/>
  <c r="G20" i="5"/>
  <c r="H20" i="5" s="1"/>
  <c r="M23" i="3"/>
  <c r="E20" i="5" s="1"/>
  <c r="F20" i="5" s="1"/>
  <c r="E26" i="5"/>
  <c r="M28" i="3"/>
  <c r="G30" i="5"/>
  <c r="M33" i="3"/>
  <c r="G31" i="5"/>
  <c r="H31" i="5" s="1"/>
  <c r="M34" i="3"/>
  <c r="E31" i="5" s="1"/>
  <c r="F31" i="5" s="1"/>
  <c r="G21" i="5"/>
  <c r="H21" i="5" s="1"/>
  <c r="M24" i="3"/>
  <c r="E21" i="5" s="1"/>
  <c r="F21" i="5" s="1"/>
  <c r="G15" i="5"/>
  <c r="M18" i="3"/>
  <c r="G22" i="5"/>
  <c r="H22" i="5" s="1"/>
  <c r="M25" i="3"/>
  <c r="E22" i="5" s="1"/>
  <c r="F22" i="5" s="1"/>
  <c r="E8" i="5"/>
  <c r="F9" i="5"/>
  <c r="F8" i="5" s="1"/>
  <c r="C12" i="6" s="1"/>
  <c r="D14" i="6"/>
  <c r="E14" i="6" s="1"/>
  <c r="E39" i="5"/>
  <c r="M11" i="3"/>
  <c r="G29" i="5" l="1"/>
  <c r="H30" i="5"/>
  <c r="H29" i="5" s="1"/>
  <c r="M32" i="3"/>
  <c r="E30" i="5"/>
  <c r="E25" i="5"/>
  <c r="F26" i="5"/>
  <c r="F25" i="5" s="1"/>
  <c r="G14" i="5"/>
  <c r="H15" i="5"/>
  <c r="H14" i="5" s="1"/>
  <c r="E15" i="5"/>
  <c r="M17" i="3"/>
  <c r="H27" i="5"/>
  <c r="H25" i="5" s="1"/>
  <c r="G25" i="5"/>
  <c r="C15" i="6"/>
  <c r="D12" i="6"/>
  <c r="F39" i="5"/>
  <c r="M14" i="3" l="1"/>
  <c r="C20" i="6" s="1"/>
  <c r="D20" i="6" s="1"/>
  <c r="E20" i="6" s="1"/>
  <c r="G39" i="5"/>
  <c r="H39" i="5" s="1"/>
  <c r="G11" i="5"/>
  <c r="G40" i="5" s="1"/>
  <c r="G41" i="5" s="1"/>
  <c r="G42" i="5" s="1"/>
  <c r="H11" i="5"/>
  <c r="F30" i="5"/>
  <c r="F29" i="5" s="1"/>
  <c r="E29" i="5"/>
  <c r="F15" i="5"/>
  <c r="F14" i="5" s="1"/>
  <c r="E14" i="5"/>
  <c r="E11" i="5" s="1"/>
  <c r="E40" i="5" s="1"/>
  <c r="E41" i="5" s="1"/>
  <c r="F41" i="5" s="1"/>
  <c r="D15" i="6"/>
  <c r="E15" i="6" s="1"/>
  <c r="C19" i="6"/>
  <c r="E12" i="6"/>
  <c r="F11" i="5" l="1"/>
  <c r="C16" i="6" s="1"/>
  <c r="C21" i="6" s="1"/>
  <c r="M43" i="3"/>
  <c r="M44" i="3" s="1"/>
  <c r="M45" i="3" s="1"/>
  <c r="C25" i="6"/>
  <c r="D25" i="6" s="1"/>
  <c r="E25" i="6" s="1"/>
  <c r="C18" i="6"/>
  <c r="H40" i="5"/>
  <c r="H41" i="5" s="1"/>
  <c r="H42" i="5" s="1"/>
  <c r="E42" i="5"/>
  <c r="F42" i="5" s="1"/>
  <c r="F40" i="5"/>
  <c r="D19" i="6"/>
  <c r="E19" i="6" s="1"/>
  <c r="C24" i="6"/>
  <c r="D24" i="6" s="1"/>
  <c r="E24" i="6" s="1"/>
  <c r="D16" i="6" l="1"/>
  <c r="C23" i="6"/>
  <c r="D23" i="6" s="1"/>
  <c r="E23" i="6" s="1"/>
  <c r="D18" i="6"/>
  <c r="E18" i="6" s="1"/>
  <c r="E16" i="6"/>
  <c r="E21" i="6" s="1"/>
  <c r="D21" i="6"/>
  <c r="B17" i="8" l="1"/>
  <c r="G6" i="7"/>
</calcChain>
</file>

<file path=xl/sharedStrings.xml><?xml version="1.0" encoding="utf-8"?>
<sst xmlns="http://schemas.openxmlformats.org/spreadsheetml/2006/main" count="649" uniqueCount="335">
  <si>
    <t>Приложение № 6</t>
  </si>
  <si>
    <t>Утверждено приказом № 421 от 4 августа 2020 г. Минстроя РФ</t>
  </si>
  <si>
    <t>Заказчик</t>
  </si>
  <si>
    <t>(наименование организации)</t>
  </si>
  <si>
    <t>"Утвержден" "___"______________________2023г</t>
  </si>
  <si>
    <t>(ссылка на документ об утверждении)</t>
  </si>
  <si>
    <t>СВОДНЫЙ СМЕТНЫЙ РАСЧЕТ СТОИМОСТИ СТРОИТЕЛЬСТВА № ССРСС-1</t>
  </si>
  <si>
    <t>(наименование стройки)</t>
  </si>
  <si>
    <t>Составлен(а) в базисном (текущем) уровне цен  4 кв. 2022 г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</si>
  <si>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</si>
  <si>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</si>
  <si>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</si>
  <si>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</si>
  <si>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</si>
  <si>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</si>
  <si>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</si>
  <si>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</si>
  <si>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</si>
  <si>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</si>
  <si>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</si>
  <si>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</si>
  <si>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</si>
  <si>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</si>
  <si>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</si>
  <si>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</si>
  <si>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</si>
  <si>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Приказ от 19.06.2020 № 332/пр прил.1 п.55</t>
  </si>
  <si>
    <t>Временные здания и сооружения - Объекты жилищного, социально-культурного, коммунально-бытового назначения в сельской местности - 3,1%</t>
  </si>
  <si>
    <t>3,1%СДЛ.С</t>
  </si>
  <si>
    <t>3,1%СДЛ.М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</si>
  <si>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</si>
  <si>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</si>
  <si>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</si>
  <si>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Приказ от 25.05.2021 № 325/пр прил.1 п.85</t>
  </si>
  <si>
    <t>Производство работ в зимнее время - Объекты общественного, социально-культурного и коммунально-бытового назначения - 0,5%</t>
  </si>
  <si>
    <t>0,5%Г1.С:Г8.С</t>
  </si>
  <si>
    <t>0,5%Г1.М:Г8.М</t>
  </si>
  <si>
    <t>09-01-01</t>
  </si>
  <si>
    <t>Расходы на перевозку рабочих и пусконаладочного персонала, привлекаемых для выполнения строительства, от места, определенного в проектной документации, до территории строительства и обратно.</t>
  </si>
  <si>
    <t>Плата за выбросы в атмосферный воздух</t>
  </si>
  <si>
    <t>Плата за размещение отходов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</si>
  <si>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</si>
  <si>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</si>
  <si>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</si>
  <si>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</si>
  <si>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</si>
  <si>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Проектные работы "П"</t>
  </si>
  <si>
    <t>Проектные работы "Р"</t>
  </si>
  <si>
    <t>Приказ от 4.08.2020 № 
421/пр приложение 9 
п.173</t>
  </si>
  <si>
    <t>Авторский надзор - 0,2%</t>
  </si>
  <si>
    <t>0,2%Г1:Г9</t>
  </si>
  <si>
    <t>Приказ от 4.08.2020 № 
421/пр приложение 9 
п.174</t>
  </si>
  <si>
    <t>Приказ от 04.08.2020 №421/пр п. 171 (л)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</si>
  <si>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</si>
  <si>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</si>
  <si>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</si>
  <si>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Приказ от 4.08.2020 № 421/пр п.179</t>
  </si>
  <si>
    <t>Непредвиденные затраты для объектов капитального строительства непроизводственного назначения - 3%</t>
  </si>
  <si>
    <t>3%Г1.С:Г12.С</t>
  </si>
  <si>
    <t>3%Г1.М:Г12.М</t>
  </si>
  <si>
    <t>3%Г1.О:Г12.О</t>
  </si>
  <si>
    <t>3%Г1.П:Г12.П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</si>
  <si>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</si>
  <si>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</si>
  <si>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</si>
  <si>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№ 303-ФЗ от 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</si>
  <si>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</si>
  <si>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</si>
  <si>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</si>
  <si>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</si>
  <si>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</si>
  <si>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</si>
  <si>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</si>
  <si>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</si>
  <si>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ООО «Бристоль-проект»</t>
  </si>
  <si>
    <t>И.А. Сараченко</t>
  </si>
  <si>
    <t>[подпись (инициалы, фамилия)]</t>
  </si>
  <si>
    <t>Главный инженер проекта</t>
  </si>
  <si>
    <t>К.М. Максименков</t>
  </si>
  <si>
    <t>АО «КАВКАЗ.РФ» Директор Департамента развития инфраструктуры</t>
  </si>
  <si>
    <t>В.В. Лапухин (по доверенности №77 от 14.12.2021)</t>
  </si>
  <si>
    <t>Основания для расчета:</t>
  </si>
  <si>
    <t>№ пп</t>
  </si>
  <si>
    <t>Наименование работ и затрат</t>
  </si>
  <si>
    <t>СМР</t>
  </si>
  <si>
    <t>Оборудование</t>
  </si>
  <si>
    <t>Прочие</t>
  </si>
  <si>
    <t>Всего</t>
  </si>
  <si>
    <t>Всего с учетом ВЗИС-3,1% и возврата ВЗИС 15%, зимнего удорожания - 0,5%.</t>
  </si>
  <si>
    <t xml:space="preserve">Индекс фактической инфляции* </t>
  </si>
  <si>
    <t xml:space="preserve">Стоимость работ в ценах на дату формирования начальной (максимальной) цены контракта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</si>
  <si>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</si>
  <si>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</si>
  <si>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1.1</t>
  </si>
  <si>
    <t>Разработка рабочей документации</t>
  </si>
  <si>
    <t>1.2</t>
  </si>
  <si>
    <t>Строительство</t>
  </si>
  <si>
    <t>02-01-01</t>
  </si>
  <si>
    <t>02-01-02</t>
  </si>
  <si>
    <t>02-01-03</t>
  </si>
  <si>
    <t>02-01-04</t>
  </si>
  <si>
    <t>02-01-05</t>
  </si>
  <si>
    <t>02-01-06</t>
  </si>
  <si>
    <t>Непредвиденные затраты для строительства - 3%</t>
  </si>
  <si>
    <t>НДС-20%</t>
  </si>
  <si>
    <t>2</t>
  </si>
  <si>
    <t>2.1</t>
  </si>
  <si>
    <t>2.2</t>
  </si>
  <si>
    <t>РАСЧЕТ ИНДЕКСОВ ФАКТИЧЕСКОЙ ИНФЛЯЦИИ</t>
  </si>
  <si>
    <t>на конец периода, в % к предыдущему месяцу</t>
  </si>
  <si>
    <t>ОКВЭД2</t>
  </si>
  <si>
    <t/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</si>
  <si>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</si>
  <si>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</si>
  <si>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</si>
  <si>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</si>
  <si>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</si>
  <si>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</si>
  <si>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</si>
  <si>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</si>
  <si>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</si>
  <si>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</si>
  <si>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</si>
  <si>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</si>
  <si>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виде коэффициента</t>
  </si>
  <si>
    <t>Дата формирования НМЦК</t>
  </si>
  <si>
    <t>*Индекс фактической инфляции по данным Росстата ("Строительство ", Российская Федерация) от цен утверждения сметной документации до даты формирования НМЦК  :</t>
  </si>
  <si>
    <t>Прогнозный индекс для РД на период выполнения работ:</t>
  </si>
  <si>
    <t>Начало работ</t>
  </si>
  <si>
    <t>Окончание работ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</si>
  <si>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</si>
  <si>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</si>
  <si>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^(1/12)</t>
  </si>
  <si>
    <t>Индекс прогнозной инфляции</t>
  </si>
  <si>
    <t>Прогнозный индекс для Стройки на период выполнения работ:</t>
  </si>
  <si>
    <t>окончание первого года</t>
  </si>
  <si>
    <t>начало второго года</t>
  </si>
  <si>
    <t>Продолжительность выполнения работ, мес.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</si>
  <si>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</si>
  <si>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</si>
  <si>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</si>
  <si>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</si>
  <si>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2023 =</t>
  </si>
  <si>
    <t>К на 2024 =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</si>
  <si>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</si>
  <si>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</si>
  <si>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Расчет начальной (максимальной) цены контракта при осуществлении закупки на выполнение подрядных работ по строительству объекта</t>
  </si>
  <si>
    <r>
      <t>Стоимость работ в ценах утверждения сметной документации- 4</t>
    </r>
    <r>
      <rPr>
        <b/>
        <sz val="12"/>
        <color rgb="FFFF0000"/>
        <rFont val="Times New Roman"/>
        <family val="1"/>
        <charset val="204"/>
      </rPr>
      <t xml:space="preserve"> квартала 2022 г.</t>
    </r>
  </si>
  <si>
    <t>расположенному по адресу: Россия, Республика Северная Осетия-Алания, Район Алагирский, Зарамагское сельское поселение</t>
  </si>
  <si>
    <t>Рабочая документация</t>
  </si>
  <si>
    <t>1</t>
  </si>
  <si>
    <t>Непредвиденные затраты по разработке рабочей документации - 3%</t>
  </si>
  <si>
    <t>Инженерная защита</t>
  </si>
  <si>
    <t>Итого:</t>
  </si>
  <si>
    <t>Итого с учетом НДС</t>
  </si>
  <si>
    <t xml:space="preserve">Усредненный индекс- дефлятор  РД </t>
  </si>
  <si>
    <t>Усредненный индекс- дефлятор  Стройка</t>
  </si>
  <si>
    <t>Сводный индекс цен на продукцию (затраты, услуги) инвестиционного назначения 
по Российской Федерации в 2023 году</t>
  </si>
  <si>
    <t xml:space="preserve">РАСЧЕТ ИНДЕКСОВ ПРОГНОЗНОЙ ИНФЛЯЦИИ </t>
  </si>
  <si>
    <t>2.4</t>
  </si>
  <si>
    <t>2.7</t>
  </si>
  <si>
    <t>2.6</t>
  </si>
  <si>
    <t>2.5</t>
  </si>
  <si>
    <t>2.3</t>
  </si>
  <si>
    <t>2.4.1</t>
  </si>
  <si>
    <t>2.4.2</t>
  </si>
  <si>
    <t>2.8</t>
  </si>
  <si>
    <t>2.9</t>
  </si>
  <si>
    <t>2.10</t>
  </si>
  <si>
    <t>2. Заключение Федерального автономного учреждения "Главное управление государственной экспертизы"от 30.06.2023 № 15-1-1-3-037640-2023</t>
  </si>
  <si>
    <t>3. Утвержденный сводный сметный расчет стоимости строительства  в ценах 4 квартала 2022 г. на сумму  1 724 291,22 тыс. руб., в том числе:</t>
  </si>
  <si>
    <t>Всесезонный туристско-рекреационный комплекс "Мамисон", Республика Северная Осетия-Алания. Система
искусственного снегообразования. Этап 1</t>
  </si>
  <si>
    <t xml:space="preserve">АО "КАВКАЗ. РФ" </t>
  </si>
  <si>
    <t>Сводный сметный расчет сметной стоимостью   1 724 291,22 тыс. руб.</t>
  </si>
  <si>
    <t>«Всесезонный туристско-рекреационный комплекс «Мамисон», 
Республика Северная Осетия-Алания. Система искуственного снегообразования. 1 тап</t>
  </si>
  <si>
    <t>2021-ВТРКМ. СИС-ООС1 стр. 163</t>
  </si>
  <si>
    <t>Стоимость компенсационных затрат на возмещение размера вреда водным
биоресурсам. Стоимость:3610867,52 т. руб   затрат на проведение восстановительных мероприятий воспроизводство молоди каспийского лосося  - временная компенсация на период строительства (лосось);.</t>
  </si>
  <si>
    <t>3610867,52/1.2</t>
  </si>
  <si>
    <t>Смета 1П</t>
  </si>
  <si>
    <t>Геодезическая разбивочная основа</t>
  </si>
  <si>
    <t>Система снегообразования.</t>
  </si>
  <si>
    <t>Глава 4. Объекты энергетического хозяйства</t>
  </si>
  <si>
    <t>04-01</t>
  </si>
  <si>
    <t>Сети электроснабжения</t>
  </si>
  <si>
    <t>Итого по Главе 4. "Объекты энергетического хозяйства"</t>
  </si>
  <si>
    <t>Глава 5. Объекты транспортного хозяйства и связи</t>
  </si>
  <si>
    <t>05-01-01</t>
  </si>
  <si>
    <t>Сети связи ТКР4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</si>
  <si>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</si>
  <si>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</si>
  <si>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</t>
  </si>
  <si>
    <t>Наружные сети НВК</t>
  </si>
  <si>
    <t>Итого по Главе 6. "Наружные сети и сооружения водоснабжения, водоотведения, теплоснабжения и газоснабжения"</t>
  </si>
  <si>
    <t>07-01-01</t>
  </si>
  <si>
    <t>Схема планировочной организации земельного участка</t>
  </si>
  <si>
    <t>Итого по Главе 7. "Благоустройство и озеленение территории"</t>
  </si>
  <si>
    <t>09-01-02</t>
  </si>
  <si>
    <t>2021-ВТРКМ.СИС-ООС стр.163</t>
  </si>
  <si>
    <t>Затраты на производственный экологический контроль(мониторинг)</t>
  </si>
  <si>
    <t>ПНР</t>
  </si>
  <si>
    <t>КП от ИП Чекрыгина</t>
  </si>
  <si>
    <t>Затраты заказчика по вводу объектов в эксплуатацию (затраты на кадастровые работы). Подготовка технических планов и технических паспортов</t>
  </si>
  <si>
    <t>900000/1.2</t>
  </si>
  <si>
    <t>Постановление Правительства РФ от 21 июня 2010 г. N 468</t>
  </si>
  <si>
    <t>Содержание службы заказчика-застройщика (технического надзора) строящегося предприятия</t>
  </si>
  <si>
    <t>1,36%(Г1:Г9)</t>
  </si>
  <si>
    <t>Смета 12-01-10</t>
  </si>
  <si>
    <t>Смета12-01-11</t>
  </si>
  <si>
    <t>Смета №12-01-01-09</t>
  </si>
  <si>
    <t>Изыскательские работы</t>
  </si>
  <si>
    <t>Затраты на проезд лиц, осуществляющих авторский надзор, на объект строительства и обратно. Стоимость: (2621,1+2416,2)*48, где 2621,1 - стоимость проезда на поезде от г. Воронеж до г. Владикавказа и 2416,2 обратно (по конъюнктурному анализу), 48 - количество поездок, 6932,70- стоимость затрат на проезд автомобильным транспортом за весь период (расчет 09-01-02)</t>
  </si>
  <si>
    <t>(2621,1+2416,2)*48/1,2+6932,70</t>
  </si>
  <si>
    <t>Затраты на проведение экспертизы проектной документации и результатов инженерных изысканий. Расчёт :(6937981)*7.07%*6,18</t>
  </si>
  <si>
    <t>490515.26*6,18</t>
  </si>
  <si>
    <t>в т.ч.ПИР</t>
  </si>
  <si>
    <t>(наименование)</t>
  </si>
  <si>
    <t xml:space="preserve">Стоимость компенсационных затрат на возмещение размера вреда водным биоресурсам. Затраты на проведение восстановительных мероприятий воспроизводство молоди каспийского лосося.  </t>
  </si>
  <si>
    <t>Пусконаладочные работы "вхолостую"</t>
  </si>
  <si>
    <t>Автоматизация системы искуственного снегообразования ТКР3</t>
  </si>
  <si>
    <t>Конструктивные и объемно-планировочные решения. РТП1СИС-ТП4 СИС</t>
  </si>
  <si>
    <t>Конструктивные и объемно-планировочные решения.НС1-1, НС1-2 , резервуары речной и холодной воды. Горнолыжные склоны 1а,1е,1d</t>
  </si>
  <si>
    <t>Конструктивные и объемно-планировочные решения.Подрусловый водозабор ВЗУ-1;НС1-0</t>
  </si>
  <si>
    <t>Система электроснабжения ТП-1 СИС ;ТП-2 СИС ;ТП-3 СИС ;ТП-4 СИС ;</t>
  </si>
  <si>
    <t>Система электроснабжения. Подрусловый водозабор ВЗУ1, НС1-0;НС1-1;НС1-2, резервуары речной и холодной воды</t>
  </si>
  <si>
    <t>02-01-07</t>
  </si>
  <si>
    <t>Отопление, вентиляция и кондиционирование 
воздуха, тепловые сети. Подрусловый водозабор ВЗУ1. НС1-0.</t>
  </si>
  <si>
    <t>02-01-08</t>
  </si>
  <si>
    <t>Сети связи. Комплексная система безопасности.</t>
  </si>
  <si>
    <t>02-01-09</t>
  </si>
  <si>
    <t>Технологические решение.</t>
  </si>
  <si>
    <t>02-01-10</t>
  </si>
  <si>
    <t>04-01-01</t>
  </si>
  <si>
    <t>Сети электроснабжения 10 кВ</t>
  </si>
  <si>
    <t>04-01-02</t>
  </si>
  <si>
    <t>Сети электроснабжения 0,4 кВ</t>
  </si>
  <si>
    <t>06-01-01</t>
  </si>
  <si>
    <t>Сети водоснабжения</t>
  </si>
  <si>
    <t>06-01-02</t>
  </si>
  <si>
    <t>Система водоснабжения. Подрусловый водозабор ВЗУ-1;НС1-0</t>
  </si>
  <si>
    <t>06-01-03</t>
  </si>
  <si>
    <t>Канализация К-2  (НС1-0)</t>
  </si>
  <si>
    <t>Смета №12-01-11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</si>
  <si>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</si>
  <si>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</si>
  <si>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</si>
  <si>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</si>
  <si>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</si>
  <si>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</si>
  <si>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</si>
  <si>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</si>
  <si>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</si>
  <si>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</si>
  <si>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2.6.1</t>
  </si>
  <si>
    <t>2.6.2</t>
  </si>
  <si>
    <t>2.6.3</t>
  </si>
  <si>
    <t>2.11</t>
  </si>
  <si>
    <t>2.12</t>
  </si>
  <si>
    <t>2.13</t>
  </si>
  <si>
    <t>1. Приказ об утверждении проектной документации, включая сводный сметный расчет стоимости строительства от 06.07.2023 № Пр-23-172</t>
  </si>
  <si>
    <t>Ведомость объемов конструктивных решений (элементов) и комплексов (видов) работ</t>
  </si>
  <si>
    <t>объект: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</si>
  <si>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</si>
  <si>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</si>
  <si>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</si>
  <si>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</si>
  <si>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комплекс</t>
  </si>
  <si>
    <t xml:space="preserve">Заместитель руководителя управления направления сметного регулирования Управления проектов Департамента развития инфраструктуры  </t>
  </si>
  <si>
    <t>Е.А. Татаринова</t>
  </si>
  <si>
    <t>ПРОЕКТ СМЕТЫ КОНТРАКТА</t>
  </si>
  <si>
    <t>Цена, руб.</t>
  </si>
  <si>
    <t>в том числе Оборудование</t>
  </si>
  <si>
    <t>На единицу измерения</t>
  </si>
  <si>
    <t>РАСЧЕТ НАЧАЛЬНОЙ МАКСИМАЛЬНОЙ ЦЕНЫ ДОГОВОРА</t>
  </si>
  <si>
    <t>по объекту: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</si>
  <si>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</si>
  <si>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</si>
  <si>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</si>
  <si>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</si>
  <si>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</si>
  <si>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</si>
  <si>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</si>
  <si>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</si>
  <si>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</si>
  <si>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</si>
  <si>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 xml:space="preserve">Разработка рабочей документации </t>
  </si>
  <si>
    <t>В том числе:</t>
  </si>
  <si>
    <t>Инфляционная составляющая за период выполнения работ</t>
  </si>
  <si>
    <t>Строительство (строительные работы, оборудование, прочие затраты)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</si>
  <si>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</si>
  <si>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</si>
  <si>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</si>
  <si>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</si>
  <si>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Всесезонный туристско-рекреационный комплекс "Мамисон", Республика Северная Осетия-Алания. Система искусственного снегообразования. Этап 1</t>
  </si>
  <si>
    <t>Протокол</t>
  </si>
  <si>
    <t>начальной (максимальной) цены контракта</t>
  </si>
  <si>
    <t>Объект закупки: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</si>
  <si>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</si>
  <si>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</si>
  <si>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разработка рабочей документации;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</si>
  <si>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</si>
  <si>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</si>
  <si>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</si>
  <si>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</si>
  <si>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</si>
  <si>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</si>
  <si>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</si>
  <si>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</si>
  <si>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удорожание работ в зимнее время;</t>
  </si>
  <si>
    <t>- плата за выбросы в атмосферный воздух;</t>
  </si>
  <si>
    <t>- плата за размещение отходов;</t>
  </si>
  <si>
    <t>- затраты на производственный экологический контроль (мониторинг);</t>
  </si>
  <si>
    <t>- резерв средств на непредвиденные работы и затраты;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</si>
  <si>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</si>
  <si>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</si>
  <si>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</si>
  <si>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</si>
  <si>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</si>
  <si>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- стоимость компенсационных затрат на возмещение размера вреда водным биоресурсам. Затраты на проведение восстановительных мероприятий воспроизводство молоди каспийского лосося.  </t>
  </si>
  <si>
    <t>- геодезическая разбивочная основа;</t>
  </si>
  <si>
    <t>- Расходы на перевозку рабочих и пусконаладочного персонала, привлекаемых для выполнения строительства, от места, определенного в проектной документации, до территории строительства и обратно;</t>
  </si>
  <si>
    <t>- пусконаладочные работы "вхолостую";</t>
  </si>
  <si>
    <t>ПОЯСНИТЕЛЬНАЯ ЗАПИСКА</t>
  </si>
  <si>
    <t>К РАСЧЕТУ НАЧАЛЬНОЙ МАКСИМАЛЬНОЙ ЦЕНЫ ДОГОВОРА</t>
  </si>
  <si>
    <t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строительства».</t>
  </si>
  <si>
    <t>Расчет стоимости строительства выполнен проектно-сметным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</si>
  <si>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</si>
  <si>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</si>
  <si>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 xml:space="preserve">Индекс-дефлятор определен в соответствии с данными Минэкономразвития РФ.  </t>
  </si>
  <si>
    <t>В расчете учтены временные здания и сооружения в размере 3,1%, зимнее удорожание  в размере 0,5 %, непредвиденные затраты в размере 3 % согласно сводному сметному расчету и возврат от разборки временных зданий и сооружений в размере 15%.</t>
  </si>
  <si>
    <t>Индекс-дефлятор на продолжительность строительства выполнен в соответствии с графиком выполнения работ.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</si>
  <si>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</si>
  <si>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</si>
  <si>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</si>
  <si>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Для расчета цены строительства  использован сводный сметный расчет в ценах 4 квартала 2022 г., локальные сметные расчеты в ценах 4 кв. 2022 г., получившие положительное заключение ФАУ "Главгосэкспертиза России" от 30.06.2023 № 15-1-1-3-037640-2023.</t>
  </si>
  <si>
    <r>
      <t xml:space="preserve">**поскольку индексы Росстата </t>
    </r>
    <r>
      <rPr>
        <sz val="11"/>
        <color rgb="FFFF0000"/>
        <rFont val="Calibri"/>
        <family val="2"/>
        <charset val="204"/>
      </rPr>
      <t>за июнь 2023</t>
    </r>
    <r>
      <rPr>
        <sz val="11"/>
        <color rgb="FF000000"/>
        <rFont val="Calibri"/>
        <family val="2"/>
        <charset val="204"/>
      </rPr>
      <t xml:space="preserve"> на момент выполнения расчета отсутствуют, для расчета принимается индекс фактической инфляции в размере, установленном для последнего опубликованного месяца.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</si>
</sst>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000"/>
    <numFmt numFmtId="167" formatCode="#,##0.####"/>
    <numFmt numFmtId="168" formatCode="0.0000000"/>
    <numFmt numFmtId="169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color rgb="FFFF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13" fillId="0" borderId="0">
      <alignment horizontal="left" vertical="top"/>
    </xf>
    <xf numFmtId="0" fontId="15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9" fillId="0" borderId="0"/>
    <xf numFmtId="0" fontId="15" fillId="0" borderId="0"/>
    <xf numFmtId="0" fontId="29" fillId="0" borderId="0"/>
    <xf numFmtId="0" fontId="42" fillId="0" borderId="0"/>
  </cellStyleXfs>
  <cellXfs count="309">
    <xf numFmtId="0" fontId="0" fillId="0" borderId="0" xfId="0"/>
    <xf numFmtId="0" fontId="14" fillId="0" borderId="1" xfId="3" applyFont="1" applyBorder="1" applyAlignment="1">
      <alignment horizontal="left"/>
    </xf>
    <xf numFmtId="0" fontId="14" fillId="0" borderId="1" xfId="3" applyFont="1" applyBorder="1" applyAlignment="1">
      <alignment horizontal="left" vertical="top"/>
    </xf>
    <xf numFmtId="0" fontId="14" fillId="0" borderId="0" xfId="3" applyFont="1">
      <alignment horizontal="left" vertical="top"/>
    </xf>
    <xf numFmtId="0" fontId="14" fillId="0" borderId="1" xfId="3" applyFont="1" applyBorder="1">
      <alignment horizontal="left" vertical="top"/>
    </xf>
    <xf numFmtId="0" fontId="14" fillId="0" borderId="0" xfId="3" applyFont="1" applyAlignment="1">
      <alignment horizontal="left"/>
    </xf>
    <xf numFmtId="0" fontId="14" fillId="0" borderId="1" xfId="3" applyFont="1" applyBorder="1" applyAlignment="1">
      <alignment horizontal="left" wrapText="1"/>
    </xf>
    <xf numFmtId="0" fontId="18" fillId="0" borderId="0" xfId="5" applyFont="1" applyAlignment="1">
      <alignment horizontal="center" vertical="center" wrapText="1"/>
    </xf>
    <xf numFmtId="0" fontId="19" fillId="0" borderId="0" xfId="5" applyFont="1"/>
    <xf numFmtId="0" fontId="20" fillId="0" borderId="0" xfId="5" applyFont="1"/>
    <xf numFmtId="0" fontId="21" fillId="2" borderId="0" xfId="5" applyFont="1" applyFill="1" applyAlignment="1">
      <alignment vertical="center"/>
    </xf>
    <xf numFmtId="0" fontId="23" fillId="3" borderId="9" xfId="6" applyFont="1" applyFill="1" applyBorder="1" applyAlignment="1">
      <alignment horizontal="center" vertical="center" wrapText="1"/>
    </xf>
    <xf numFmtId="0" fontId="18" fillId="3" borderId="9" xfId="5" applyFont="1" applyFill="1" applyBorder="1" applyAlignment="1">
      <alignment horizontal="center" vertical="center"/>
    </xf>
    <xf numFmtId="0" fontId="18" fillId="4" borderId="9" xfId="5" applyFont="1" applyFill="1" applyBorder="1" applyAlignment="1">
      <alignment horizontal="center" vertical="center"/>
    </xf>
    <xf numFmtId="0" fontId="18" fillId="4" borderId="9" xfId="5" applyFont="1" applyFill="1" applyBorder="1" applyAlignment="1">
      <alignment horizontal="center" vertical="center" wrapText="1"/>
    </xf>
    <xf numFmtId="0" fontId="24" fillId="4" borderId="9" xfId="5" applyFont="1" applyFill="1" applyBorder="1" applyAlignment="1">
      <alignment horizontal="center" vertical="center" wrapText="1"/>
    </xf>
    <xf numFmtId="0" fontId="18" fillId="3" borderId="9" xfId="5" applyFont="1" applyFill="1" applyBorder="1" applyAlignment="1">
      <alignment horizontal="center" vertical="center" wrapText="1"/>
    </xf>
    <xf numFmtId="0" fontId="23" fillId="4" borderId="9" xfId="6" applyFont="1" applyFill="1" applyBorder="1" applyAlignment="1">
      <alignment horizontal="center" vertical="center" wrapText="1"/>
    </xf>
    <xf numFmtId="0" fontId="18" fillId="3" borderId="9" xfId="6" applyFont="1" applyFill="1" applyBorder="1" applyAlignment="1">
      <alignment horizontal="center" vertical="center"/>
    </xf>
    <xf numFmtId="49" fontId="23" fillId="5" borderId="9" xfId="6" applyNumberFormat="1" applyFont="1" applyFill="1" applyBorder="1" applyAlignment="1">
      <alignment horizontal="center" vertical="center" wrapText="1"/>
    </xf>
    <xf numFmtId="0" fontId="23" fillId="5" borderId="9" xfId="6" applyFont="1" applyFill="1" applyBorder="1" applyAlignment="1">
      <alignment horizontal="center" vertical="center" wrapText="1"/>
    </xf>
    <xf numFmtId="4" fontId="18" fillId="5" borderId="9" xfId="6" applyNumberFormat="1" applyFont="1" applyFill="1" applyBorder="1" applyAlignment="1">
      <alignment horizontal="center" vertical="center"/>
    </xf>
    <xf numFmtId="49" fontId="20" fillId="2" borderId="9" xfId="6" applyNumberFormat="1" applyFont="1" applyFill="1" applyBorder="1" applyAlignment="1">
      <alignment horizontal="center" vertical="center" wrapText="1"/>
    </xf>
    <xf numFmtId="4" fontId="19" fillId="2" borderId="9" xfId="6" applyNumberFormat="1" applyFont="1" applyFill="1" applyBorder="1" applyAlignment="1">
      <alignment horizontal="center" vertical="center"/>
    </xf>
    <xf numFmtId="165" fontId="19" fillId="2" borderId="9" xfId="6" applyNumberFormat="1" applyFont="1" applyFill="1" applyBorder="1" applyAlignment="1">
      <alignment horizontal="center" vertical="center"/>
    </xf>
    <xf numFmtId="0" fontId="18" fillId="5" borderId="9" xfId="6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center" vertical="center"/>
    </xf>
    <xf numFmtId="165" fontId="25" fillId="2" borderId="9" xfId="6" applyNumberFormat="1" applyFont="1" applyFill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4" fontId="19" fillId="3" borderId="9" xfId="0" applyNumberFormat="1" applyFont="1" applyFill="1" applyBorder="1" applyAlignment="1">
      <alignment horizontal="center" vertical="center"/>
    </xf>
    <xf numFmtId="4" fontId="18" fillId="3" borderId="9" xfId="0" applyNumberFormat="1" applyFont="1" applyFill="1" applyBorder="1" applyAlignment="1">
      <alignment horizontal="center" vertical="center"/>
    </xf>
    <xf numFmtId="0" fontId="19" fillId="0" borderId="0" xfId="0" applyFont="1"/>
    <xf numFmtId="2" fontId="19" fillId="0" borderId="0" xfId="0" applyNumberFormat="1" applyFont="1"/>
    <xf numFmtId="165" fontId="19" fillId="0" borderId="0" xfId="0" applyNumberFormat="1" applyFont="1"/>
    <xf numFmtId="0" fontId="18" fillId="0" borderId="0" xfId="0" applyFont="1" applyAlignment="1">
      <alignment horizontal="center"/>
    </xf>
    <xf numFmtId="0" fontId="30" fillId="6" borderId="9" xfId="10" applyFont="1" applyFill="1" applyBorder="1" applyAlignment="1">
      <alignment horizontal="center" vertical="top" wrapText="1"/>
    </xf>
    <xf numFmtId="167" fontId="29" fillId="0" borderId="9" xfId="10" applyNumberFormat="1" applyBorder="1" applyAlignment="1">
      <alignment horizontal="center" vertical="top"/>
    </xf>
    <xf numFmtId="3" fontId="29" fillId="0" borderId="9" xfId="10" applyNumberFormat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4" fontId="0" fillId="7" borderId="9" xfId="0" applyNumberFormat="1" applyFill="1" applyBorder="1" applyAlignment="1">
      <alignment horizontal="right"/>
    </xf>
    <xf numFmtId="4" fontId="31" fillId="0" borderId="0" xfId="11" applyNumberFormat="1" applyFont="1" applyFill="1" applyBorder="1" applyAlignment="1" applyProtection="1">
      <alignment horizontal="right" vertical="top"/>
    </xf>
    <xf numFmtId="14" fontId="0" fillId="0" borderId="0" xfId="0" applyNumberFormat="1" applyFill="1" applyBorder="1" applyAlignment="1">
      <alignment horizontal="center"/>
    </xf>
    <xf numFmtId="4" fontId="31" fillId="0" borderId="0" xfId="11" applyNumberFormat="1" applyFont="1" applyFill="1" applyBorder="1" applyAlignment="1" applyProtection="1">
      <alignment horizontal="right" vertical="center"/>
    </xf>
    <xf numFmtId="166" fontId="31" fillId="0" borderId="0" xfId="1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2" fillId="0" borderId="0" xfId="11" applyNumberFormat="1" applyFont="1" applyFill="1" applyBorder="1" applyAlignment="1" applyProtection="1"/>
    <xf numFmtId="0" fontId="31" fillId="0" borderId="0" xfId="11" applyNumberFormat="1" applyFont="1" applyFill="1" applyBorder="1" applyAlignment="1" applyProtection="1">
      <alignment horizontal="right" vertical="top" wrapText="1"/>
    </xf>
    <xf numFmtId="0" fontId="31" fillId="0" borderId="0" xfId="11" applyNumberFormat="1" applyFont="1" applyFill="1" applyBorder="1" applyAlignment="1" applyProtection="1">
      <alignment horizontal="right" vertical="top"/>
    </xf>
    <xf numFmtId="14" fontId="0" fillId="7" borderId="9" xfId="0" applyNumberFormat="1" applyFill="1" applyBorder="1"/>
    <xf numFmtId="164" fontId="0" fillId="0" borderId="9" xfId="0" applyNumberFormat="1" applyBorder="1"/>
    <xf numFmtId="10" fontId="0" fillId="0" borderId="9" xfId="0" applyNumberFormat="1" applyBorder="1"/>
    <xf numFmtId="10" fontId="19" fillId="9" borderId="4" xfId="0" applyNumberFormat="1" applyFont="1" applyFill="1" applyBorder="1" applyAlignment="1">
      <alignment vertical="center"/>
    </xf>
    <xf numFmtId="0" fontId="19" fillId="9" borderId="6" xfId="0" applyFont="1" applyFill="1" applyBorder="1" applyAlignment="1">
      <alignment vertical="center"/>
    </xf>
    <xf numFmtId="168" fontId="0" fillId="0" borderId="9" xfId="0" applyNumberFormat="1" applyBorder="1"/>
    <xf numFmtId="165" fontId="32" fillId="10" borderId="9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/>
    <xf numFmtId="0" fontId="31" fillId="0" borderId="0" xfId="11" applyNumberFormat="1" applyFont="1" applyFill="1" applyBorder="1" applyAlignment="1" applyProtection="1">
      <alignment horizontal="right"/>
    </xf>
    <xf numFmtId="2" fontId="0" fillId="0" borderId="9" xfId="0" applyNumberFormat="1" applyBorder="1"/>
    <xf numFmtId="169" fontId="0" fillId="0" borderId="9" xfId="1" applyNumberFormat="1" applyFont="1" applyBorder="1"/>
    <xf numFmtId="0" fontId="19" fillId="9" borderId="9" xfId="0" applyFont="1" applyFill="1" applyBorder="1" applyAlignment="1">
      <alignment vertical="center"/>
    </xf>
    <xf numFmtId="168" fontId="0" fillId="0" borderId="9" xfId="0" applyNumberFormat="1" applyFill="1" applyBorder="1"/>
    <xf numFmtId="168" fontId="0" fillId="0" borderId="0" xfId="0" applyNumberFormat="1"/>
    <xf numFmtId="0" fontId="19" fillId="0" borderId="0" xfId="0" applyFont="1" applyAlignment="1">
      <alignment vertical="top" wrapText="1"/>
    </xf>
    <xf numFmtId="0" fontId="20" fillId="0" borderId="0" xfId="12" applyFont="1" applyAlignment="1">
      <alignment horizontal="center" vertical="center"/>
    </xf>
    <xf numFmtId="49" fontId="22" fillId="2" borderId="9" xfId="0" applyNumberFormat="1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center" vertical="top" wrapText="1"/>
    </xf>
    <xf numFmtId="49" fontId="19" fillId="3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49" fontId="22" fillId="3" borderId="9" xfId="0" applyNumberFormat="1" applyFont="1" applyFill="1" applyBorder="1" applyAlignment="1" applyProtection="1">
      <alignment horizontal="center" vertical="center" wrapText="1"/>
    </xf>
    <xf numFmtId="49" fontId="26" fillId="3" borderId="9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top" wrapText="1"/>
    </xf>
    <xf numFmtId="4" fontId="25" fillId="2" borderId="9" xfId="6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1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right" vertical="top" wrapText="1"/>
    </xf>
    <xf numFmtId="4" fontId="10" fillId="0" borderId="9" xfId="0" applyNumberFormat="1" applyFont="1" applyFill="1" applyBorder="1" applyAlignment="1" applyProtection="1">
      <alignment horizontal="right" vertical="top" wrapText="1"/>
    </xf>
    <xf numFmtId="2" fontId="10" fillId="0" borderId="9" xfId="0" applyNumberFormat="1" applyFont="1" applyFill="1" applyBorder="1" applyAlignment="1" applyProtection="1">
      <alignment horizontal="right" vertical="top" wrapText="1"/>
    </xf>
    <xf numFmtId="0" fontId="12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right" vertical="top" wrapText="1"/>
    </xf>
    <xf numFmtId="0" fontId="12" fillId="0" borderId="9" xfId="0" applyNumberFormat="1" applyFont="1" applyFill="1" applyBorder="1" applyAlignment="1" applyProtection="1">
      <alignment horizontal="right" vertical="top"/>
    </xf>
    <xf numFmtId="4" fontId="12" fillId="0" borderId="9" xfId="0" applyNumberFormat="1" applyFont="1" applyFill="1" applyBorder="1" applyAlignment="1" applyProtection="1">
      <alignment horizontal="right" vertical="top"/>
    </xf>
    <xf numFmtId="4" fontId="12" fillId="0" borderId="9" xfId="0" applyNumberFormat="1" applyFont="1" applyFill="1" applyBorder="1" applyAlignment="1" applyProtection="1">
      <alignment horizontal="right" vertical="top" wrapText="1"/>
    </xf>
    <xf numFmtId="2" fontId="12" fillId="0" borderId="9" xfId="0" applyNumberFormat="1" applyFont="1" applyFill="1" applyBorder="1" applyAlignment="1" applyProtection="1">
      <alignment horizontal="right" vertical="top" wrapText="1"/>
    </xf>
    <xf numFmtId="2" fontId="12" fillId="0" borderId="9" xfId="0" applyNumberFormat="1" applyFont="1" applyFill="1" applyBorder="1" applyAlignment="1" applyProtection="1">
      <alignment horizontal="right" vertical="top"/>
    </xf>
    <xf numFmtId="0" fontId="35" fillId="0" borderId="9" xfId="0" applyNumberFormat="1" applyFont="1" applyFill="1" applyBorder="1" applyAlignment="1" applyProtection="1"/>
    <xf numFmtId="4" fontId="35" fillId="0" borderId="9" xfId="0" applyNumberFormat="1" applyFont="1" applyFill="1" applyBorder="1" applyAlignment="1" applyProtection="1"/>
    <xf numFmtId="0" fontId="16" fillId="0" borderId="0" xfId="13" applyFont="1"/>
    <xf numFmtId="0" fontId="16" fillId="0" borderId="1" xfId="13" applyFont="1" applyBorder="1"/>
    <xf numFmtId="0" fontId="17" fillId="0" borderId="2" xfId="13" applyFont="1" applyBorder="1" applyAlignment="1"/>
    <xf numFmtId="0" fontId="17" fillId="0" borderId="2" xfId="13" applyFont="1" applyBorder="1" applyAlignment="1">
      <alignment horizontal="center"/>
    </xf>
    <xf numFmtId="0" fontId="22" fillId="0" borderId="9" xfId="0" applyNumberFormat="1" applyFont="1" applyFill="1" applyBorder="1" applyAlignment="1" applyProtection="1">
      <alignment horizontal="center" vertical="top" wrapText="1"/>
    </xf>
    <xf numFmtId="4" fontId="20" fillId="0" borderId="0" xfId="0" applyNumberFormat="1" applyFont="1" applyAlignment="1">
      <alignment horizontal="center" vertical="center"/>
    </xf>
    <xf numFmtId="4" fontId="19" fillId="4" borderId="9" xfId="0" applyNumberFormat="1" applyFont="1" applyFill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14" applyFont="1" applyAlignment="1">
      <alignment horizontal="center" vertical="top"/>
    </xf>
    <xf numFmtId="49" fontId="19" fillId="0" borderId="0" xfId="14" applyNumberFormat="1" applyFont="1" applyAlignment="1">
      <alignment horizontal="left" vertical="top"/>
    </xf>
    <xf numFmtId="0" fontId="19" fillId="0" borderId="0" xfId="14" applyFont="1" applyAlignment="1">
      <alignment horizontal="left" vertical="top"/>
    </xf>
    <xf numFmtId="0" fontId="19" fillId="0" borderId="0" xfId="14" applyFont="1"/>
    <xf numFmtId="0" fontId="19" fillId="11" borderId="3" xfId="15" applyFont="1" applyFill="1" applyBorder="1" applyAlignment="1">
      <alignment horizontal="center" vertical="center"/>
    </xf>
    <xf numFmtId="0" fontId="19" fillId="11" borderId="9" xfId="14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5" fillId="0" borderId="0" xfId="16"/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13" fillId="2" borderId="0" xfId="14" applyFont="1" applyFill="1" applyAlignment="1">
      <alignment horizontal="center" vertical="top"/>
    </xf>
    <xf numFmtId="0" fontId="13" fillId="2" borderId="0" xfId="14" applyFont="1" applyFill="1" applyAlignment="1">
      <alignment horizontal="left" vertical="top"/>
    </xf>
    <xf numFmtId="0" fontId="13" fillId="2" borderId="0" xfId="14" applyFont="1" applyFill="1"/>
    <xf numFmtId="0" fontId="19" fillId="2" borderId="0" xfId="14" applyFont="1" applyFill="1" applyAlignment="1">
      <alignment horizontal="left" vertical="center"/>
    </xf>
    <xf numFmtId="0" fontId="19" fillId="2" borderId="0" xfId="14" applyFont="1" applyFill="1" applyAlignment="1">
      <alignment horizontal="center" vertical="top"/>
    </xf>
    <xf numFmtId="0" fontId="19" fillId="2" borderId="0" xfId="14" applyFont="1" applyFill="1" applyAlignment="1">
      <alignment horizontal="left" vertical="top"/>
    </xf>
    <xf numFmtId="0" fontId="19" fillId="2" borderId="0" xfId="14" applyFont="1" applyFill="1"/>
    <xf numFmtId="0" fontId="13" fillId="11" borderId="9" xfId="14" applyFont="1" applyFill="1" applyBorder="1" applyAlignment="1">
      <alignment horizontal="center" vertical="center" wrapText="1"/>
    </xf>
    <xf numFmtId="0" fontId="13" fillId="11" borderId="9" xfId="14" applyFont="1" applyFill="1" applyBorder="1" applyAlignment="1">
      <alignment horizontal="center" vertical="center"/>
    </xf>
    <xf numFmtId="0" fontId="19" fillId="11" borderId="9" xfId="15" applyFont="1" applyFill="1" applyBorder="1" applyAlignment="1">
      <alignment horizontal="center" vertical="center"/>
    </xf>
    <xf numFmtId="0" fontId="19" fillId="11" borderId="9" xfId="14" applyFont="1" applyFill="1" applyBorder="1" applyAlignment="1">
      <alignment horizontal="center"/>
    </xf>
    <xf numFmtId="4" fontId="36" fillId="5" borderId="9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9" fontId="19" fillId="11" borderId="9" xfId="0" applyNumberFormat="1" applyFont="1" applyFill="1" applyBorder="1" applyAlignment="1">
      <alignment horizontal="center" vertical="center"/>
    </xf>
    <xf numFmtId="49" fontId="26" fillId="11" borderId="9" xfId="0" applyNumberFormat="1" applyFont="1" applyFill="1" applyBorder="1" applyAlignment="1" applyProtection="1">
      <alignment horizontal="center" vertical="center" wrapText="1"/>
    </xf>
    <xf numFmtId="0" fontId="0" fillId="11" borderId="9" xfId="0" applyFill="1" applyBorder="1"/>
    <xf numFmtId="4" fontId="36" fillId="11" borderId="9" xfId="0" applyNumberFormat="1" applyFont="1" applyFill="1" applyBorder="1" applyAlignment="1">
      <alignment horizontal="center" vertical="center"/>
    </xf>
    <xf numFmtId="4" fontId="36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38" fillId="2" borderId="9" xfId="0" applyNumberFormat="1" applyFont="1" applyFill="1" applyBorder="1" applyAlignment="1">
      <alignment horizontal="center" vertical="center"/>
    </xf>
    <xf numFmtId="4" fontId="19" fillId="0" borderId="0" xfId="0" applyNumberFormat="1" applyFont="1"/>
    <xf numFmtId="0" fontId="23" fillId="0" borderId="0" xfId="18" applyFont="1" applyAlignment="1">
      <alignment horizontal="center" vertical="center" wrapText="1"/>
    </xf>
    <xf numFmtId="0" fontId="23" fillId="0" borderId="0" xfId="18" applyFont="1" applyAlignment="1">
      <alignment vertical="center"/>
    </xf>
    <xf numFmtId="164" fontId="24" fillId="0" borderId="0" xfId="18" applyNumberFormat="1" applyFont="1" applyAlignment="1">
      <alignment vertical="center"/>
    </xf>
    <xf numFmtId="0" fontId="24" fillId="0" borderId="0" xfId="18" applyFont="1" applyAlignment="1">
      <alignment vertical="center"/>
    </xf>
    <xf numFmtId="0" fontId="19" fillId="0" borderId="0" xfId="18" applyFont="1"/>
    <xf numFmtId="14" fontId="24" fillId="0" borderId="0" xfId="18" applyNumberFormat="1" applyFont="1" applyFill="1" applyAlignment="1">
      <alignment vertical="center"/>
    </xf>
    <xf numFmtId="0" fontId="20" fillId="0" borderId="0" xfId="18" applyFont="1"/>
    <xf numFmtId="0" fontId="20" fillId="3" borderId="9" xfId="18" applyFont="1" applyFill="1" applyBorder="1" applyAlignment="1">
      <alignment horizontal="center" vertical="center" wrapText="1"/>
    </xf>
    <xf numFmtId="0" fontId="19" fillId="3" borderId="9" xfId="18" applyFont="1" applyFill="1" applyBorder="1" applyAlignment="1">
      <alignment horizontal="center"/>
    </xf>
    <xf numFmtId="49" fontId="23" fillId="5" borderId="9" xfId="19" applyNumberFormat="1" applyFont="1" applyFill="1" applyBorder="1" applyAlignment="1">
      <alignment horizontal="center" vertical="center" wrapText="1"/>
    </xf>
    <xf numFmtId="0" fontId="23" fillId="5" borderId="9" xfId="19" applyFont="1" applyFill="1" applyBorder="1" applyAlignment="1">
      <alignment horizontal="left" vertical="center" wrapText="1"/>
    </xf>
    <xf numFmtId="4" fontId="23" fillId="5" borderId="9" xfId="18" applyNumberFormat="1" applyFont="1" applyFill="1" applyBorder="1" applyAlignment="1">
      <alignment horizontal="center" vertical="center" wrapText="1"/>
    </xf>
    <xf numFmtId="4" fontId="18" fillId="5" borderId="9" xfId="18" applyNumberFormat="1" applyFont="1" applyFill="1" applyBorder="1" applyAlignment="1">
      <alignment horizontal="center" vertical="center"/>
    </xf>
    <xf numFmtId="49" fontId="20" fillId="2" borderId="9" xfId="19" applyNumberFormat="1" applyFont="1" applyFill="1" applyBorder="1" applyAlignment="1">
      <alignment horizontal="center" vertical="center" wrapText="1"/>
    </xf>
    <xf numFmtId="0" fontId="40" fillId="0" borderId="9" xfId="18" applyFont="1" applyFill="1" applyBorder="1" applyAlignment="1">
      <alignment vertical="center" wrapText="1"/>
    </xf>
    <xf numFmtId="4" fontId="25" fillId="2" borderId="9" xfId="18" applyNumberFormat="1" applyFont="1" applyFill="1" applyBorder="1" applyAlignment="1">
      <alignment horizontal="center" vertical="center" wrapText="1"/>
    </xf>
    <xf numFmtId="4" fontId="25" fillId="2" borderId="9" xfId="18" applyNumberFormat="1" applyFont="1" applyFill="1" applyBorder="1" applyAlignment="1">
      <alignment horizontal="center" vertical="center"/>
    </xf>
    <xf numFmtId="0" fontId="25" fillId="2" borderId="9" xfId="18" applyFont="1" applyFill="1" applyBorder="1" applyAlignment="1">
      <alignment horizontal="left" vertical="center" wrapText="1"/>
    </xf>
    <xf numFmtId="49" fontId="23" fillId="5" borderId="9" xfId="18" applyNumberFormat="1" applyFont="1" applyFill="1" applyBorder="1" applyAlignment="1">
      <alignment horizontal="center" vertical="center" wrapText="1"/>
    </xf>
    <xf numFmtId="0" fontId="23" fillId="5" borderId="9" xfId="18" applyFont="1" applyFill="1" applyBorder="1" applyAlignment="1">
      <alignment horizontal="left" vertical="center" wrapText="1"/>
    </xf>
    <xf numFmtId="49" fontId="25" fillId="2" borderId="9" xfId="18" applyNumberFormat="1" applyFont="1" applyFill="1" applyBorder="1" applyAlignment="1">
      <alignment horizontal="center" vertical="center" wrapText="1"/>
    </xf>
    <xf numFmtId="0" fontId="23" fillId="3" borderId="9" xfId="18" applyFont="1" applyFill="1" applyBorder="1" applyAlignment="1">
      <alignment vertical="center" wrapText="1"/>
    </xf>
    <xf numFmtId="4" fontId="23" fillId="3" borderId="9" xfId="18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40" fillId="0" borderId="9" xfId="18" applyNumberFormat="1" applyFont="1" applyFill="1" applyBorder="1" applyAlignment="1">
      <alignment horizontal="center" vertical="center" wrapText="1"/>
    </xf>
    <xf numFmtId="4" fontId="40" fillId="0" borderId="9" xfId="18" applyNumberFormat="1" applyFont="1" applyFill="1" applyBorder="1" applyAlignment="1">
      <alignment horizontal="center" vertical="center" wrapText="1"/>
    </xf>
    <xf numFmtId="0" fontId="25" fillId="0" borderId="9" xfId="18" applyFont="1" applyBorder="1" applyAlignment="1">
      <alignment horizontal="right" vertical="top"/>
    </xf>
    <xf numFmtId="4" fontId="25" fillId="0" borderId="9" xfId="18" applyNumberFormat="1" applyFont="1" applyBorder="1" applyAlignment="1">
      <alignment horizontal="center" vertical="center"/>
    </xf>
    <xf numFmtId="0" fontId="25" fillId="0" borderId="9" xfId="18" applyFont="1" applyBorder="1"/>
    <xf numFmtId="0" fontId="25" fillId="0" borderId="9" xfId="18" applyFont="1" applyBorder="1" applyAlignment="1">
      <alignment vertical="center" wrapText="1"/>
    </xf>
    <xf numFmtId="0" fontId="18" fillId="0" borderId="0" xfId="20" applyFont="1" applyAlignment="1"/>
    <xf numFmtId="0" fontId="19" fillId="0" borderId="0" xfId="20" applyFont="1"/>
    <xf numFmtId="0" fontId="20" fillId="0" borderId="0" xfId="12" applyFont="1"/>
    <xf numFmtId="0" fontId="19" fillId="0" borderId="0" xfId="20" applyFont="1" applyAlignment="1">
      <alignment vertical="center"/>
    </xf>
    <xf numFmtId="4" fontId="18" fillId="0" borderId="0" xfId="20" applyNumberFormat="1" applyFont="1" applyAlignment="1">
      <alignment vertical="center" wrapText="1"/>
    </xf>
    <xf numFmtId="0" fontId="18" fillId="0" borderId="0" xfId="20" applyFont="1"/>
    <xf numFmtId="0" fontId="24" fillId="0" borderId="0" xfId="20" applyFont="1"/>
    <xf numFmtId="0" fontId="24" fillId="0" borderId="0" xfId="20" applyFont="1" applyFill="1" applyAlignment="1">
      <alignment vertical="center" wrapText="1"/>
    </xf>
    <xf numFmtId="49" fontId="19" fillId="0" borderId="0" xfId="20" applyNumberFormat="1" applyFont="1"/>
    <xf numFmtId="0" fontId="20" fillId="0" borderId="0" xfId="12" quotePrefix="1" applyFont="1" applyFill="1" applyBorder="1"/>
    <xf numFmtId="49" fontId="19" fillId="0" borderId="0" xfId="21" applyNumberFormat="1" applyFont="1"/>
    <xf numFmtId="0" fontId="19" fillId="0" borderId="0" xfId="21" applyFont="1"/>
    <xf numFmtId="49" fontId="19" fillId="0" borderId="0" xfId="21" quotePrefix="1" applyNumberFormat="1" applyFont="1"/>
    <xf numFmtId="49" fontId="19" fillId="0" borderId="0" xfId="21" quotePrefix="1" applyNumberFormat="1" applyFont="1" applyAlignment="1">
      <alignment horizontal="left"/>
    </xf>
    <xf numFmtId="49" fontId="19" fillId="0" borderId="0" xfId="21" quotePrefix="1" applyNumberFormat="1" applyFont="1" applyAlignment="1">
      <alignment horizontal="left" wrapText="1"/>
    </xf>
    <xf numFmtId="49" fontId="19" fillId="0" borderId="0" xfId="21" applyNumberFormat="1" applyFont="1" applyAlignment="1">
      <alignment wrapText="1"/>
    </xf>
    <xf numFmtId="0" fontId="21" fillId="0" borderId="0" xfId="21" applyFont="1"/>
    <xf numFmtId="49" fontId="21" fillId="0" borderId="0" xfId="21" applyNumberFormat="1" applyFont="1"/>
    <xf numFmtId="49" fontId="21" fillId="0" borderId="0" xfId="20" applyNumberFormat="1" applyFont="1"/>
    <xf numFmtId="0" fontId="20" fillId="0" borderId="0" xfId="12" applyFont="1" applyFill="1" applyBorder="1"/>
    <xf numFmtId="0" fontId="43" fillId="0" borderId="0" xfId="20" applyFont="1" applyBorder="1" applyAlignment="1">
      <alignment horizontal="center"/>
    </xf>
    <xf numFmtId="0" fontId="20" fillId="0" borderId="0" xfId="12" applyFont="1" applyBorder="1"/>
    <xf numFmtId="0" fontId="19" fillId="0" borderId="0" xfId="20" applyFont="1" applyBorder="1"/>
    <xf numFmtId="0" fontId="44" fillId="0" borderId="0" xfId="20" applyFont="1" applyBorder="1" applyAlignment="1"/>
    <xf numFmtId="0" fontId="19" fillId="0" borderId="0" xfId="18" applyFont="1" applyBorder="1" applyAlignment="1">
      <alignment vertical="center" wrapText="1"/>
    </xf>
    <xf numFmtId="0" fontId="18" fillId="0" borderId="0" xfId="18" applyFont="1" applyBorder="1"/>
    <xf numFmtId="4" fontId="18" fillId="0" borderId="0" xfId="18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19" fillId="0" borderId="0" xfId="18" applyFont="1" applyFill="1" applyBorder="1" applyAlignment="1">
      <alignment horizontal="left" vertical="top" wrapText="1"/>
    </xf>
    <xf numFmtId="0" fontId="18" fillId="0" borderId="0" xfId="18" applyFont="1" applyBorder="1" applyAlignment="1">
      <alignment horizontal="center"/>
    </xf>
    <xf numFmtId="0" fontId="19" fillId="0" borderId="0" xfId="18" quotePrefix="1" applyFont="1" applyBorder="1" applyAlignment="1">
      <alignment horizontal="center" vertical="center" wrapText="1"/>
    </xf>
    <xf numFmtId="0" fontId="19" fillId="0" borderId="0" xfId="18" applyFont="1" applyBorder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19" fillId="0" borderId="0" xfId="18" applyFont="1" applyBorder="1" applyAlignment="1">
      <alignment horizontal="left" vertical="center" wrapText="1"/>
    </xf>
    <xf numFmtId="0" fontId="19" fillId="0" borderId="0" xfId="18" applyFont="1" applyBorder="1" applyAlignment="1">
      <alignment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18" applyFont="1" applyBorder="1" applyAlignment="1">
      <alignment horizontal="left" vertical="top" wrapText="1"/>
    </xf>
    <xf numFmtId="0" fontId="18" fillId="0" borderId="0" xfId="18" applyFont="1" applyBorder="1" applyAlignment="1">
      <alignment horizontal="center" vertical="center" wrapText="1"/>
    </xf>
    <xf numFmtId="0" fontId="19" fillId="0" borderId="0" xfId="18" applyFont="1" applyFill="1" applyBorder="1" applyAlignment="1">
      <alignment horizontal="left" vertical="center" wrapText="1"/>
    </xf>
    <xf numFmtId="49" fontId="19" fillId="0" borderId="0" xfId="18" applyNumberFormat="1" applyFont="1" applyFill="1" applyBorder="1" applyAlignment="1">
      <alignment horizontal="left" vertical="center" wrapText="1"/>
    </xf>
    <xf numFmtId="49" fontId="19" fillId="0" borderId="0" xfId="21" quotePrefix="1" applyNumberFormat="1" applyFont="1" applyAlignment="1">
      <alignment horizontal="left" wrapText="1"/>
    </xf>
    <xf numFmtId="49" fontId="19" fillId="0" borderId="0" xfId="20" applyNumberFormat="1" applyFont="1" applyAlignment="1">
      <alignment horizontal="left" wrapText="1"/>
    </xf>
    <xf numFmtId="0" fontId="18" fillId="0" borderId="0" xfId="20" applyFont="1" applyAlignment="1">
      <alignment horizontal="center"/>
    </xf>
    <xf numFmtId="0" fontId="18" fillId="0" borderId="0" xfId="20" applyFont="1" applyAlignment="1">
      <alignment horizontal="center" vertical="center" wrapText="1"/>
    </xf>
    <xf numFmtId="0" fontId="18" fillId="0" borderId="0" xfId="20" applyFont="1" applyAlignment="1">
      <alignment horizontal="left" vertical="center" wrapText="1"/>
    </xf>
    <xf numFmtId="0" fontId="41" fillId="0" borderId="0" xfId="20" applyFont="1" applyFill="1" applyAlignment="1">
      <alignment horizontal="left" vertical="center" wrapText="1"/>
    </xf>
    <xf numFmtId="49" fontId="19" fillId="0" borderId="0" xfId="21" applyNumberFormat="1" applyFont="1" applyAlignment="1">
      <alignment horizontal="left" wrapText="1"/>
    </xf>
    <xf numFmtId="0" fontId="44" fillId="0" borderId="0" xfId="20" applyFont="1" applyBorder="1" applyAlignment="1">
      <alignment horizontal="center"/>
    </xf>
    <xf numFmtId="0" fontId="23" fillId="0" borderId="0" xfId="18" applyFont="1" applyAlignment="1">
      <alignment horizontal="center" vertical="center"/>
    </xf>
    <xf numFmtId="0" fontId="23" fillId="0" borderId="0" xfId="18" applyFont="1" applyAlignment="1">
      <alignment horizontal="center" vertical="center" wrapText="1"/>
    </xf>
    <xf numFmtId="0" fontId="20" fillId="3" borderId="9" xfId="18" applyFont="1" applyFill="1" applyBorder="1" applyAlignment="1">
      <alignment horizontal="center" vertical="center" wrapText="1"/>
    </xf>
    <xf numFmtId="0" fontId="20" fillId="3" borderId="3" xfId="18" applyFont="1" applyFill="1" applyBorder="1" applyAlignment="1">
      <alignment horizontal="center" vertical="center" wrapText="1"/>
    </xf>
    <xf numFmtId="0" fontId="20" fillId="3" borderId="7" xfId="18" applyFont="1" applyFill="1" applyBorder="1" applyAlignment="1">
      <alignment horizontal="center" vertical="center" wrapText="1"/>
    </xf>
    <xf numFmtId="0" fontId="18" fillId="2" borderId="0" xfId="14" applyFont="1" applyFill="1" applyAlignment="1">
      <alignment horizontal="center" wrapText="1"/>
    </xf>
    <xf numFmtId="0" fontId="18" fillId="2" borderId="0" xfId="14" applyNumberFormat="1" applyFont="1" applyFill="1" applyAlignment="1">
      <alignment horizontal="center" vertical="center" wrapText="1"/>
    </xf>
    <xf numFmtId="0" fontId="37" fillId="11" borderId="9" xfId="17" applyNumberFormat="1" applyFont="1" applyFill="1" applyBorder="1" applyAlignment="1" applyProtection="1">
      <alignment horizontal="center" vertical="center" wrapText="1"/>
    </xf>
    <xf numFmtId="0" fontId="13" fillId="11" borderId="9" xfId="14" applyFont="1" applyFill="1" applyBorder="1" applyAlignment="1">
      <alignment horizontal="center" vertical="center" wrapText="1"/>
    </xf>
    <xf numFmtId="0" fontId="13" fillId="11" borderId="9" xfId="14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11" borderId="3" xfId="14" applyFont="1" applyFill="1" applyBorder="1" applyAlignment="1">
      <alignment horizontal="center" vertical="center" wrapText="1"/>
    </xf>
    <xf numFmtId="0" fontId="19" fillId="11" borderId="7" xfId="14" applyFont="1" applyFill="1" applyBorder="1" applyAlignment="1">
      <alignment horizontal="center" vertical="center" wrapText="1"/>
    </xf>
    <xf numFmtId="0" fontId="19" fillId="11" borderId="8" xfId="14" applyFont="1" applyFill="1" applyBorder="1" applyAlignment="1">
      <alignment horizontal="center" vertical="center" wrapText="1"/>
    </xf>
    <xf numFmtId="0" fontId="22" fillId="11" borderId="3" xfId="9" applyNumberFormat="1" applyFont="1" applyFill="1" applyBorder="1" applyAlignment="1" applyProtection="1">
      <alignment horizontal="center" vertical="center" wrapText="1"/>
    </xf>
    <xf numFmtId="0" fontId="22" fillId="11" borderId="7" xfId="9" applyNumberFormat="1" applyFont="1" applyFill="1" applyBorder="1" applyAlignment="1" applyProtection="1">
      <alignment horizontal="center" vertical="center" wrapText="1"/>
    </xf>
    <xf numFmtId="0" fontId="22" fillId="11" borderId="8" xfId="9" applyNumberFormat="1" applyFont="1" applyFill="1" applyBorder="1" applyAlignment="1" applyProtection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8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Alignment="1">
      <alignment horizontal="center"/>
    </xf>
    <xf numFmtId="0" fontId="19" fillId="2" borderId="0" xfId="5" applyFont="1" applyFill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7" fillId="0" borderId="0" xfId="8" applyFont="1" applyAlignment="1">
      <alignment horizontal="center" vertical="center" wrapText="1"/>
    </xf>
    <xf numFmtId="0" fontId="0" fillId="0" borderId="0" xfId="0" applyAlignment="1"/>
    <xf numFmtId="0" fontId="28" fillId="2" borderId="1" xfId="9" applyFont="1" applyFill="1" applyBorder="1" applyAlignment="1">
      <alignment horizontal="right"/>
    </xf>
    <xf numFmtId="0" fontId="28" fillId="2" borderId="0" xfId="9" applyFont="1" applyFill="1" applyBorder="1" applyAlignment="1">
      <alignment horizontal="right"/>
    </xf>
    <xf numFmtId="0" fontId="0" fillId="0" borderId="0" xfId="0" applyBorder="1" applyAlignment="1"/>
    <xf numFmtId="0" fontId="20" fillId="2" borderId="9" xfId="9" applyFont="1" applyFill="1" applyBorder="1" applyAlignment="1">
      <alignment horizontal="center" vertical="center"/>
    </xf>
    <xf numFmtId="0" fontId="30" fillId="6" borderId="9" xfId="1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center" wrapText="1"/>
    </xf>
    <xf numFmtId="165" fontId="32" fillId="8" borderId="9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34" fillId="0" borderId="0" xfId="11" applyNumberFormat="1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9" borderId="2" xfId="0" applyFont="1" applyFill="1" applyBorder="1" applyAlignment="1">
      <alignment horizontal="left" vertical="top"/>
    </xf>
    <xf numFmtId="0" fontId="19" fillId="9" borderId="1" xfId="0" applyFont="1" applyFill="1" applyBorder="1" applyAlignment="1">
      <alignment horizontal="left" vertical="top"/>
    </xf>
    <xf numFmtId="0" fontId="19" fillId="9" borderId="4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6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horizontal="center"/>
    </xf>
    <xf numFmtId="0" fontId="14" fillId="0" borderId="0" xfId="3" applyFont="1" applyAlignment="1">
      <alignment horizontal="left" vertical="top" wrapText="1"/>
    </xf>
    <xf numFmtId="0" fontId="14" fillId="0" borderId="1" xfId="3" applyFont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right" vertical="top" wrapText="1"/>
    </xf>
    <xf numFmtId="0" fontId="12" fillId="0" borderId="6" xfId="0" applyNumberFormat="1" applyFont="1" applyFill="1" applyBorder="1" applyAlignment="1" applyProtection="1">
      <alignment horizontal="right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</cellXfs>
  <cellStyles count="22">
    <cellStyle name="Обычный" xfId="0" builtinId="0"/>
    <cellStyle name="Обычный 10" xfId="14"/>
    <cellStyle name="Обычный 14" xfId="2"/>
    <cellStyle name="Обычный 2" xfId="4"/>
    <cellStyle name="Обычный 2 2" xfId="16"/>
    <cellStyle name="Обычный 2 3" xfId="10"/>
    <cellStyle name="Обычный 2 4" xfId="13"/>
    <cellStyle name="Обычный 3 2 3" xfId="12"/>
    <cellStyle name="Обычный 3 3" xfId="11"/>
    <cellStyle name="Обычный 3 3 2" xfId="5"/>
    <cellStyle name="Обычный 3 3 4" xfId="20"/>
    <cellStyle name="Обычный 3 5" xfId="7"/>
    <cellStyle name="Обычный 4" xfId="6"/>
    <cellStyle name="Обычный 4 3" xfId="19"/>
    <cellStyle name="Обычный 4 3 2" xfId="18"/>
    <cellStyle name="Обычный 5" xfId="9"/>
    <cellStyle name="Обычный 5 3" xfId="17"/>
    <cellStyle name="Обычный 5 4" xfId="21"/>
    <cellStyle name="Обычный 7" xfId="8"/>
    <cellStyle name="Процентный" xfId="1" builtinId="5"/>
    <cellStyle name="СводРасч" xfId="15"/>
    <cellStyle name="Хвос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sqref="A1:C20"/>
    </sheetView>
  </sheetViews>
  <sheetFormatPr defaultRowHeight="15.75" x14ac:dyDescent="0.25"/>
  <cols>
    <col min="1" max="1" width="22" style="156" customWidth="1"/>
    <col min="2" max="2" width="52.42578125" style="156" customWidth="1"/>
    <col min="3" max="3" width="32.5703125" style="156" customWidth="1"/>
    <col min="4" max="16384" width="9.140625" style="156"/>
  </cols>
  <sheetData>
    <row r="1" spans="1:3" x14ac:dyDescent="0.25">
      <c r="A1" s="211" t="s">
        <v>321</v>
      </c>
      <c r="B1" s="211"/>
      <c r="C1" s="211"/>
    </row>
    <row r="2" spans="1:3" x14ac:dyDescent="0.25">
      <c r="A2" s="211" t="s">
        <v>322</v>
      </c>
      <c r="B2" s="211"/>
      <c r="C2" s="211"/>
    </row>
    <row r="3" spans="1:3" x14ac:dyDescent="0.25">
      <c r="A3" s="212" t="s">
        <v>273</v>
      </c>
      <c r="B3" s="213"/>
      <c r="C3" s="213"/>
    </row>
    <row r="4" spans="1:3" ht="52.5" customHeight="1" x14ac:dyDescent="0.25">
      <c r="A4" s="214" t="s">
        <v>292</v>
      </c>
      <c r="B4" s="214"/>
      <c r="C4" s="214"/>
    </row>
    <row r="5" spans="1:3" ht="133.5" customHeight="1" x14ac:dyDescent="0.25">
      <c r="A5" s="215" t="s">
        <v>323</v>
      </c>
      <c r="B5" s="215"/>
      <c r="C5" s="215"/>
    </row>
    <row r="6" spans="1:3" ht="30" customHeight="1" x14ac:dyDescent="0.25">
      <c r="A6" s="210" t="s">
        <v>324</v>
      </c>
      <c r="B6" s="210"/>
      <c r="C6" s="210"/>
    </row>
    <row r="7" spans="1:3" ht="73.5" customHeight="1" x14ac:dyDescent="0.25">
      <c r="A7" s="218" t="s">
        <v>325</v>
      </c>
      <c r="B7" s="218"/>
      <c r="C7" s="218"/>
    </row>
    <row r="8" spans="1:3" x14ac:dyDescent="0.25">
      <c r="A8" s="219" t="s">
        <v>326</v>
      </c>
      <c r="B8" s="219"/>
      <c r="C8" s="219"/>
    </row>
    <row r="9" spans="1:3" ht="50.25" customHeight="1" x14ac:dyDescent="0.25">
      <c r="A9" s="220" t="s">
        <v>333</v>
      </c>
      <c r="B9" s="220"/>
      <c r="C9" s="220"/>
    </row>
    <row r="10" spans="1:3" ht="23.25" customHeight="1" x14ac:dyDescent="0.25">
      <c r="A10" s="216" t="s">
        <v>327</v>
      </c>
      <c r="B10" s="216"/>
      <c r="C10" s="216"/>
    </row>
    <row r="11" spans="1:3" ht="49.5" customHeight="1" x14ac:dyDescent="0.25">
      <c r="A11" s="221" t="s">
        <v>328</v>
      </c>
      <c r="B11" s="221"/>
      <c r="C11" s="221"/>
    </row>
    <row r="12" spans="1:3" ht="33" customHeight="1" x14ac:dyDescent="0.25">
      <c r="A12" s="215" t="s">
        <v>329</v>
      </c>
      <c r="B12" s="215"/>
      <c r="C12" s="215"/>
    </row>
    <row r="13" spans="1:3" x14ac:dyDescent="0.25">
      <c r="A13" s="215" t="s">
        <v>330</v>
      </c>
      <c r="B13" s="215"/>
      <c r="C13" s="215"/>
    </row>
    <row r="14" spans="1:3" x14ac:dyDescent="0.25">
      <c r="A14" s="206"/>
      <c r="B14" s="206"/>
      <c r="C14" s="206"/>
    </row>
    <row r="15" spans="1:3" x14ac:dyDescent="0.25">
      <c r="A15" s="207" t="s">
        <v>331</v>
      </c>
      <c r="B15" s="208"/>
      <c r="C15" s="207"/>
    </row>
    <row r="16" spans="1:3" x14ac:dyDescent="0.25">
      <c r="A16" s="216"/>
      <c r="B16" s="216"/>
      <c r="C16" s="216"/>
    </row>
    <row r="17" spans="1:7" x14ac:dyDescent="0.25">
      <c r="A17" s="207"/>
      <c r="B17" s="208">
        <f>НМЦ!E21</f>
        <v>1754412170.8699999</v>
      </c>
      <c r="C17" s="207" t="s">
        <v>332</v>
      </c>
    </row>
    <row r="19" spans="1:7" ht="56.25" customHeight="1" x14ac:dyDescent="0.25">
      <c r="A19" s="217" t="s">
        <v>266</v>
      </c>
      <c r="B19" s="217"/>
      <c r="C19" s="128" t="s">
        <v>267</v>
      </c>
      <c r="D19" s="209"/>
      <c r="E19" s="209"/>
      <c r="F19" s="209"/>
      <c r="G19" s="202"/>
    </row>
  </sheetData>
  <mergeCells count="15">
    <mergeCell ref="A13:C13"/>
    <mergeCell ref="A16:C16"/>
    <mergeCell ref="A19:B19"/>
    <mergeCell ref="A7:C7"/>
    <mergeCell ref="A8:C8"/>
    <mergeCell ref="A9:C9"/>
    <mergeCell ref="A10:C10"/>
    <mergeCell ref="A11:C11"/>
    <mergeCell ref="A12:C12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sqref="A1:K34"/>
    </sheetView>
  </sheetViews>
  <sheetFormatPr defaultRowHeight="15.75" x14ac:dyDescent="0.25"/>
  <cols>
    <col min="1" max="2" width="9.140625" style="184"/>
    <col min="3" max="3" width="17.140625" style="184" customWidth="1"/>
    <col min="4" max="4" width="21.42578125" style="184" customWidth="1"/>
    <col min="5" max="6" width="9.140625" style="184"/>
    <col min="7" max="7" width="18.5703125" style="184" customWidth="1"/>
    <col min="8" max="16384" width="9.140625" style="184"/>
  </cols>
  <sheetData>
    <row r="1" spans="1:16" x14ac:dyDescent="0.25">
      <c r="A1" s="224" t="s">
        <v>293</v>
      </c>
      <c r="B1" s="224"/>
      <c r="C1" s="224"/>
      <c r="D1" s="224"/>
      <c r="E1" s="224"/>
      <c r="F1" s="224"/>
      <c r="G1" s="224"/>
      <c r="H1" s="224"/>
      <c r="I1" s="224"/>
      <c r="J1" s="224"/>
      <c r="K1" s="182"/>
      <c r="L1" s="182"/>
      <c r="M1" s="182"/>
      <c r="N1" s="182"/>
      <c r="O1" s="182"/>
      <c r="P1" s="183"/>
    </row>
    <row r="2" spans="1:16" x14ac:dyDescent="0.25">
      <c r="A2" s="224" t="s">
        <v>294</v>
      </c>
      <c r="B2" s="224"/>
      <c r="C2" s="224"/>
      <c r="D2" s="224"/>
      <c r="E2" s="224"/>
      <c r="F2" s="224"/>
      <c r="G2" s="224"/>
      <c r="H2" s="224"/>
      <c r="I2" s="224"/>
      <c r="J2" s="224"/>
      <c r="K2" s="182"/>
      <c r="L2" s="182"/>
      <c r="M2" s="182"/>
      <c r="N2" s="182"/>
      <c r="O2" s="182"/>
      <c r="P2" s="183"/>
    </row>
    <row r="3" spans="1:16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36.75" customHeight="1" x14ac:dyDescent="0.25">
      <c r="A4" s="185" t="s">
        <v>295</v>
      </c>
      <c r="B4" s="183"/>
      <c r="C4" s="225" t="s">
        <v>292</v>
      </c>
      <c r="D4" s="225"/>
      <c r="E4" s="225"/>
      <c r="F4" s="225"/>
      <c r="G4" s="225"/>
      <c r="H4" s="225"/>
      <c r="I4" s="225"/>
      <c r="J4" s="225"/>
      <c r="K4" s="225"/>
      <c r="L4" s="183"/>
      <c r="M4" s="183"/>
      <c r="N4" s="183"/>
      <c r="O4" s="183"/>
      <c r="P4" s="183"/>
    </row>
    <row r="5" spans="1:16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x14ac:dyDescent="0.25">
      <c r="A6" s="226" t="s">
        <v>296</v>
      </c>
      <c r="B6" s="226"/>
      <c r="C6" s="226"/>
      <c r="D6" s="226"/>
      <c r="E6" s="226"/>
      <c r="F6" s="226"/>
      <c r="G6" s="186">
        <f>НМЦ!E21</f>
        <v>1754412170.8699999</v>
      </c>
      <c r="H6" s="187"/>
      <c r="I6" s="187"/>
      <c r="J6" s="187"/>
      <c r="K6" s="187"/>
      <c r="L6" s="188"/>
      <c r="M6" s="188"/>
      <c r="N6" s="188"/>
      <c r="O6" s="188"/>
      <c r="P6" s="183"/>
    </row>
    <row r="7" spans="1:16" ht="27.75" customHeight="1" x14ac:dyDescent="0.25">
      <c r="A7" s="227" t="str">
        <f>[1]!СуммаПрописью(G6)</f>
        <v>Один миллиард семьсот пятьдесят четыре миллиона четыреста двенадцать тысяч сто семьдесят рублей 87 копеек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189"/>
      <c r="M7" s="189"/>
      <c r="N7" s="189"/>
      <c r="O7" s="189"/>
      <c r="P7" s="183"/>
    </row>
    <row r="8" spans="1:16" x14ac:dyDescent="0.25">
      <c r="A8" s="183" t="s">
        <v>297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x14ac:dyDescent="0.25">
      <c r="A9" s="190" t="s">
        <v>298</v>
      </c>
      <c r="B9" s="190"/>
      <c r="C9" s="190"/>
      <c r="D9" s="190"/>
      <c r="E9" s="190"/>
      <c r="F9" s="190"/>
      <c r="G9" s="190"/>
      <c r="H9" s="183"/>
      <c r="I9" s="183"/>
      <c r="J9" s="183"/>
      <c r="K9" s="183"/>
      <c r="L9" s="183"/>
      <c r="M9" s="183"/>
      <c r="N9" s="183"/>
      <c r="O9" s="183"/>
      <c r="P9" s="183"/>
    </row>
    <row r="10" spans="1:16" ht="35.25" customHeight="1" x14ac:dyDescent="0.25">
      <c r="A10" s="223" t="s">
        <v>317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83"/>
      <c r="M10" s="183"/>
      <c r="N10" s="183"/>
      <c r="O10" s="183"/>
      <c r="P10" s="183"/>
    </row>
    <row r="11" spans="1:16" x14ac:dyDescent="0.25">
      <c r="A11" s="191" t="s">
        <v>318</v>
      </c>
      <c r="C11" s="190"/>
      <c r="D11" s="190"/>
      <c r="E11" s="190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s="193" customFormat="1" x14ac:dyDescent="0.25">
      <c r="A12" s="192" t="s">
        <v>299</v>
      </c>
      <c r="B12" s="192"/>
      <c r="C12" s="192"/>
      <c r="D12" s="192"/>
      <c r="E12" s="192"/>
      <c r="F12" s="192"/>
      <c r="G12" s="192"/>
      <c r="H12" s="192"/>
      <c r="I12" s="192"/>
    </row>
    <row r="13" spans="1:16" s="193" customFormat="1" x14ac:dyDescent="0.25">
      <c r="A13" s="192" t="s">
        <v>300</v>
      </c>
      <c r="B13" s="192"/>
      <c r="C13" s="192"/>
      <c r="D13" s="192"/>
      <c r="E13" s="192"/>
      <c r="F13" s="192"/>
      <c r="G13" s="192"/>
      <c r="H13" s="192"/>
      <c r="I13" s="192"/>
    </row>
    <row r="14" spans="1:16" s="193" customFormat="1" x14ac:dyDescent="0.25">
      <c r="A14" s="192" t="s">
        <v>301</v>
      </c>
      <c r="B14" s="192"/>
      <c r="C14" s="192"/>
      <c r="D14" s="192"/>
      <c r="E14" s="192"/>
      <c r="F14" s="192"/>
      <c r="G14" s="192"/>
      <c r="H14" s="192"/>
      <c r="I14" s="192"/>
    </row>
    <row r="15" spans="1:16" s="193" customFormat="1" x14ac:dyDescent="0.25">
      <c r="A15" s="192" t="s">
        <v>302</v>
      </c>
      <c r="B15" s="192"/>
      <c r="C15" s="192"/>
      <c r="D15" s="192"/>
      <c r="E15" s="192"/>
      <c r="F15" s="192"/>
      <c r="G15" s="192"/>
      <c r="H15" s="192"/>
      <c r="I15" s="192"/>
    </row>
    <row r="16" spans="1:16" s="193" customFormat="1" x14ac:dyDescent="0.25">
      <c r="A16" s="192" t="s">
        <v>303</v>
      </c>
      <c r="B16" s="192"/>
      <c r="C16" s="192"/>
      <c r="D16" s="192"/>
      <c r="E16" s="192"/>
      <c r="F16" s="192"/>
      <c r="G16" s="192"/>
      <c r="H16" s="192"/>
      <c r="I16" s="192"/>
    </row>
    <row r="17" spans="1:16" s="193" customFormat="1" x14ac:dyDescent="0.25">
      <c r="A17" s="192" t="s">
        <v>304</v>
      </c>
      <c r="B17" s="192"/>
      <c r="C17" s="192"/>
      <c r="D17" s="192"/>
      <c r="E17" s="192"/>
      <c r="F17" s="192"/>
      <c r="G17" s="192"/>
      <c r="H17" s="192"/>
      <c r="I17" s="192"/>
    </row>
    <row r="18" spans="1:16" s="193" customFormat="1" x14ac:dyDescent="0.25">
      <c r="A18" s="192" t="s">
        <v>305</v>
      </c>
      <c r="B18" s="192"/>
      <c r="C18" s="192"/>
      <c r="D18" s="192"/>
      <c r="E18" s="192"/>
      <c r="F18" s="192"/>
      <c r="G18" s="192"/>
      <c r="H18" s="192"/>
      <c r="I18" s="192"/>
    </row>
    <row r="19" spans="1:16" s="193" customFormat="1" x14ac:dyDescent="0.25">
      <c r="A19" s="192" t="s">
        <v>306</v>
      </c>
      <c r="B19" s="192"/>
      <c r="C19" s="192"/>
      <c r="D19" s="192"/>
      <c r="E19" s="192"/>
      <c r="F19" s="192"/>
      <c r="G19" s="192"/>
      <c r="H19" s="192"/>
      <c r="I19" s="192"/>
    </row>
    <row r="20" spans="1:16" s="193" customFormat="1" x14ac:dyDescent="0.25">
      <c r="A20" s="194" t="s">
        <v>307</v>
      </c>
      <c r="B20" s="192"/>
      <c r="C20" s="192"/>
      <c r="D20" s="192"/>
      <c r="E20" s="192"/>
      <c r="F20" s="192"/>
      <c r="G20" s="192"/>
      <c r="H20" s="192"/>
      <c r="I20" s="192"/>
    </row>
    <row r="21" spans="1:16" s="193" customFormat="1" ht="30" customHeight="1" x14ac:dyDescent="0.25">
      <c r="A21" s="222" t="s">
        <v>319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6" s="193" customFormat="1" x14ac:dyDescent="0.25">
      <c r="A22" s="222" t="s">
        <v>308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</row>
    <row r="23" spans="1:16" s="193" customFormat="1" x14ac:dyDescent="0.25">
      <c r="A23" s="195" t="s">
        <v>309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6" s="193" customFormat="1" x14ac:dyDescent="0.25">
      <c r="A24" s="195" t="s">
        <v>310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</row>
    <row r="25" spans="1:16" s="193" customFormat="1" x14ac:dyDescent="0.25">
      <c r="A25" s="195" t="s">
        <v>320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</row>
    <row r="26" spans="1:16" s="193" customFormat="1" x14ac:dyDescent="0.25">
      <c r="A26" s="192" t="s">
        <v>311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6" s="198" customFormat="1" ht="29.25" customHeight="1" x14ac:dyDescent="0.25">
      <c r="A27" s="228" t="s">
        <v>312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197"/>
      <c r="M27" s="197"/>
      <c r="N27" s="197"/>
      <c r="O27" s="197"/>
    </row>
    <row r="28" spans="1:16" s="198" customFormat="1" ht="33.75" customHeight="1" x14ac:dyDescent="0.25">
      <c r="A28" s="228" t="s">
        <v>313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6" s="198" customFormat="1" x14ac:dyDescent="0.25">
      <c r="A29" s="192" t="s">
        <v>314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6" x14ac:dyDescent="0.25">
      <c r="A30" s="200"/>
      <c r="B30" s="201"/>
      <c r="C30" s="190"/>
      <c r="D30" s="190"/>
      <c r="E30" s="190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x14ac:dyDescent="0.25">
      <c r="A31" s="190" t="s">
        <v>315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83"/>
      <c r="M31" s="183"/>
      <c r="N31" s="183"/>
      <c r="O31" s="183"/>
      <c r="P31" s="183"/>
    </row>
    <row r="32" spans="1:16" x14ac:dyDescent="0.25">
      <c r="A32" s="190" t="s">
        <v>316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83"/>
      <c r="M32" s="183"/>
      <c r="N32" s="183"/>
      <c r="O32" s="183"/>
      <c r="P32" s="183"/>
    </row>
    <row r="33" spans="1:16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83"/>
      <c r="M33" s="183"/>
      <c r="N33" s="183"/>
      <c r="O33" s="183"/>
      <c r="P33" s="183"/>
    </row>
    <row r="34" spans="1:16" ht="54" customHeight="1" x14ac:dyDescent="0.25">
      <c r="A34" s="217" t="s">
        <v>266</v>
      </c>
      <c r="B34" s="217"/>
      <c r="C34" s="217"/>
      <c r="D34" s="217"/>
      <c r="E34" s="217"/>
      <c r="F34" s="217"/>
      <c r="G34" s="202"/>
      <c r="H34" s="203"/>
      <c r="I34" s="128" t="s">
        <v>267</v>
      </c>
      <c r="J34" s="203"/>
      <c r="K34" s="202"/>
      <c r="L34" s="202"/>
      <c r="P34" s="183"/>
    </row>
    <row r="35" spans="1:16" x14ac:dyDescent="0.25">
      <c r="A35" s="204"/>
      <c r="B35" s="204"/>
      <c r="C35" s="204"/>
      <c r="D35" s="204"/>
      <c r="E35" s="204"/>
      <c r="F35" s="203"/>
      <c r="G35" s="229"/>
      <c r="H35" s="229"/>
      <c r="I35" s="229"/>
      <c r="J35" s="229"/>
      <c r="K35" s="205"/>
      <c r="L35" s="183"/>
      <c r="P35" s="183"/>
    </row>
  </sheetData>
  <mergeCells count="12">
    <mergeCell ref="A22:K22"/>
    <mergeCell ref="A27:K27"/>
    <mergeCell ref="A28:K28"/>
    <mergeCell ref="A34:F34"/>
    <mergeCell ref="G35:J35"/>
    <mergeCell ref="A21:K21"/>
    <mergeCell ref="A10:K10"/>
    <mergeCell ref="A1:J1"/>
    <mergeCell ref="A2:J2"/>
    <mergeCell ref="C4:K4"/>
    <mergeCell ref="A6:F6"/>
    <mergeCell ref="A7:K7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J17" sqref="J17"/>
    </sheetView>
  </sheetViews>
  <sheetFormatPr defaultRowHeight="15" x14ac:dyDescent="0.25"/>
  <cols>
    <col min="2" max="2" width="47.28515625" customWidth="1"/>
    <col min="3" max="3" width="19.7109375" customWidth="1"/>
    <col min="4" max="4" width="17.28515625" customWidth="1"/>
    <col min="5" max="5" width="17.5703125" customWidth="1"/>
    <col min="7" max="7" width="30" customWidth="1"/>
  </cols>
  <sheetData>
    <row r="1" spans="1:5" ht="15.75" x14ac:dyDescent="0.25">
      <c r="A1" s="230" t="s">
        <v>272</v>
      </c>
      <c r="B1" s="230"/>
      <c r="C1" s="230"/>
      <c r="D1" s="230"/>
      <c r="E1" s="230"/>
    </row>
    <row r="2" spans="1:5" ht="15.75" x14ac:dyDescent="0.25">
      <c r="A2" s="231" t="s">
        <v>273</v>
      </c>
      <c r="B2" s="231"/>
      <c r="C2" s="231"/>
      <c r="D2" s="231"/>
      <c r="E2" s="231"/>
    </row>
    <row r="3" spans="1:5" ht="49.5" customHeight="1" x14ac:dyDescent="0.25">
      <c r="A3" s="231" t="s">
        <v>292</v>
      </c>
      <c r="B3" s="231"/>
      <c r="C3" s="231"/>
      <c r="D3" s="231"/>
      <c r="E3" s="231"/>
    </row>
    <row r="4" spans="1:5" ht="15.75" x14ac:dyDescent="0.25">
      <c r="A4" s="152"/>
      <c r="B4" s="152"/>
      <c r="C4" s="152"/>
      <c r="D4" s="152"/>
      <c r="E4" s="152"/>
    </row>
    <row r="5" spans="1:5" ht="15.75" hidden="1" x14ac:dyDescent="0.25">
      <c r="A5" s="153" t="s">
        <v>274</v>
      </c>
      <c r="B5" s="153"/>
      <c r="C5" s="154">
        <f>(C7-C6)/30.5</f>
        <v>15.4</v>
      </c>
      <c r="D5" s="155" t="s">
        <v>275</v>
      </c>
      <c r="E5" s="156"/>
    </row>
    <row r="6" spans="1:5" ht="15.75" hidden="1" x14ac:dyDescent="0.25">
      <c r="A6" s="153" t="s">
        <v>276</v>
      </c>
      <c r="B6" s="153"/>
      <c r="C6" s="157">
        <f>НМЦК!F71</f>
        <v>45170</v>
      </c>
      <c r="D6" s="155"/>
      <c r="E6" s="156"/>
    </row>
    <row r="7" spans="1:5" ht="15.75" hidden="1" x14ac:dyDescent="0.25">
      <c r="A7" s="153" t="s">
        <v>277</v>
      </c>
      <c r="B7" s="153"/>
      <c r="C7" s="157">
        <f>НМЦК!F88</f>
        <v>45641</v>
      </c>
      <c r="D7" s="155"/>
      <c r="E7" s="156"/>
    </row>
    <row r="8" spans="1:5" ht="15.75" x14ac:dyDescent="0.25">
      <c r="A8" s="153"/>
      <c r="B8" s="158"/>
      <c r="C8" s="158"/>
      <c r="D8" s="156"/>
      <c r="E8" s="156"/>
    </row>
    <row r="9" spans="1:5" ht="15.75" x14ac:dyDescent="0.25">
      <c r="A9" s="232" t="s">
        <v>278</v>
      </c>
      <c r="B9" s="233" t="s">
        <v>279</v>
      </c>
      <c r="C9" s="232" t="s">
        <v>280</v>
      </c>
      <c r="D9" s="232"/>
      <c r="E9" s="232"/>
    </row>
    <row r="10" spans="1:5" ht="15.75" x14ac:dyDescent="0.25">
      <c r="A10" s="232"/>
      <c r="B10" s="234"/>
      <c r="C10" s="159" t="s">
        <v>281</v>
      </c>
      <c r="D10" s="159" t="s">
        <v>282</v>
      </c>
      <c r="E10" s="159" t="s">
        <v>283</v>
      </c>
    </row>
    <row r="11" spans="1:5" ht="15.75" x14ac:dyDescent="0.25">
      <c r="A11" s="159">
        <v>1</v>
      </c>
      <c r="B11" s="159">
        <v>2</v>
      </c>
      <c r="C11" s="159">
        <v>3</v>
      </c>
      <c r="D11" s="160">
        <v>4</v>
      </c>
      <c r="E11" s="160">
        <v>5</v>
      </c>
    </row>
    <row r="12" spans="1:5" ht="15.75" x14ac:dyDescent="0.25">
      <c r="A12" s="161" t="s">
        <v>150</v>
      </c>
      <c r="B12" s="162" t="s">
        <v>284</v>
      </c>
      <c r="C12" s="163">
        <f>'Проект сметы контракта'!F8</f>
        <v>28091660.109999999</v>
      </c>
      <c r="D12" s="164">
        <f>C12*0.2</f>
        <v>5618332.0199999996</v>
      </c>
      <c r="E12" s="164">
        <f>C12+D12</f>
        <v>33709992.130000003</v>
      </c>
    </row>
    <row r="13" spans="1:5" ht="15.75" x14ac:dyDescent="0.25">
      <c r="A13" s="165"/>
      <c r="B13" s="166" t="s">
        <v>285</v>
      </c>
      <c r="C13" s="167"/>
      <c r="D13" s="168"/>
      <c r="E13" s="168"/>
    </row>
    <row r="14" spans="1:5" ht="15.75" x14ac:dyDescent="0.25">
      <c r="A14" s="165"/>
      <c r="B14" s="169" t="s">
        <v>55</v>
      </c>
      <c r="C14" s="167">
        <f>'Проект сметы контракта'!F10</f>
        <v>818203.69</v>
      </c>
      <c r="D14" s="168">
        <f>C14*0.2</f>
        <v>163640.74</v>
      </c>
      <c r="E14" s="168">
        <f>C14+D14</f>
        <v>981844.43</v>
      </c>
    </row>
    <row r="15" spans="1:5" ht="31.5" x14ac:dyDescent="0.25">
      <c r="A15" s="165"/>
      <c r="B15" s="169" t="s">
        <v>286</v>
      </c>
      <c r="C15" s="167">
        <f>НМЦК!M11-НМЦК!I11</f>
        <v>1125212.78</v>
      </c>
      <c r="D15" s="168">
        <f>C15*0.2</f>
        <v>225042.56</v>
      </c>
      <c r="E15" s="168">
        <f>C15+D15</f>
        <v>1350255.34</v>
      </c>
    </row>
    <row r="16" spans="1:5" ht="31.5" x14ac:dyDescent="0.25">
      <c r="A16" s="170" t="s">
        <v>105</v>
      </c>
      <c r="B16" s="171" t="s">
        <v>287</v>
      </c>
      <c r="C16" s="163">
        <f>'Проект сметы контракта'!F11</f>
        <v>1433918482.28</v>
      </c>
      <c r="D16" s="164">
        <f>C16*0.2</f>
        <v>286783696.45999998</v>
      </c>
      <c r="E16" s="164">
        <f>C16+D16</f>
        <v>1720702178.74</v>
      </c>
    </row>
    <row r="17" spans="1:7" ht="15.75" x14ac:dyDescent="0.25">
      <c r="A17" s="172"/>
      <c r="B17" s="166" t="s">
        <v>285</v>
      </c>
      <c r="C17" s="167"/>
      <c r="D17" s="168"/>
      <c r="E17" s="168"/>
    </row>
    <row r="18" spans="1:7" ht="15.75" x14ac:dyDescent="0.25">
      <c r="A18" s="172"/>
      <c r="B18" s="169" t="s">
        <v>85</v>
      </c>
      <c r="C18" s="167">
        <f>'Проект сметы контракта'!H11</f>
        <v>877286950.47000003</v>
      </c>
      <c r="D18" s="168">
        <f>C18*0.2</f>
        <v>175457390.09</v>
      </c>
      <c r="E18" s="168">
        <f>C18+D18</f>
        <v>1052744340.5599999</v>
      </c>
    </row>
    <row r="19" spans="1:7" ht="15.75" x14ac:dyDescent="0.25">
      <c r="A19" s="172"/>
      <c r="B19" s="169" t="s">
        <v>55</v>
      </c>
      <c r="C19" s="167">
        <f>'Проект сметы контракта'!F39</f>
        <v>41764615.979999997</v>
      </c>
      <c r="D19" s="168">
        <f>C19*0.2</f>
        <v>8352923.2000000002</v>
      </c>
      <c r="E19" s="168">
        <f>C19+D19</f>
        <v>50117539.18</v>
      </c>
    </row>
    <row r="20" spans="1:7" ht="31.5" x14ac:dyDescent="0.25">
      <c r="A20" s="172"/>
      <c r="B20" s="169" t="s">
        <v>286</v>
      </c>
      <c r="C20" s="167">
        <f>НМЦК!M14-НМЦК!I14</f>
        <v>88797237.359999999</v>
      </c>
      <c r="D20" s="168">
        <f>C20*0.2</f>
        <v>17759447.469999999</v>
      </c>
      <c r="E20" s="168">
        <f>C20+D20</f>
        <v>106556684.83</v>
      </c>
    </row>
    <row r="21" spans="1:7" ht="15.75" x14ac:dyDescent="0.25">
      <c r="A21" s="173"/>
      <c r="B21" s="173" t="s">
        <v>288</v>
      </c>
      <c r="C21" s="174">
        <f>C12+C16</f>
        <v>1462010142.3900001</v>
      </c>
      <c r="D21" s="174">
        <f>D12+D16</f>
        <v>292402028.48000002</v>
      </c>
      <c r="E21" s="174">
        <f>E12+E16</f>
        <v>1754412170.8699999</v>
      </c>
      <c r="G21" s="175"/>
    </row>
    <row r="22" spans="1:7" ht="15.75" x14ac:dyDescent="0.25">
      <c r="A22" s="166"/>
      <c r="B22" s="166" t="s">
        <v>285</v>
      </c>
      <c r="C22" s="176"/>
      <c r="D22" s="177"/>
      <c r="E22" s="177"/>
    </row>
    <row r="23" spans="1:7" ht="15.75" x14ac:dyDescent="0.25">
      <c r="A23" s="178"/>
      <c r="B23" s="169" t="s">
        <v>289</v>
      </c>
      <c r="C23" s="167">
        <f>C18</f>
        <v>877286950.47000003</v>
      </c>
      <c r="D23" s="179">
        <f>C23*20%</f>
        <v>175457390.09</v>
      </c>
      <c r="E23" s="179">
        <f t="shared" ref="E23:E24" si="0">C23+D23</f>
        <v>1052744340.5599999</v>
      </c>
    </row>
    <row r="24" spans="1:7" ht="15.75" x14ac:dyDescent="0.25">
      <c r="A24" s="180"/>
      <c r="B24" s="180" t="s">
        <v>290</v>
      </c>
      <c r="C24" s="167">
        <f>C14+C19</f>
        <v>42582819.670000002</v>
      </c>
      <c r="D24" s="179">
        <f>C24*0.2</f>
        <v>8516563.9299999997</v>
      </c>
      <c r="E24" s="179">
        <f t="shared" si="0"/>
        <v>51099383.600000001</v>
      </c>
    </row>
    <row r="25" spans="1:7" ht="31.5" x14ac:dyDescent="0.25">
      <c r="A25" s="181"/>
      <c r="B25" s="169" t="s">
        <v>291</v>
      </c>
      <c r="C25" s="167">
        <f>C15+C20</f>
        <v>89922450.140000001</v>
      </c>
      <c r="D25" s="179">
        <f>C25*0.2</f>
        <v>17984490.030000001</v>
      </c>
      <c r="E25" s="179">
        <f>C25+D25</f>
        <v>107906940.17</v>
      </c>
    </row>
    <row r="28" spans="1:7" ht="64.5" customHeight="1" x14ac:dyDescent="0.25">
      <c r="A28" s="217" t="s">
        <v>266</v>
      </c>
      <c r="B28" s="217"/>
      <c r="C28" s="217"/>
      <c r="D28" s="127"/>
      <c r="E28" s="128" t="s">
        <v>267</v>
      </c>
    </row>
  </sheetData>
  <mergeCells count="7">
    <mergeCell ref="A28:C28"/>
    <mergeCell ref="A1:E1"/>
    <mergeCell ref="A2:E2"/>
    <mergeCell ref="A3:E3"/>
    <mergeCell ref="A9:A10"/>
    <mergeCell ref="B9:B10"/>
    <mergeCell ref="C9:E9"/>
  </mergeCells>
  <pageMargins left="0.7" right="0.7" top="0.75" bottom="0.75" header="0.3" footer="0.3"/>
  <pageSetup paperSize="9" scale="78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0" workbookViewId="0">
      <selection sqref="A1:H45"/>
    </sheetView>
  </sheetViews>
  <sheetFormatPr defaultRowHeight="15" x14ac:dyDescent="0.25"/>
  <cols>
    <col min="2" max="2" width="45.42578125" customWidth="1"/>
    <col min="3" max="3" width="12" customWidth="1"/>
    <col min="4" max="4" width="12.5703125" customWidth="1"/>
    <col min="5" max="5" width="18.140625" customWidth="1"/>
    <col min="6" max="6" width="17.5703125" customWidth="1"/>
    <col min="7" max="7" width="15.28515625" customWidth="1"/>
    <col min="8" max="8" width="16" customWidth="1"/>
  </cols>
  <sheetData>
    <row r="1" spans="1:8" ht="15.75" x14ac:dyDescent="0.25">
      <c r="A1" s="235" t="s">
        <v>268</v>
      </c>
      <c r="B1" s="235"/>
      <c r="C1" s="235"/>
      <c r="D1" s="235"/>
      <c r="E1" s="235"/>
      <c r="F1" s="235"/>
      <c r="G1" s="235"/>
      <c r="H1" s="235"/>
    </row>
    <row r="2" spans="1:8" x14ac:dyDescent="0.25">
      <c r="A2" s="131"/>
      <c r="B2" s="132"/>
      <c r="C2" s="133"/>
      <c r="D2" s="133"/>
      <c r="E2" s="133"/>
      <c r="F2" s="133"/>
      <c r="G2" s="133"/>
      <c r="H2" s="133"/>
    </row>
    <row r="3" spans="1:8" ht="43.5" customHeight="1" x14ac:dyDescent="0.25">
      <c r="A3" s="134" t="s">
        <v>260</v>
      </c>
      <c r="B3" s="236" t="s">
        <v>171</v>
      </c>
      <c r="C3" s="236"/>
      <c r="D3" s="236"/>
      <c r="E3" s="236"/>
      <c r="F3" s="236"/>
      <c r="G3" s="236"/>
      <c r="H3" s="236"/>
    </row>
    <row r="4" spans="1:8" ht="15.75" x14ac:dyDescent="0.25">
      <c r="A4" s="135"/>
      <c r="B4" s="136"/>
      <c r="C4" s="137"/>
      <c r="D4" s="137"/>
      <c r="E4" s="137"/>
      <c r="F4" s="137"/>
      <c r="G4" s="137"/>
      <c r="H4" s="137"/>
    </row>
    <row r="5" spans="1:8" x14ac:dyDescent="0.25">
      <c r="A5" s="237" t="s">
        <v>9</v>
      </c>
      <c r="B5" s="237" t="s">
        <v>83</v>
      </c>
      <c r="C5" s="238" t="s">
        <v>263</v>
      </c>
      <c r="D5" s="238" t="s">
        <v>264</v>
      </c>
      <c r="E5" s="239" t="s">
        <v>269</v>
      </c>
      <c r="F5" s="239"/>
      <c r="G5" s="239" t="s">
        <v>270</v>
      </c>
      <c r="H5" s="239"/>
    </row>
    <row r="6" spans="1:8" ht="25.5" x14ac:dyDescent="0.25">
      <c r="A6" s="237"/>
      <c r="B6" s="237"/>
      <c r="C6" s="238"/>
      <c r="D6" s="238"/>
      <c r="E6" s="138" t="s">
        <v>271</v>
      </c>
      <c r="F6" s="139" t="s">
        <v>87</v>
      </c>
      <c r="G6" s="138" t="s">
        <v>271</v>
      </c>
      <c r="H6" s="139" t="s">
        <v>87</v>
      </c>
    </row>
    <row r="7" spans="1:8" ht="15.75" x14ac:dyDescent="0.25">
      <c r="A7" s="140">
        <v>1</v>
      </c>
      <c r="B7" s="140">
        <v>2</v>
      </c>
      <c r="C7" s="122">
        <v>3</v>
      </c>
      <c r="D7" s="122">
        <v>4</v>
      </c>
      <c r="E7" s="141">
        <v>5</v>
      </c>
      <c r="F7" s="141">
        <v>6</v>
      </c>
      <c r="G7" s="141">
        <v>7</v>
      </c>
      <c r="H7" s="141">
        <v>8</v>
      </c>
    </row>
    <row r="8" spans="1:8" ht="15.75" x14ac:dyDescent="0.25">
      <c r="A8" s="19" t="s">
        <v>150</v>
      </c>
      <c r="B8" s="19" t="s">
        <v>149</v>
      </c>
      <c r="C8" s="123" t="s">
        <v>265</v>
      </c>
      <c r="D8" s="123">
        <v>1</v>
      </c>
      <c r="E8" s="142">
        <f>E9+E10</f>
        <v>28091660.109999999</v>
      </c>
      <c r="F8" s="142">
        <f>F9+F10</f>
        <v>28091660.109999999</v>
      </c>
      <c r="G8" s="142"/>
      <c r="H8" s="142"/>
    </row>
    <row r="9" spans="1:8" ht="15.75" x14ac:dyDescent="0.25">
      <c r="A9" s="22" t="s">
        <v>93</v>
      </c>
      <c r="B9" s="22" t="s">
        <v>94</v>
      </c>
      <c r="C9" s="124" t="s">
        <v>265</v>
      </c>
      <c r="D9" s="124">
        <v>1</v>
      </c>
      <c r="E9" s="143">
        <f>НМЦК!M12</f>
        <v>27273456.420000002</v>
      </c>
      <c r="F9" s="143">
        <f>E9</f>
        <v>27273456.420000002</v>
      </c>
      <c r="G9" s="143"/>
      <c r="H9" s="143"/>
    </row>
    <row r="10" spans="1:8" ht="31.5" x14ac:dyDescent="0.25">
      <c r="A10" s="22" t="s">
        <v>95</v>
      </c>
      <c r="B10" s="73" t="s">
        <v>151</v>
      </c>
      <c r="C10" s="125" t="s">
        <v>265</v>
      </c>
      <c r="D10" s="125">
        <v>1</v>
      </c>
      <c r="E10" s="143">
        <f>НМЦК!M13</f>
        <v>818203.69</v>
      </c>
      <c r="F10" s="143">
        <f>E10</f>
        <v>818203.69</v>
      </c>
      <c r="G10" s="143"/>
      <c r="H10" s="143"/>
    </row>
    <row r="11" spans="1:8" ht="15.75" x14ac:dyDescent="0.25">
      <c r="A11" s="19" t="s">
        <v>105</v>
      </c>
      <c r="B11" s="19" t="s">
        <v>96</v>
      </c>
      <c r="C11" s="123" t="s">
        <v>265</v>
      </c>
      <c r="D11" s="123">
        <v>1</v>
      </c>
      <c r="E11" s="142">
        <f>E12+E13+E14+E25+E28+E29+E33+E34+E35+E36+E37+E38+E39</f>
        <v>1433918482.28</v>
      </c>
      <c r="F11" s="142">
        <f>F12+F13+F14+F25+F28+F29+F33+F34+F35+F36+F37+F38+F39</f>
        <v>1433918482.28</v>
      </c>
      <c r="G11" s="142">
        <f>G12+G13+G14+G25+G28+G29+G33+G34+G35+G36+G37+G38+G39</f>
        <v>877286950.47000003</v>
      </c>
      <c r="H11" s="142">
        <f>H12+H13+H14+H25+H28+H29+H33+H34+H35+H36+H37+H38+H39</f>
        <v>877286950.47000003</v>
      </c>
    </row>
    <row r="12" spans="1:8" ht="94.5" x14ac:dyDescent="0.25">
      <c r="A12" s="26" t="s">
        <v>106</v>
      </c>
      <c r="B12" s="109" t="s">
        <v>216</v>
      </c>
      <c r="C12" s="125" t="s">
        <v>265</v>
      </c>
      <c r="D12" s="125">
        <v>1</v>
      </c>
      <c r="E12" s="149">
        <f>НМЦК!M15</f>
        <v>3207697.01</v>
      </c>
      <c r="F12" s="149">
        <f>E12</f>
        <v>3207697.01</v>
      </c>
      <c r="G12" s="148"/>
      <c r="H12" s="148"/>
    </row>
    <row r="13" spans="1:8" ht="15.75" x14ac:dyDescent="0.25">
      <c r="A13" s="29" t="s">
        <v>107</v>
      </c>
      <c r="B13" s="109" t="s">
        <v>179</v>
      </c>
      <c r="C13" s="125" t="s">
        <v>265</v>
      </c>
      <c r="D13" s="125">
        <v>1</v>
      </c>
      <c r="E13" s="149">
        <f>НМЦК!M16</f>
        <v>543893.52</v>
      </c>
      <c r="F13" s="149">
        <f>E13</f>
        <v>543893.52</v>
      </c>
      <c r="G13" s="149"/>
      <c r="H13" s="149"/>
    </row>
    <row r="14" spans="1:8" ht="15.75" x14ac:dyDescent="0.25">
      <c r="A14" s="26" t="s">
        <v>163</v>
      </c>
      <c r="B14" s="109" t="s">
        <v>180</v>
      </c>
      <c r="C14" s="125" t="s">
        <v>265</v>
      </c>
      <c r="D14" s="125">
        <v>1</v>
      </c>
      <c r="E14" s="149">
        <f>E15+E16+E17+E18+E19+E20+E21+E22+E23+E24</f>
        <v>387271341.14999998</v>
      </c>
      <c r="F14" s="149">
        <f>F15+F16+F17+F18+F19+F20+F21+F22+F23+F24</f>
        <v>387271341.14999998</v>
      </c>
      <c r="G14" s="149">
        <f>G15+G16+G17+G18+G19+G20+G21+G22+G23+G24</f>
        <v>312743608.06</v>
      </c>
      <c r="H14" s="149">
        <f>H15+H16+H17+H18+H19+H20+H21+H22+H23+H24</f>
        <v>312743608.06</v>
      </c>
    </row>
    <row r="15" spans="1:8" ht="31.5" x14ac:dyDescent="0.25">
      <c r="A15" s="30" t="s">
        <v>242</v>
      </c>
      <c r="B15" s="78" t="s">
        <v>218</v>
      </c>
      <c r="C15" s="126" t="s">
        <v>265</v>
      </c>
      <c r="D15" s="126">
        <v>1</v>
      </c>
      <c r="E15" s="150">
        <f>НМЦК!M18</f>
        <v>23788140.989999998</v>
      </c>
      <c r="F15" s="150">
        <f>E15</f>
        <v>23788140.989999998</v>
      </c>
      <c r="G15" s="150">
        <f>НМЦК!E18*НМЦК!J18*НМЦК!L18</f>
        <v>11575492.279999999</v>
      </c>
      <c r="H15" s="150">
        <f>G15</f>
        <v>11575492.279999999</v>
      </c>
    </row>
    <row r="16" spans="1:8" ht="47.25" x14ac:dyDescent="0.25">
      <c r="A16" s="30" t="s">
        <v>243</v>
      </c>
      <c r="B16" s="78" t="s">
        <v>219</v>
      </c>
      <c r="C16" s="126" t="s">
        <v>265</v>
      </c>
      <c r="D16" s="126">
        <v>1</v>
      </c>
      <c r="E16" s="150">
        <f>НМЦК!M19</f>
        <v>2421943.85</v>
      </c>
      <c r="F16" s="150">
        <f t="shared" ref="F16:F24" si="0">E16</f>
        <v>2421943.85</v>
      </c>
      <c r="G16" s="150"/>
      <c r="H16" s="150"/>
    </row>
    <row r="17" spans="1:8" ht="63" x14ac:dyDescent="0.25">
      <c r="A17" s="30" t="s">
        <v>244</v>
      </c>
      <c r="B17" s="78" t="s">
        <v>220</v>
      </c>
      <c r="C17" s="126" t="s">
        <v>265</v>
      </c>
      <c r="D17" s="126">
        <v>1</v>
      </c>
      <c r="E17" s="150">
        <f>НМЦК!M20</f>
        <v>6630607.8700000001</v>
      </c>
      <c r="F17" s="150">
        <f t="shared" si="0"/>
        <v>6630607.8700000001</v>
      </c>
      <c r="G17" s="150"/>
      <c r="H17" s="150"/>
    </row>
    <row r="18" spans="1:8" ht="47.25" x14ac:dyDescent="0.25">
      <c r="A18" s="30" t="s">
        <v>245</v>
      </c>
      <c r="B18" s="78" t="s">
        <v>221</v>
      </c>
      <c r="C18" s="126" t="s">
        <v>265</v>
      </c>
      <c r="D18" s="126">
        <v>1</v>
      </c>
      <c r="E18" s="150">
        <f>НМЦК!M21</f>
        <v>22996068.23</v>
      </c>
      <c r="F18" s="150">
        <f t="shared" si="0"/>
        <v>22996068.23</v>
      </c>
      <c r="G18" s="150"/>
      <c r="H18" s="150"/>
    </row>
    <row r="19" spans="1:8" ht="31.5" x14ac:dyDescent="0.25">
      <c r="A19" s="30" t="s">
        <v>246</v>
      </c>
      <c r="B19" s="78" t="s">
        <v>222</v>
      </c>
      <c r="C19" s="126" t="s">
        <v>265</v>
      </c>
      <c r="D19" s="126">
        <v>1</v>
      </c>
      <c r="E19" s="150">
        <f>НМЦК!M22</f>
        <v>86564366.799999997</v>
      </c>
      <c r="F19" s="150">
        <f t="shared" si="0"/>
        <v>86564366.799999997</v>
      </c>
      <c r="G19" s="150">
        <f>НМЦК!E22*НМЦК!J22*НМЦК!L22</f>
        <v>84972592.099999994</v>
      </c>
      <c r="H19" s="150">
        <f>G19</f>
        <v>84972592.099999994</v>
      </c>
    </row>
    <row r="20" spans="1:8" ht="47.25" x14ac:dyDescent="0.25">
      <c r="A20" s="30" t="s">
        <v>247</v>
      </c>
      <c r="B20" s="78" t="s">
        <v>223</v>
      </c>
      <c r="C20" s="126" t="s">
        <v>265</v>
      </c>
      <c r="D20" s="126">
        <v>1</v>
      </c>
      <c r="E20" s="150">
        <f>НМЦК!M23</f>
        <v>3941652.03</v>
      </c>
      <c r="F20" s="150">
        <f t="shared" si="0"/>
        <v>3941652.03</v>
      </c>
      <c r="G20" s="150">
        <f>НМЦК!E23*НМЦК!J23*НМЦК!L23</f>
        <v>208467.4</v>
      </c>
      <c r="H20" s="150">
        <f>G20</f>
        <v>208467.4</v>
      </c>
    </row>
    <row r="21" spans="1:8" ht="63" x14ac:dyDescent="0.25">
      <c r="A21" s="30" t="s">
        <v>248</v>
      </c>
      <c r="B21" s="78" t="s">
        <v>225</v>
      </c>
      <c r="C21" s="126" t="s">
        <v>265</v>
      </c>
      <c r="D21" s="126">
        <v>1</v>
      </c>
      <c r="E21" s="150">
        <f>НМЦК!M24</f>
        <v>43157.26</v>
      </c>
      <c r="F21" s="150">
        <f t="shared" si="0"/>
        <v>43157.26</v>
      </c>
      <c r="G21" s="150">
        <f>НМЦК!E24*НМЦК!J24*НМЦК!L24</f>
        <v>10657.89</v>
      </c>
      <c r="H21" s="150">
        <f>G21</f>
        <v>10657.89</v>
      </c>
    </row>
    <row r="22" spans="1:8" ht="31.5" x14ac:dyDescent="0.25">
      <c r="A22" s="30" t="s">
        <v>249</v>
      </c>
      <c r="B22" s="78" t="s">
        <v>227</v>
      </c>
      <c r="C22" s="126" t="s">
        <v>265</v>
      </c>
      <c r="D22" s="126">
        <v>1</v>
      </c>
      <c r="E22" s="150">
        <f>НМЦК!M25</f>
        <v>5737482.2599999998</v>
      </c>
      <c r="F22" s="150">
        <f t="shared" si="0"/>
        <v>5737482.2599999998</v>
      </c>
      <c r="G22" s="150">
        <f>НМЦК!E25*НМЦК!J25*НМЦК!L25</f>
        <v>4524728.2300000004</v>
      </c>
      <c r="H22" s="150">
        <f>G22</f>
        <v>4524728.2300000004</v>
      </c>
    </row>
    <row r="23" spans="1:8" ht="15.75" x14ac:dyDescent="0.25">
      <c r="A23" s="30" t="s">
        <v>250</v>
      </c>
      <c r="B23" s="78" t="s">
        <v>229</v>
      </c>
      <c r="C23" s="126" t="s">
        <v>265</v>
      </c>
      <c r="D23" s="126">
        <v>1</v>
      </c>
      <c r="E23" s="150">
        <f>НМЦК!M26</f>
        <v>211876284.69</v>
      </c>
      <c r="F23" s="150">
        <f t="shared" si="0"/>
        <v>211876284.69</v>
      </c>
      <c r="G23" s="150">
        <f>НМЦК!E26*НМЦК!J26*НМЦК!L26</f>
        <v>211451670.16</v>
      </c>
      <c r="H23" s="150">
        <f>G23</f>
        <v>211451670.16</v>
      </c>
    </row>
    <row r="24" spans="1:8" ht="15.75" x14ac:dyDescent="0.25">
      <c r="A24" s="30" t="s">
        <v>251</v>
      </c>
      <c r="B24" s="78" t="s">
        <v>152</v>
      </c>
      <c r="C24" s="126" t="s">
        <v>265</v>
      </c>
      <c r="D24" s="126">
        <v>1</v>
      </c>
      <c r="E24" s="150">
        <f>НМЦК!M27</f>
        <v>23271637.170000002</v>
      </c>
      <c r="F24" s="150">
        <f t="shared" si="0"/>
        <v>23271637.170000002</v>
      </c>
      <c r="G24" s="150"/>
      <c r="H24" s="150"/>
    </row>
    <row r="25" spans="1:8" ht="15.75" x14ac:dyDescent="0.25">
      <c r="A25" s="26" t="s">
        <v>159</v>
      </c>
      <c r="B25" s="109" t="s">
        <v>183</v>
      </c>
      <c r="C25" s="125" t="s">
        <v>265</v>
      </c>
      <c r="D25" s="125">
        <v>1</v>
      </c>
      <c r="E25" s="149">
        <f>E26+E27</f>
        <v>55334160.119999997</v>
      </c>
      <c r="F25" s="149">
        <f>F26+F27</f>
        <v>55334160.119999997</v>
      </c>
      <c r="G25" s="149">
        <f>G26+G27</f>
        <v>482615.03</v>
      </c>
      <c r="H25" s="149">
        <f>H26+H27</f>
        <v>482615.03</v>
      </c>
    </row>
    <row r="26" spans="1:8" ht="15.75" x14ac:dyDescent="0.25">
      <c r="A26" s="30" t="s">
        <v>164</v>
      </c>
      <c r="B26" s="78" t="s">
        <v>232</v>
      </c>
      <c r="C26" s="126" t="s">
        <v>265</v>
      </c>
      <c r="D26" s="126">
        <v>1</v>
      </c>
      <c r="E26" s="150">
        <f>НМЦК!M29</f>
        <v>10076596.470000001</v>
      </c>
      <c r="F26" s="150">
        <f t="shared" ref="F26:F27" si="1">E26</f>
        <v>10076596.470000001</v>
      </c>
      <c r="G26" s="150"/>
      <c r="H26" s="150"/>
    </row>
    <row r="27" spans="1:8" ht="15.75" x14ac:dyDescent="0.25">
      <c r="A27" s="30" t="s">
        <v>165</v>
      </c>
      <c r="B27" s="78" t="s">
        <v>234</v>
      </c>
      <c r="C27" s="126" t="s">
        <v>265</v>
      </c>
      <c r="D27" s="126">
        <v>1</v>
      </c>
      <c r="E27" s="150">
        <f>НМЦК!M30</f>
        <v>45257563.649999999</v>
      </c>
      <c r="F27" s="150">
        <f t="shared" si="1"/>
        <v>45257563.649999999</v>
      </c>
      <c r="G27" s="150">
        <f>НМЦК!E30*НМЦК!J30*НМЦК!L30</f>
        <v>482615.03</v>
      </c>
      <c r="H27" s="150">
        <f>G27</f>
        <v>482615.03</v>
      </c>
    </row>
    <row r="28" spans="1:8" ht="15.75" x14ac:dyDescent="0.25">
      <c r="A28" s="26" t="s">
        <v>162</v>
      </c>
      <c r="B28" s="109" t="s">
        <v>187</v>
      </c>
      <c r="C28" s="125" t="s">
        <v>265</v>
      </c>
      <c r="D28" s="125">
        <v>1</v>
      </c>
      <c r="E28" s="149">
        <f>НМЦК!M31</f>
        <v>4904805.21</v>
      </c>
      <c r="F28" s="149">
        <f>E28</f>
        <v>4904805.21</v>
      </c>
      <c r="G28" s="149">
        <f>НМЦК!E31*НМЦК!J31*НМЦК!L31</f>
        <v>90888.45</v>
      </c>
      <c r="H28" s="149">
        <f>G28</f>
        <v>90888.45</v>
      </c>
    </row>
    <row r="29" spans="1:8" ht="15.75" x14ac:dyDescent="0.25">
      <c r="A29" s="26" t="s">
        <v>161</v>
      </c>
      <c r="B29" s="109" t="s">
        <v>191</v>
      </c>
      <c r="C29" s="125" t="s">
        <v>265</v>
      </c>
      <c r="D29" s="125">
        <v>1</v>
      </c>
      <c r="E29" s="149">
        <f>E30+E31+E32</f>
        <v>923662555.32000005</v>
      </c>
      <c r="F29" s="149">
        <f>F30+F31+F32</f>
        <v>923662555.32000005</v>
      </c>
      <c r="G29" s="149">
        <f>G30+G31+G32</f>
        <v>538417791.83000004</v>
      </c>
      <c r="H29" s="149">
        <f>H30+H31+H32</f>
        <v>538417791.83000004</v>
      </c>
    </row>
    <row r="30" spans="1:8" ht="15.75" x14ac:dyDescent="0.25">
      <c r="A30" s="30" t="s">
        <v>252</v>
      </c>
      <c r="B30" s="78" t="s">
        <v>236</v>
      </c>
      <c r="C30" s="126" t="s">
        <v>265</v>
      </c>
      <c r="D30" s="126">
        <v>1</v>
      </c>
      <c r="E30" s="150">
        <f>НМЦК!M33</f>
        <v>912522953.55999994</v>
      </c>
      <c r="F30" s="150">
        <f t="shared" ref="F30:F32" si="2">E30</f>
        <v>912522953.55999994</v>
      </c>
      <c r="G30" s="150">
        <f>НМЦК!E33*НМЦК!J33*НМЦК!L33</f>
        <v>538404730.20000005</v>
      </c>
      <c r="H30" s="150">
        <f>G30</f>
        <v>538404730.20000005</v>
      </c>
    </row>
    <row r="31" spans="1:8" ht="31.5" x14ac:dyDescent="0.25">
      <c r="A31" s="30" t="s">
        <v>253</v>
      </c>
      <c r="B31" s="78" t="s">
        <v>238</v>
      </c>
      <c r="C31" s="126" t="s">
        <v>265</v>
      </c>
      <c r="D31" s="126">
        <v>1</v>
      </c>
      <c r="E31" s="150">
        <f>НМЦК!M34</f>
        <v>7327965.9800000004</v>
      </c>
      <c r="F31" s="150">
        <f t="shared" si="2"/>
        <v>7327965.9800000004</v>
      </c>
      <c r="G31" s="150">
        <f>НМЦК!E34*НМЦК!J34*НМЦК!L34</f>
        <v>13061.63</v>
      </c>
      <c r="H31" s="150">
        <f>G31</f>
        <v>13061.63</v>
      </c>
    </row>
    <row r="32" spans="1:8" ht="15.75" x14ac:dyDescent="0.25">
      <c r="A32" s="30" t="s">
        <v>254</v>
      </c>
      <c r="B32" s="78" t="s">
        <v>240</v>
      </c>
      <c r="C32" s="126" t="s">
        <v>265</v>
      </c>
      <c r="D32" s="126">
        <v>1</v>
      </c>
      <c r="E32" s="150">
        <f>НМЦК!M35</f>
        <v>3811635.78</v>
      </c>
      <c r="F32" s="150">
        <f t="shared" si="2"/>
        <v>3811635.78</v>
      </c>
      <c r="G32" s="150"/>
      <c r="H32" s="150"/>
    </row>
    <row r="33" spans="1:8" ht="31.5" x14ac:dyDescent="0.25">
      <c r="A33" s="26" t="s">
        <v>160</v>
      </c>
      <c r="B33" s="109" t="s">
        <v>194</v>
      </c>
      <c r="C33" s="125" t="s">
        <v>265</v>
      </c>
      <c r="D33" s="125">
        <v>1</v>
      </c>
      <c r="E33" s="149">
        <f>НМЦК!M36</f>
        <v>4384154.3099999996</v>
      </c>
      <c r="F33" s="149">
        <f>E33</f>
        <v>4384154.3099999996</v>
      </c>
      <c r="G33" s="149"/>
      <c r="H33" s="149"/>
    </row>
    <row r="34" spans="1:8" ht="94.5" x14ac:dyDescent="0.25">
      <c r="A34" s="26" t="s">
        <v>166</v>
      </c>
      <c r="B34" s="109" t="s">
        <v>38</v>
      </c>
      <c r="C34" s="125" t="s">
        <v>265</v>
      </c>
      <c r="D34" s="125">
        <v>1</v>
      </c>
      <c r="E34" s="149">
        <f>НМЦК!M37</f>
        <v>2327960.9</v>
      </c>
      <c r="F34" s="149">
        <f t="shared" ref="F34:F39" si="3">E34</f>
        <v>2327960.9</v>
      </c>
      <c r="G34" s="149"/>
      <c r="H34" s="149"/>
    </row>
    <row r="35" spans="1:8" ht="15.75" x14ac:dyDescent="0.25">
      <c r="A35" s="26" t="s">
        <v>167</v>
      </c>
      <c r="B35" s="109" t="s">
        <v>39</v>
      </c>
      <c r="C35" s="125" t="s">
        <v>265</v>
      </c>
      <c r="D35" s="125">
        <v>1</v>
      </c>
      <c r="E35" s="149">
        <f>НМЦК!M38</f>
        <v>94.89</v>
      </c>
      <c r="F35" s="149">
        <f t="shared" si="3"/>
        <v>94.89</v>
      </c>
      <c r="G35" s="149"/>
      <c r="H35" s="149"/>
    </row>
    <row r="36" spans="1:8" ht="15.75" x14ac:dyDescent="0.25">
      <c r="A36" s="26" t="s">
        <v>168</v>
      </c>
      <c r="B36" s="109" t="s">
        <v>40</v>
      </c>
      <c r="C36" s="125" t="s">
        <v>265</v>
      </c>
      <c r="D36" s="125">
        <v>1</v>
      </c>
      <c r="E36" s="149">
        <f>НМЦК!M39</f>
        <v>3698.5</v>
      </c>
      <c r="F36" s="149">
        <f t="shared" si="3"/>
        <v>3698.5</v>
      </c>
      <c r="G36" s="149"/>
      <c r="H36" s="149"/>
    </row>
    <row r="37" spans="1:8" ht="31.5" x14ac:dyDescent="0.25">
      <c r="A37" s="26" t="s">
        <v>255</v>
      </c>
      <c r="B37" s="109" t="s">
        <v>198</v>
      </c>
      <c r="C37" s="125" t="s">
        <v>265</v>
      </c>
      <c r="D37" s="125">
        <v>1</v>
      </c>
      <c r="E37" s="149">
        <f>НМЦК!M40</f>
        <v>58154.28</v>
      </c>
      <c r="F37" s="149">
        <f t="shared" si="3"/>
        <v>58154.28</v>
      </c>
      <c r="G37" s="149"/>
      <c r="H37" s="149"/>
    </row>
    <row r="38" spans="1:8" ht="15.75" x14ac:dyDescent="0.25">
      <c r="A38" s="26" t="s">
        <v>256</v>
      </c>
      <c r="B38" s="109" t="s">
        <v>217</v>
      </c>
      <c r="C38" s="125" t="s">
        <v>265</v>
      </c>
      <c r="D38" s="125">
        <v>1</v>
      </c>
      <c r="E38" s="149">
        <f>НМЦК!M41</f>
        <v>10455351.09</v>
      </c>
      <c r="F38" s="149">
        <f t="shared" si="3"/>
        <v>10455351.09</v>
      </c>
      <c r="G38" s="149"/>
      <c r="H38" s="149"/>
    </row>
    <row r="39" spans="1:8" ht="31.5" x14ac:dyDescent="0.25">
      <c r="A39" s="26" t="s">
        <v>257</v>
      </c>
      <c r="B39" s="75" t="s">
        <v>103</v>
      </c>
      <c r="C39" s="125" t="s">
        <v>265</v>
      </c>
      <c r="D39" s="125">
        <v>1</v>
      </c>
      <c r="E39" s="149">
        <f>НМЦК!M42</f>
        <v>41764615.979999997</v>
      </c>
      <c r="F39" s="149">
        <f t="shared" si="3"/>
        <v>41764615.979999997</v>
      </c>
      <c r="G39" s="149">
        <f>(G14+G25+G28+G29)*0.03</f>
        <v>25552047.100000001</v>
      </c>
      <c r="H39" s="149">
        <f>G39</f>
        <v>25552047.100000001</v>
      </c>
    </row>
    <row r="40" spans="1:8" ht="15.75" x14ac:dyDescent="0.25">
      <c r="A40" s="144"/>
      <c r="B40" s="145" t="s">
        <v>153</v>
      </c>
      <c r="C40" s="146"/>
      <c r="D40" s="146"/>
      <c r="E40" s="147">
        <f>E8+E11</f>
        <v>1462010142.3900001</v>
      </c>
      <c r="F40" s="147">
        <f>E40</f>
        <v>1462010142.3900001</v>
      </c>
      <c r="G40" s="147">
        <f>G8+G11</f>
        <v>877286950.47000003</v>
      </c>
      <c r="H40" s="147">
        <f>H8+H11</f>
        <v>877286950.47000003</v>
      </c>
    </row>
    <row r="41" spans="1:8" ht="15.75" x14ac:dyDescent="0.25">
      <c r="A41" s="144"/>
      <c r="B41" s="145" t="s">
        <v>104</v>
      </c>
      <c r="C41" s="146"/>
      <c r="D41" s="146"/>
      <c r="E41" s="147">
        <f>E40*0.2</f>
        <v>292402028.48000002</v>
      </c>
      <c r="F41" s="147">
        <f>E41</f>
        <v>292402028.48000002</v>
      </c>
      <c r="G41" s="147">
        <f>G40*0.2</f>
        <v>175457390.09</v>
      </c>
      <c r="H41" s="147">
        <f>H40*0.2</f>
        <v>175457390.09</v>
      </c>
    </row>
    <row r="42" spans="1:8" ht="15.75" x14ac:dyDescent="0.25">
      <c r="A42" s="144"/>
      <c r="B42" s="145" t="s">
        <v>154</v>
      </c>
      <c r="C42" s="146"/>
      <c r="D42" s="146"/>
      <c r="E42" s="147">
        <f>E40+E41</f>
        <v>1754412170.8699999</v>
      </c>
      <c r="F42" s="147">
        <f>E42</f>
        <v>1754412170.8699999</v>
      </c>
      <c r="G42" s="147">
        <f>G40+G41</f>
        <v>1052744340.5599999</v>
      </c>
      <c r="H42" s="147">
        <f>H40+H41</f>
        <v>1052744340.5599999</v>
      </c>
    </row>
    <row r="45" spans="1:8" ht="54" customHeight="1" x14ac:dyDescent="0.25">
      <c r="A45" s="217" t="s">
        <v>266</v>
      </c>
      <c r="B45" s="217"/>
      <c r="C45" s="217"/>
      <c r="D45" s="127"/>
      <c r="G45" s="128" t="s">
        <v>267</v>
      </c>
    </row>
  </sheetData>
  <mergeCells count="9">
    <mergeCell ref="A45:C45"/>
    <mergeCell ref="A1:H1"/>
    <mergeCell ref="B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42" workbookViewId="0">
      <selection sqref="A1:E43"/>
    </sheetView>
  </sheetViews>
  <sheetFormatPr defaultRowHeight="15" x14ac:dyDescent="0.25"/>
  <cols>
    <col min="2" max="2" width="28.5703125" customWidth="1"/>
    <col min="3" max="3" width="41.42578125" customWidth="1"/>
    <col min="4" max="4" width="24.7109375" customWidth="1"/>
    <col min="5" max="5" width="28.28515625" customWidth="1"/>
  </cols>
  <sheetData>
    <row r="1" spans="1:5" ht="15.75" x14ac:dyDescent="0.25">
      <c r="A1" s="240" t="s">
        <v>259</v>
      </c>
      <c r="B1" s="240"/>
      <c r="C1" s="240"/>
      <c r="D1" s="240"/>
      <c r="E1" s="240"/>
    </row>
    <row r="2" spans="1:5" ht="15.75" x14ac:dyDescent="0.25">
      <c r="A2" s="114"/>
      <c r="B2" s="115"/>
      <c r="C2" s="116"/>
      <c r="D2" s="36"/>
      <c r="E2" s="36"/>
    </row>
    <row r="3" spans="1:5" ht="45" customHeight="1" x14ac:dyDescent="0.25">
      <c r="A3" s="129" t="s">
        <v>260</v>
      </c>
      <c r="B3" s="241" t="s">
        <v>171</v>
      </c>
      <c r="C3" s="241"/>
      <c r="D3" s="241"/>
      <c r="E3" s="241"/>
    </row>
    <row r="4" spans="1:5" ht="15.75" x14ac:dyDescent="0.25">
      <c r="A4" s="117"/>
      <c r="B4" s="118"/>
      <c r="C4" s="119"/>
      <c r="D4" s="120"/>
      <c r="E4" s="120"/>
    </row>
    <row r="5" spans="1:5" x14ac:dyDescent="0.25">
      <c r="A5" s="242" t="s">
        <v>82</v>
      </c>
      <c r="B5" s="245" t="s">
        <v>261</v>
      </c>
      <c r="C5" s="245" t="s">
        <v>262</v>
      </c>
      <c r="D5" s="248" t="s">
        <v>263</v>
      </c>
      <c r="E5" s="248" t="s">
        <v>264</v>
      </c>
    </row>
    <row r="6" spans="1:5" x14ac:dyDescent="0.25">
      <c r="A6" s="243"/>
      <c r="B6" s="246"/>
      <c r="C6" s="246"/>
      <c r="D6" s="249"/>
      <c r="E6" s="249"/>
    </row>
    <row r="7" spans="1:5" ht="33" customHeight="1" x14ac:dyDescent="0.25">
      <c r="A7" s="244"/>
      <c r="B7" s="247"/>
      <c r="C7" s="247"/>
      <c r="D7" s="250"/>
      <c r="E7" s="250"/>
    </row>
    <row r="8" spans="1:5" ht="15.75" x14ac:dyDescent="0.25">
      <c r="A8" s="121">
        <v>1</v>
      </c>
      <c r="B8" s="121">
        <v>2</v>
      </c>
      <c r="C8" s="121">
        <v>3</v>
      </c>
      <c r="D8" s="122">
        <v>4</v>
      </c>
      <c r="E8" s="122">
        <v>5</v>
      </c>
    </row>
    <row r="9" spans="1:5" ht="15.75" x14ac:dyDescent="0.25">
      <c r="A9" s="19" t="s">
        <v>150</v>
      </c>
      <c r="B9" s="19"/>
      <c r="C9" s="19" t="s">
        <v>149</v>
      </c>
      <c r="D9" s="123" t="s">
        <v>265</v>
      </c>
      <c r="E9" s="123">
        <v>1</v>
      </c>
    </row>
    <row r="10" spans="1:5" ht="15.75" x14ac:dyDescent="0.25">
      <c r="A10" s="22" t="s">
        <v>93</v>
      </c>
      <c r="B10" s="72" t="s">
        <v>241</v>
      </c>
      <c r="C10" s="22" t="s">
        <v>94</v>
      </c>
      <c r="D10" s="124" t="s">
        <v>265</v>
      </c>
      <c r="E10" s="124">
        <v>1</v>
      </c>
    </row>
    <row r="11" spans="1:5" ht="31.5" x14ac:dyDescent="0.25">
      <c r="A11" s="22" t="s">
        <v>95</v>
      </c>
      <c r="B11" s="75" t="s">
        <v>56</v>
      </c>
      <c r="C11" s="73" t="s">
        <v>151</v>
      </c>
      <c r="D11" s="125" t="s">
        <v>265</v>
      </c>
      <c r="E11" s="125">
        <v>1</v>
      </c>
    </row>
    <row r="12" spans="1:5" ht="15.75" x14ac:dyDescent="0.25">
      <c r="A12" s="19" t="s">
        <v>105</v>
      </c>
      <c r="B12" s="19"/>
      <c r="C12" s="19" t="s">
        <v>96</v>
      </c>
      <c r="D12" s="123" t="s">
        <v>265</v>
      </c>
      <c r="E12" s="123">
        <v>1</v>
      </c>
    </row>
    <row r="13" spans="1:5" ht="94.5" x14ac:dyDescent="0.25">
      <c r="A13" s="26" t="s">
        <v>106</v>
      </c>
      <c r="B13" s="109" t="s">
        <v>175</v>
      </c>
      <c r="C13" s="109" t="s">
        <v>216</v>
      </c>
      <c r="D13" s="125" t="s">
        <v>265</v>
      </c>
      <c r="E13" s="125">
        <v>1</v>
      </c>
    </row>
    <row r="14" spans="1:5" ht="15.75" x14ac:dyDescent="0.25">
      <c r="A14" s="29" t="s">
        <v>107</v>
      </c>
      <c r="B14" s="109" t="s">
        <v>178</v>
      </c>
      <c r="C14" s="109" t="s">
        <v>179</v>
      </c>
      <c r="D14" s="125" t="s">
        <v>265</v>
      </c>
      <c r="E14" s="125">
        <v>1</v>
      </c>
    </row>
    <row r="15" spans="1:5" ht="15.75" x14ac:dyDescent="0.25">
      <c r="A15" s="26" t="s">
        <v>163</v>
      </c>
      <c r="B15" s="109" t="s">
        <v>21</v>
      </c>
      <c r="C15" s="109" t="s">
        <v>180</v>
      </c>
      <c r="D15" s="125" t="s">
        <v>265</v>
      </c>
      <c r="E15" s="125">
        <v>1</v>
      </c>
    </row>
    <row r="16" spans="1:5" ht="31.5" x14ac:dyDescent="0.25">
      <c r="A16" s="30" t="s">
        <v>242</v>
      </c>
      <c r="B16" s="78" t="s">
        <v>97</v>
      </c>
      <c r="C16" s="78" t="s">
        <v>218</v>
      </c>
      <c r="D16" s="126" t="s">
        <v>265</v>
      </c>
      <c r="E16" s="126">
        <v>1</v>
      </c>
    </row>
    <row r="17" spans="1:5" ht="47.25" x14ac:dyDescent="0.25">
      <c r="A17" s="30" t="s">
        <v>243</v>
      </c>
      <c r="B17" s="78" t="s">
        <v>98</v>
      </c>
      <c r="C17" s="78" t="s">
        <v>219</v>
      </c>
      <c r="D17" s="126" t="s">
        <v>265</v>
      </c>
      <c r="E17" s="126">
        <v>1</v>
      </c>
    </row>
    <row r="18" spans="1:5" ht="63" x14ac:dyDescent="0.25">
      <c r="A18" s="30" t="s">
        <v>244</v>
      </c>
      <c r="B18" s="78" t="s">
        <v>99</v>
      </c>
      <c r="C18" s="78" t="s">
        <v>220</v>
      </c>
      <c r="D18" s="126" t="s">
        <v>265</v>
      </c>
      <c r="E18" s="126">
        <v>1</v>
      </c>
    </row>
    <row r="19" spans="1:5" ht="47.25" x14ac:dyDescent="0.25">
      <c r="A19" s="30" t="s">
        <v>245</v>
      </c>
      <c r="B19" s="78" t="s">
        <v>100</v>
      </c>
      <c r="C19" s="78" t="s">
        <v>221</v>
      </c>
      <c r="D19" s="126" t="s">
        <v>265</v>
      </c>
      <c r="E19" s="126">
        <v>1</v>
      </c>
    </row>
    <row r="20" spans="1:5" ht="47.25" x14ac:dyDescent="0.25">
      <c r="A20" s="30" t="s">
        <v>246</v>
      </c>
      <c r="B20" s="78" t="s">
        <v>101</v>
      </c>
      <c r="C20" s="78" t="s">
        <v>222</v>
      </c>
      <c r="D20" s="126" t="s">
        <v>265</v>
      </c>
      <c r="E20" s="126">
        <v>1</v>
      </c>
    </row>
    <row r="21" spans="1:5" ht="63" x14ac:dyDescent="0.25">
      <c r="A21" s="30" t="s">
        <v>247</v>
      </c>
      <c r="B21" s="78" t="s">
        <v>102</v>
      </c>
      <c r="C21" s="78" t="s">
        <v>223</v>
      </c>
      <c r="D21" s="126" t="s">
        <v>265</v>
      </c>
      <c r="E21" s="126">
        <v>1</v>
      </c>
    </row>
    <row r="22" spans="1:5" ht="63" x14ac:dyDescent="0.25">
      <c r="A22" s="30" t="s">
        <v>248</v>
      </c>
      <c r="B22" s="78" t="s">
        <v>224</v>
      </c>
      <c r="C22" s="78" t="s">
        <v>225</v>
      </c>
      <c r="D22" s="126" t="s">
        <v>265</v>
      </c>
      <c r="E22" s="126">
        <v>1</v>
      </c>
    </row>
    <row r="23" spans="1:5" ht="31.5" x14ac:dyDescent="0.25">
      <c r="A23" s="30" t="s">
        <v>249</v>
      </c>
      <c r="B23" s="78" t="s">
        <v>226</v>
      </c>
      <c r="C23" s="78" t="s">
        <v>227</v>
      </c>
      <c r="D23" s="126" t="s">
        <v>265</v>
      </c>
      <c r="E23" s="126">
        <v>1</v>
      </c>
    </row>
    <row r="24" spans="1:5" ht="15.75" x14ac:dyDescent="0.25">
      <c r="A24" s="30" t="s">
        <v>250</v>
      </c>
      <c r="B24" s="78" t="s">
        <v>228</v>
      </c>
      <c r="C24" s="78" t="s">
        <v>229</v>
      </c>
      <c r="D24" s="126" t="s">
        <v>265</v>
      </c>
      <c r="E24" s="126">
        <v>1</v>
      </c>
    </row>
    <row r="25" spans="1:5" ht="15.75" x14ac:dyDescent="0.25">
      <c r="A25" s="30" t="s">
        <v>251</v>
      </c>
      <c r="B25" s="78" t="s">
        <v>230</v>
      </c>
      <c r="C25" s="78" t="s">
        <v>152</v>
      </c>
      <c r="D25" s="126" t="s">
        <v>265</v>
      </c>
      <c r="E25" s="126">
        <v>1</v>
      </c>
    </row>
    <row r="26" spans="1:5" ht="15.75" x14ac:dyDescent="0.25">
      <c r="A26" s="26" t="s">
        <v>159</v>
      </c>
      <c r="B26" s="109" t="s">
        <v>182</v>
      </c>
      <c r="C26" s="109" t="s">
        <v>183</v>
      </c>
      <c r="D26" s="125" t="s">
        <v>265</v>
      </c>
      <c r="E26" s="125">
        <v>1</v>
      </c>
    </row>
    <row r="27" spans="1:5" ht="15.75" x14ac:dyDescent="0.25">
      <c r="A27" s="30" t="s">
        <v>164</v>
      </c>
      <c r="B27" s="78" t="s">
        <v>231</v>
      </c>
      <c r="C27" s="78" t="s">
        <v>232</v>
      </c>
      <c r="D27" s="126" t="s">
        <v>265</v>
      </c>
      <c r="E27" s="126">
        <v>1</v>
      </c>
    </row>
    <row r="28" spans="1:5" ht="15.75" x14ac:dyDescent="0.25">
      <c r="A28" s="30" t="s">
        <v>165</v>
      </c>
      <c r="B28" s="78" t="s">
        <v>233</v>
      </c>
      <c r="C28" s="78" t="s">
        <v>234</v>
      </c>
      <c r="D28" s="126" t="s">
        <v>265</v>
      </c>
      <c r="E28" s="126">
        <v>1</v>
      </c>
    </row>
    <row r="29" spans="1:5" ht="15.75" x14ac:dyDescent="0.25">
      <c r="A29" s="26" t="s">
        <v>162</v>
      </c>
      <c r="B29" s="109" t="s">
        <v>186</v>
      </c>
      <c r="C29" s="109" t="s">
        <v>187</v>
      </c>
      <c r="D29" s="125" t="s">
        <v>265</v>
      </c>
      <c r="E29" s="125">
        <v>1</v>
      </c>
    </row>
    <row r="30" spans="1:5" ht="15.75" x14ac:dyDescent="0.25">
      <c r="A30" s="26" t="s">
        <v>161</v>
      </c>
      <c r="B30" s="109" t="s">
        <v>190</v>
      </c>
      <c r="C30" s="109" t="s">
        <v>191</v>
      </c>
      <c r="D30" s="125" t="s">
        <v>265</v>
      </c>
      <c r="E30" s="125">
        <v>1</v>
      </c>
    </row>
    <row r="31" spans="1:5" ht="15.75" x14ac:dyDescent="0.25">
      <c r="A31" s="30" t="s">
        <v>252</v>
      </c>
      <c r="B31" s="78" t="s">
        <v>235</v>
      </c>
      <c r="C31" s="78" t="s">
        <v>236</v>
      </c>
      <c r="D31" s="126" t="s">
        <v>265</v>
      </c>
      <c r="E31" s="126">
        <v>1</v>
      </c>
    </row>
    <row r="32" spans="1:5" ht="31.5" x14ac:dyDescent="0.25">
      <c r="A32" s="30" t="s">
        <v>253</v>
      </c>
      <c r="B32" s="78" t="s">
        <v>237</v>
      </c>
      <c r="C32" s="78" t="s">
        <v>238</v>
      </c>
      <c r="D32" s="126" t="s">
        <v>265</v>
      </c>
      <c r="E32" s="126">
        <v>1</v>
      </c>
    </row>
    <row r="33" spans="1:5" ht="15.75" x14ac:dyDescent="0.25">
      <c r="A33" s="30" t="s">
        <v>254</v>
      </c>
      <c r="B33" s="78" t="s">
        <v>239</v>
      </c>
      <c r="C33" s="78" t="s">
        <v>240</v>
      </c>
      <c r="D33" s="126" t="s">
        <v>265</v>
      </c>
      <c r="E33" s="126">
        <v>1</v>
      </c>
    </row>
    <row r="34" spans="1:5" ht="31.5" x14ac:dyDescent="0.25">
      <c r="A34" s="26" t="s">
        <v>160</v>
      </c>
      <c r="B34" s="130" t="s">
        <v>193</v>
      </c>
      <c r="C34" s="109" t="s">
        <v>194</v>
      </c>
      <c r="D34" s="125" t="s">
        <v>265</v>
      </c>
      <c r="E34" s="125">
        <v>1</v>
      </c>
    </row>
    <row r="35" spans="1:5" ht="94.5" x14ac:dyDescent="0.25">
      <c r="A35" s="26" t="s">
        <v>166</v>
      </c>
      <c r="B35" s="130" t="s">
        <v>196</v>
      </c>
      <c r="C35" s="109" t="s">
        <v>38</v>
      </c>
      <c r="D35" s="125" t="s">
        <v>265</v>
      </c>
      <c r="E35" s="125">
        <v>1</v>
      </c>
    </row>
    <row r="36" spans="1:5" ht="31.5" x14ac:dyDescent="0.25">
      <c r="A36" s="26" t="s">
        <v>167</v>
      </c>
      <c r="B36" s="109" t="s">
        <v>197</v>
      </c>
      <c r="C36" s="109" t="s">
        <v>39</v>
      </c>
      <c r="D36" s="125" t="s">
        <v>265</v>
      </c>
      <c r="E36" s="125">
        <v>1</v>
      </c>
    </row>
    <row r="37" spans="1:5" ht="31.5" x14ac:dyDescent="0.25">
      <c r="A37" s="26" t="s">
        <v>168</v>
      </c>
      <c r="B37" s="109" t="s">
        <v>197</v>
      </c>
      <c r="C37" s="109" t="s">
        <v>40</v>
      </c>
      <c r="D37" s="125" t="s">
        <v>265</v>
      </c>
      <c r="E37" s="125">
        <v>1</v>
      </c>
    </row>
    <row r="38" spans="1:5" ht="31.5" x14ac:dyDescent="0.25">
      <c r="A38" s="26" t="s">
        <v>255</v>
      </c>
      <c r="B38" s="109" t="s">
        <v>197</v>
      </c>
      <c r="C38" s="109" t="s">
        <v>198</v>
      </c>
      <c r="D38" s="125" t="s">
        <v>265</v>
      </c>
      <c r="E38" s="125">
        <v>1</v>
      </c>
    </row>
    <row r="39" spans="1:5" ht="15.75" x14ac:dyDescent="0.25">
      <c r="A39" s="26" t="s">
        <v>256</v>
      </c>
      <c r="B39" s="109" t="s">
        <v>37</v>
      </c>
      <c r="C39" s="109" t="s">
        <v>217</v>
      </c>
      <c r="D39" s="125" t="s">
        <v>265</v>
      </c>
      <c r="E39" s="125">
        <v>1</v>
      </c>
    </row>
    <row r="40" spans="1:5" ht="31.5" x14ac:dyDescent="0.25">
      <c r="A40" s="26" t="s">
        <v>257</v>
      </c>
      <c r="B40" s="75" t="s">
        <v>56</v>
      </c>
      <c r="C40" s="75" t="s">
        <v>103</v>
      </c>
      <c r="D40" s="125" t="s">
        <v>265</v>
      </c>
      <c r="E40" s="125">
        <v>1</v>
      </c>
    </row>
    <row r="43" spans="1:5" ht="53.25" customHeight="1" x14ac:dyDescent="0.25">
      <c r="A43" s="217" t="s">
        <v>266</v>
      </c>
      <c r="B43" s="217"/>
      <c r="C43" s="217"/>
      <c r="D43" s="127"/>
      <c r="E43" s="128" t="s">
        <v>267</v>
      </c>
    </row>
  </sheetData>
  <mergeCells count="8">
    <mergeCell ref="A43:C43"/>
    <mergeCell ref="A1:E1"/>
    <mergeCell ref="B3:E3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66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opLeftCell="A65" workbookViewId="0">
      <selection activeCell="A3" sqref="A3:O102"/>
    </sheetView>
  </sheetViews>
  <sheetFormatPr defaultRowHeight="15" outlineLevelCol="1" x14ac:dyDescent="0.25"/>
  <cols>
    <col min="2" max="2" width="19.5703125" customWidth="1"/>
    <col min="3" max="3" width="55" customWidth="1"/>
    <col min="4" max="4" width="16.5703125" customWidth="1" outlineLevel="1"/>
    <col min="5" max="5" width="15.7109375" customWidth="1" outlineLevel="1"/>
    <col min="6" max="6" width="21.140625" customWidth="1" outlineLevel="1"/>
    <col min="7" max="7" width="17.5703125" customWidth="1" outlineLevel="1"/>
    <col min="8" max="8" width="17.42578125" customWidth="1" outlineLevel="1"/>
    <col min="9" max="9" width="17.140625" customWidth="1"/>
    <col min="10" max="10" width="19.28515625" customWidth="1"/>
    <col min="11" max="11" width="19.42578125" customWidth="1"/>
    <col min="12" max="12" width="17" customWidth="1"/>
    <col min="13" max="13" width="20.140625" customWidth="1"/>
  </cols>
  <sheetData>
    <row r="1" spans="1:13" ht="15.75" hidden="1" x14ac:dyDescent="0.25">
      <c r="A1" s="257" t="s">
        <v>146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5.75" hidden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2" customHeight="1" x14ac:dyDescent="0.25">
      <c r="A3" s="257" t="s">
        <v>171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5.75" x14ac:dyDescent="0.25">
      <c r="A4" s="259" t="s">
        <v>148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3" ht="15.75" x14ac:dyDescent="0.25">
      <c r="A5" s="8" t="s">
        <v>81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6.25" customHeight="1" x14ac:dyDescent="0.25">
      <c r="A6" s="113" t="s">
        <v>258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8.5" customHeight="1" x14ac:dyDescent="0.25">
      <c r="A7" s="260" t="s">
        <v>169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30" customHeight="1" x14ac:dyDescent="0.25">
      <c r="A8" s="261" t="s">
        <v>170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</row>
    <row r="9" spans="1:13" ht="141.75" x14ac:dyDescent="0.25">
      <c r="A9" s="11" t="s">
        <v>82</v>
      </c>
      <c r="B9" s="11" t="s">
        <v>10</v>
      </c>
      <c r="C9" s="12" t="s">
        <v>83</v>
      </c>
      <c r="D9" s="13" t="s">
        <v>84</v>
      </c>
      <c r="E9" s="14" t="s">
        <v>85</v>
      </c>
      <c r="F9" s="13" t="s">
        <v>86</v>
      </c>
      <c r="G9" s="13" t="s">
        <v>87</v>
      </c>
      <c r="H9" s="15" t="s">
        <v>88</v>
      </c>
      <c r="I9" s="16" t="s">
        <v>147</v>
      </c>
      <c r="J9" s="16" t="s">
        <v>89</v>
      </c>
      <c r="K9" s="16" t="s">
        <v>90</v>
      </c>
      <c r="L9" s="16" t="s">
        <v>91</v>
      </c>
      <c r="M9" s="16" t="s">
        <v>92</v>
      </c>
    </row>
    <row r="10" spans="1:13" ht="15.75" x14ac:dyDescent="0.25">
      <c r="A10" s="11">
        <v>1</v>
      </c>
      <c r="B10" s="11"/>
      <c r="C10" s="11">
        <v>2</v>
      </c>
      <c r="D10" s="17"/>
      <c r="E10" s="17"/>
      <c r="F10" s="17"/>
      <c r="G10" s="17"/>
      <c r="H10" s="17"/>
      <c r="I10" s="18">
        <v>3</v>
      </c>
      <c r="J10" s="18">
        <v>4</v>
      </c>
      <c r="K10" s="18">
        <v>5</v>
      </c>
      <c r="L10" s="18">
        <v>6</v>
      </c>
      <c r="M10" s="18">
        <v>7</v>
      </c>
    </row>
    <row r="11" spans="1:13" ht="30.75" customHeight="1" x14ac:dyDescent="0.25">
      <c r="A11" s="19" t="s">
        <v>150</v>
      </c>
      <c r="B11" s="19"/>
      <c r="C11" s="19" t="s">
        <v>149</v>
      </c>
      <c r="D11" s="20"/>
      <c r="E11" s="20"/>
      <c r="F11" s="20"/>
      <c r="G11" s="20"/>
      <c r="H11" s="20"/>
      <c r="I11" s="21">
        <f>I12+I13</f>
        <v>26966447.329999998</v>
      </c>
      <c r="J11" s="21"/>
      <c r="K11" s="21">
        <f>K12+K13</f>
        <v>27519259.510000002</v>
      </c>
      <c r="L11" s="21"/>
      <c r="M11" s="21">
        <f>M12+M13</f>
        <v>28091660.109999999</v>
      </c>
    </row>
    <row r="12" spans="1:13" ht="30.75" customHeight="1" x14ac:dyDescent="0.25">
      <c r="A12" s="22" t="s">
        <v>93</v>
      </c>
      <c r="B12" s="72" t="s">
        <v>241</v>
      </c>
      <c r="C12" s="22" t="s">
        <v>94</v>
      </c>
      <c r="D12" s="17"/>
      <c r="E12" s="17"/>
      <c r="F12" s="17"/>
      <c r="G12" s="17"/>
      <c r="H12" s="17"/>
      <c r="I12" s="23">
        <v>26181016.829999998</v>
      </c>
      <c r="J12" s="24">
        <f>$F$62</f>
        <v>1.0205</v>
      </c>
      <c r="K12" s="23">
        <f>I12*J12</f>
        <v>26717727.68</v>
      </c>
      <c r="L12" s="24">
        <f>F82</f>
        <v>1.0207999999999999</v>
      </c>
      <c r="M12" s="23">
        <f>K12*L12</f>
        <v>27273456.420000002</v>
      </c>
    </row>
    <row r="13" spans="1:13" ht="57" customHeight="1" x14ac:dyDescent="0.25">
      <c r="A13" s="22" t="s">
        <v>95</v>
      </c>
      <c r="B13" s="75" t="s">
        <v>56</v>
      </c>
      <c r="C13" s="73" t="s">
        <v>151</v>
      </c>
      <c r="D13" s="17"/>
      <c r="E13" s="17"/>
      <c r="F13" s="17"/>
      <c r="G13" s="17"/>
      <c r="H13" s="17"/>
      <c r="I13" s="110">
        <f>I12*0.03</f>
        <v>785430.5</v>
      </c>
      <c r="J13" s="24">
        <f>$F$62</f>
        <v>1.0205</v>
      </c>
      <c r="K13" s="23">
        <f>I13*J13</f>
        <v>801531.83</v>
      </c>
      <c r="L13" s="24">
        <f>F82</f>
        <v>1.0207999999999999</v>
      </c>
      <c r="M13" s="23">
        <f>K13*L13</f>
        <v>818203.69</v>
      </c>
    </row>
    <row r="14" spans="1:13" ht="30.75" customHeight="1" x14ac:dyDescent="0.25">
      <c r="A14" s="19" t="s">
        <v>105</v>
      </c>
      <c r="B14" s="19"/>
      <c r="C14" s="19" t="s">
        <v>96</v>
      </c>
      <c r="D14" s="20"/>
      <c r="E14" s="20"/>
      <c r="F14" s="20"/>
      <c r="G14" s="20"/>
      <c r="H14" s="20"/>
      <c r="I14" s="21">
        <f>I15+I16+I17+I28+I31+I32+I36+I37+I38+I39+I40+I41+I42</f>
        <v>1345121244.9200001</v>
      </c>
      <c r="J14" s="25"/>
      <c r="K14" s="21">
        <f>K15+K16+K17+K28+K31+K32+K36+K37+K38+K39+K40+K41+K42</f>
        <v>1372696230.4300001</v>
      </c>
      <c r="L14" s="25"/>
      <c r="M14" s="21">
        <f>M15+M16+M17+M28+M31+M32+M36+M37+M38+M39+M40+M41+M42</f>
        <v>1433918482.28</v>
      </c>
    </row>
    <row r="15" spans="1:13" ht="76.5" customHeight="1" x14ac:dyDescent="0.25">
      <c r="A15" s="26" t="s">
        <v>106</v>
      </c>
      <c r="B15" s="109" t="s">
        <v>175</v>
      </c>
      <c r="C15" s="109" t="s">
        <v>216</v>
      </c>
      <c r="D15" s="111"/>
      <c r="E15" s="111"/>
      <c r="F15" s="111">
        <f>3610867.52/1.2</f>
        <v>3009056.27</v>
      </c>
      <c r="G15" s="111">
        <f t="shared" ref="G15:I16" si="0">F15</f>
        <v>3009056.27</v>
      </c>
      <c r="H15" s="111">
        <f t="shared" si="0"/>
        <v>3009056.27</v>
      </c>
      <c r="I15" s="27">
        <f t="shared" si="0"/>
        <v>3009056.27</v>
      </c>
      <c r="J15" s="24">
        <f>$F$62</f>
        <v>1.0205</v>
      </c>
      <c r="K15" s="23">
        <f>I15*J15</f>
        <v>3070741.92</v>
      </c>
      <c r="L15" s="28">
        <f>$F$98</f>
        <v>1.0446</v>
      </c>
      <c r="M15" s="23">
        <f>K15*L15</f>
        <v>3207697.01</v>
      </c>
    </row>
    <row r="16" spans="1:13" ht="27" customHeight="1" x14ac:dyDescent="0.25">
      <c r="A16" s="29" t="s">
        <v>107</v>
      </c>
      <c r="B16" s="109" t="s">
        <v>178</v>
      </c>
      <c r="C16" s="109" t="s">
        <v>179</v>
      </c>
      <c r="D16" s="111"/>
      <c r="E16" s="111"/>
      <c r="F16" s="111">
        <v>510212.22</v>
      </c>
      <c r="G16" s="111">
        <f t="shared" si="0"/>
        <v>510212.22</v>
      </c>
      <c r="H16" s="111">
        <f t="shared" si="0"/>
        <v>510212.22</v>
      </c>
      <c r="I16" s="27">
        <f t="shared" si="0"/>
        <v>510212.22</v>
      </c>
      <c r="J16" s="24">
        <f>$F$62</f>
        <v>1.0205</v>
      </c>
      <c r="K16" s="23">
        <f>I16*J16</f>
        <v>520671.57</v>
      </c>
      <c r="L16" s="28">
        <f>$F$98</f>
        <v>1.0446</v>
      </c>
      <c r="M16" s="23">
        <f>K16*L16</f>
        <v>543893.52</v>
      </c>
    </row>
    <row r="17" spans="1:13" ht="24" customHeight="1" x14ac:dyDescent="0.25">
      <c r="A17" s="26" t="s">
        <v>163</v>
      </c>
      <c r="B17" s="109" t="s">
        <v>21</v>
      </c>
      <c r="C17" s="109" t="s">
        <v>180</v>
      </c>
      <c r="D17" s="111">
        <f>D18+D19+D20+D21+D22+D23+D24+D25+D26+D27</f>
        <v>67777187.530000001</v>
      </c>
      <c r="E17" s="111">
        <f>E18+E19+E20+E21+E22+E23+E24+E25+E26+E27</f>
        <v>293376559.81999999</v>
      </c>
      <c r="F17" s="111"/>
      <c r="G17" s="111">
        <f>G18+G19+G20+G21+G22+G23+G24+G25+G26+G27</f>
        <v>361153747.35000002</v>
      </c>
      <c r="H17" s="111">
        <f>H18+H19+H20+H21+H22+H23+H24+H25+H26+H27</f>
        <v>363289067.64999998</v>
      </c>
      <c r="I17" s="27">
        <f>I18+I19+I20+I21+I22+I23+I24+I25+I26+I27</f>
        <v>363289067.64999998</v>
      </c>
      <c r="J17" s="24"/>
      <c r="K17" s="23">
        <f>K18+K19+K20+K21+K22+K23+K24+K25+K26+K27</f>
        <v>370736493.54000002</v>
      </c>
      <c r="L17" s="28"/>
      <c r="M17" s="23">
        <f>M18+M19+M20+M21+M22+M23+M24+M25+M26+M27</f>
        <v>387271341.14999998</v>
      </c>
    </row>
    <row r="18" spans="1:13" ht="42.75" customHeight="1" x14ac:dyDescent="0.25">
      <c r="A18" s="30" t="s">
        <v>242</v>
      </c>
      <c r="B18" s="78" t="s">
        <v>97</v>
      </c>
      <c r="C18" s="78" t="s">
        <v>218</v>
      </c>
      <c r="D18" s="112">
        <f>8895425.33+2211030.59</f>
        <v>11106455.92</v>
      </c>
      <c r="E18" s="112">
        <v>10858665.1</v>
      </c>
      <c r="F18" s="112"/>
      <c r="G18" s="112">
        <f t="shared" ref="G18:G27" si="1">F18+E18+D18</f>
        <v>21965121.02</v>
      </c>
      <c r="H18" s="112">
        <f t="shared" ref="H18:H27" si="2">D18*1.031*1.005-D18*0.031*0.15+E18+F18</f>
        <v>22315029.91</v>
      </c>
      <c r="I18" s="31">
        <f t="shared" ref="I18:I27" si="3">H18</f>
        <v>22315029.91</v>
      </c>
      <c r="J18" s="32">
        <f t="shared" ref="J18:J27" si="4">$F$62</f>
        <v>1.0205</v>
      </c>
      <c r="K18" s="79">
        <f t="shared" ref="K18:K30" si="5">I18*J18</f>
        <v>22772488.02</v>
      </c>
      <c r="L18" s="33">
        <f t="shared" ref="L18:L30" si="6">$F$98</f>
        <v>1.0446</v>
      </c>
      <c r="M18" s="79">
        <f>K18*L18</f>
        <v>23788140.989999998</v>
      </c>
    </row>
    <row r="19" spans="1:13" ht="38.25" customHeight="1" x14ac:dyDescent="0.25">
      <c r="A19" s="30" t="s">
        <v>243</v>
      </c>
      <c r="B19" s="78" t="s">
        <v>98</v>
      </c>
      <c r="C19" s="78" t="s">
        <v>219</v>
      </c>
      <c r="D19" s="112">
        <v>2202569.91</v>
      </c>
      <c r="E19" s="112"/>
      <c r="F19" s="112"/>
      <c r="G19" s="112">
        <f t="shared" si="1"/>
        <v>2202569.91</v>
      </c>
      <c r="H19" s="112">
        <f t="shared" si="2"/>
        <v>2271961.88</v>
      </c>
      <c r="I19" s="31">
        <f t="shared" si="3"/>
        <v>2271961.88</v>
      </c>
      <c r="J19" s="32">
        <f t="shared" si="4"/>
        <v>1.0205</v>
      </c>
      <c r="K19" s="79">
        <f t="shared" si="5"/>
        <v>2318537.1</v>
      </c>
      <c r="L19" s="33">
        <f t="shared" si="6"/>
        <v>1.0446</v>
      </c>
      <c r="M19" s="79">
        <f t="shared" ref="M19:M27" si="7">K19*L19</f>
        <v>2421943.85</v>
      </c>
    </row>
    <row r="20" spans="1:13" ht="54.75" customHeight="1" x14ac:dyDescent="0.25">
      <c r="A20" s="30" t="s">
        <v>244</v>
      </c>
      <c r="B20" s="78" t="s">
        <v>99</v>
      </c>
      <c r="C20" s="78" t="s">
        <v>220</v>
      </c>
      <c r="D20" s="112">
        <f>6030023.11</f>
        <v>6030023.1100000003</v>
      </c>
      <c r="E20" s="112"/>
      <c r="F20" s="112"/>
      <c r="G20" s="112">
        <f t="shared" si="1"/>
        <v>6030023.1100000003</v>
      </c>
      <c r="H20" s="112">
        <f t="shared" si="2"/>
        <v>6219998.9900000002</v>
      </c>
      <c r="I20" s="31">
        <f t="shared" si="3"/>
        <v>6219998.9900000002</v>
      </c>
      <c r="J20" s="32">
        <f t="shared" si="4"/>
        <v>1.0205</v>
      </c>
      <c r="K20" s="79">
        <f t="shared" si="5"/>
        <v>6347508.9699999997</v>
      </c>
      <c r="L20" s="33">
        <f t="shared" si="6"/>
        <v>1.0446</v>
      </c>
      <c r="M20" s="79">
        <f t="shared" si="7"/>
        <v>6630607.8700000001</v>
      </c>
    </row>
    <row r="21" spans="1:13" ht="43.5" customHeight="1" x14ac:dyDescent="0.25">
      <c r="A21" s="30" t="s">
        <v>245</v>
      </c>
      <c r="B21" s="78" t="s">
        <v>100</v>
      </c>
      <c r="C21" s="78" t="s">
        <v>221</v>
      </c>
      <c r="D21" s="112">
        <v>20913138.829999998</v>
      </c>
      <c r="E21" s="112"/>
      <c r="F21" s="112"/>
      <c r="G21" s="112">
        <f t="shared" si="1"/>
        <v>20913138.829999998</v>
      </c>
      <c r="H21" s="112">
        <f t="shared" si="2"/>
        <v>21572007.27</v>
      </c>
      <c r="I21" s="31">
        <f t="shared" si="3"/>
        <v>21572007.27</v>
      </c>
      <c r="J21" s="32">
        <f t="shared" si="4"/>
        <v>1.0205</v>
      </c>
      <c r="K21" s="79">
        <f t="shared" si="5"/>
        <v>22014233.420000002</v>
      </c>
      <c r="L21" s="33">
        <f t="shared" si="6"/>
        <v>1.0446</v>
      </c>
      <c r="M21" s="79">
        <f>K21*L21</f>
        <v>22996068.23</v>
      </c>
    </row>
    <row r="22" spans="1:13" ht="43.5" customHeight="1" x14ac:dyDescent="0.25">
      <c r="A22" s="30" t="s">
        <v>246</v>
      </c>
      <c r="B22" s="78" t="s">
        <v>101</v>
      </c>
      <c r="C22" s="78" t="s">
        <v>222</v>
      </c>
      <c r="D22" s="112">
        <f>53095.91+1394499.61</f>
        <v>1447595.52</v>
      </c>
      <c r="E22" s="112">
        <f>79710555.57</f>
        <v>79710555.569999993</v>
      </c>
      <c r="F22" s="112"/>
      <c r="G22" s="112">
        <f t="shared" si="1"/>
        <v>81158151.090000004</v>
      </c>
      <c r="H22" s="112">
        <f t="shared" si="2"/>
        <v>81203757.590000004</v>
      </c>
      <c r="I22" s="31">
        <f t="shared" si="3"/>
        <v>81203757.590000004</v>
      </c>
      <c r="J22" s="32">
        <f t="shared" si="4"/>
        <v>1.0205</v>
      </c>
      <c r="K22" s="79">
        <f t="shared" si="5"/>
        <v>82868434.620000005</v>
      </c>
      <c r="L22" s="33">
        <f t="shared" si="6"/>
        <v>1.0446</v>
      </c>
      <c r="M22" s="79">
        <f>K22*L22</f>
        <v>86564366.799999997</v>
      </c>
    </row>
    <row r="23" spans="1:13" ht="48.75" customHeight="1" x14ac:dyDescent="0.25">
      <c r="A23" s="30" t="s">
        <v>247</v>
      </c>
      <c r="B23" s="78" t="s">
        <v>102</v>
      </c>
      <c r="C23" s="78" t="s">
        <v>223</v>
      </c>
      <c r="D23" s="112">
        <f>2730546.22+664495.39</f>
        <v>3395041.61</v>
      </c>
      <c r="E23" s="112">
        <f>195557.79</f>
        <v>195557.79</v>
      </c>
      <c r="F23" s="112"/>
      <c r="G23" s="112">
        <f t="shared" si="1"/>
        <v>3590599.4</v>
      </c>
      <c r="H23" s="112">
        <f t="shared" si="2"/>
        <v>3697560.19</v>
      </c>
      <c r="I23" s="31">
        <f t="shared" si="3"/>
        <v>3697560.19</v>
      </c>
      <c r="J23" s="32">
        <f t="shared" si="4"/>
        <v>1.0205</v>
      </c>
      <c r="K23" s="79">
        <f t="shared" si="5"/>
        <v>3773360.17</v>
      </c>
      <c r="L23" s="33">
        <f t="shared" si="6"/>
        <v>1.0446</v>
      </c>
      <c r="M23" s="79">
        <f t="shared" si="7"/>
        <v>3941652.03</v>
      </c>
    </row>
    <row r="24" spans="1:13" ht="50.25" customHeight="1" x14ac:dyDescent="0.25">
      <c r="A24" s="30" t="s">
        <v>248</v>
      </c>
      <c r="B24" s="78" t="s">
        <v>224</v>
      </c>
      <c r="C24" s="78" t="s">
        <v>225</v>
      </c>
      <c r="D24" s="112">
        <f>27380.77+2174.88</f>
        <v>29555.65</v>
      </c>
      <c r="E24" s="112">
        <v>9997.89</v>
      </c>
      <c r="F24" s="112"/>
      <c r="G24" s="112">
        <f t="shared" si="1"/>
        <v>39553.54</v>
      </c>
      <c r="H24" s="112">
        <f t="shared" si="2"/>
        <v>40484.69</v>
      </c>
      <c r="I24" s="31">
        <f t="shared" si="3"/>
        <v>40484.69</v>
      </c>
      <c r="J24" s="32">
        <f t="shared" si="4"/>
        <v>1.0205</v>
      </c>
      <c r="K24" s="79">
        <f t="shared" si="5"/>
        <v>41314.629999999997</v>
      </c>
      <c r="L24" s="33">
        <f t="shared" si="6"/>
        <v>1.0446</v>
      </c>
      <c r="M24" s="79">
        <f t="shared" si="7"/>
        <v>43157.26</v>
      </c>
    </row>
    <row r="25" spans="1:13" ht="24" customHeight="1" x14ac:dyDescent="0.25">
      <c r="A25" s="30" t="s">
        <v>249</v>
      </c>
      <c r="B25" s="78" t="s">
        <v>226</v>
      </c>
      <c r="C25" s="78" t="s">
        <v>227</v>
      </c>
      <c r="D25" s="112">
        <f>1102905.64</f>
        <v>1102905.6399999999</v>
      </c>
      <c r="E25" s="112">
        <v>4244528.6399999997</v>
      </c>
      <c r="F25" s="112"/>
      <c r="G25" s="112">
        <f t="shared" si="1"/>
        <v>5347434.28</v>
      </c>
      <c r="H25" s="112">
        <f t="shared" si="2"/>
        <v>5382181.3200000003</v>
      </c>
      <c r="I25" s="31">
        <f t="shared" si="3"/>
        <v>5382181.3200000003</v>
      </c>
      <c r="J25" s="32">
        <f t="shared" si="4"/>
        <v>1.0205</v>
      </c>
      <c r="K25" s="79">
        <f t="shared" si="5"/>
        <v>5492516.04</v>
      </c>
      <c r="L25" s="33">
        <f t="shared" si="6"/>
        <v>1.0446</v>
      </c>
      <c r="M25" s="79">
        <f t="shared" si="7"/>
        <v>5737482.2599999998</v>
      </c>
    </row>
    <row r="26" spans="1:13" ht="24" customHeight="1" x14ac:dyDescent="0.25">
      <c r="A26" s="30" t="s">
        <v>250</v>
      </c>
      <c r="B26" s="78" t="s">
        <v>228</v>
      </c>
      <c r="C26" s="78" t="s">
        <v>229</v>
      </c>
      <c r="D26" s="112">
        <f>27697.76+358456.19</f>
        <v>386153.95</v>
      </c>
      <c r="E26" s="112">
        <f>198357254.83</f>
        <v>198357254.83000001</v>
      </c>
      <c r="F26" s="112"/>
      <c r="G26" s="112">
        <f t="shared" si="1"/>
        <v>198743408.78</v>
      </c>
      <c r="H26" s="112">
        <f t="shared" si="2"/>
        <v>198755574.56</v>
      </c>
      <c r="I26" s="31">
        <f t="shared" si="3"/>
        <v>198755574.56</v>
      </c>
      <c r="J26" s="32">
        <f t="shared" si="4"/>
        <v>1.0205</v>
      </c>
      <c r="K26" s="79">
        <f t="shared" si="5"/>
        <v>202830063.84</v>
      </c>
      <c r="L26" s="33">
        <f t="shared" si="6"/>
        <v>1.0446</v>
      </c>
      <c r="M26" s="79">
        <f t="shared" si="7"/>
        <v>211876284.69</v>
      </c>
    </row>
    <row r="27" spans="1:13" ht="24" customHeight="1" x14ac:dyDescent="0.25">
      <c r="A27" s="30" t="s">
        <v>251</v>
      </c>
      <c r="B27" s="78" t="s">
        <v>230</v>
      </c>
      <c r="C27" s="78" t="s">
        <v>152</v>
      </c>
      <c r="D27" s="112">
        <v>21163747.390000001</v>
      </c>
      <c r="E27" s="112"/>
      <c r="F27" s="112"/>
      <c r="G27" s="112">
        <f t="shared" si="1"/>
        <v>21163747.390000001</v>
      </c>
      <c r="H27" s="112">
        <f t="shared" si="2"/>
        <v>21830511.25</v>
      </c>
      <c r="I27" s="31">
        <f t="shared" si="3"/>
        <v>21830511.25</v>
      </c>
      <c r="J27" s="32">
        <f t="shared" si="4"/>
        <v>1.0205</v>
      </c>
      <c r="K27" s="79">
        <f t="shared" si="5"/>
        <v>22278036.73</v>
      </c>
      <c r="L27" s="33">
        <f t="shared" si="6"/>
        <v>1.0446</v>
      </c>
      <c r="M27" s="79">
        <f t="shared" si="7"/>
        <v>23271637.170000002</v>
      </c>
    </row>
    <row r="28" spans="1:13" ht="26.25" customHeight="1" x14ac:dyDescent="0.25">
      <c r="A28" s="26" t="s">
        <v>159</v>
      </c>
      <c r="B28" s="109" t="s">
        <v>182</v>
      </c>
      <c r="C28" s="109" t="s">
        <v>183</v>
      </c>
      <c r="D28" s="111">
        <f>D29+D30</f>
        <v>49883222.039999999</v>
      </c>
      <c r="E28" s="111">
        <f>E29+E30</f>
        <v>452728.48</v>
      </c>
      <c r="F28" s="111"/>
      <c r="G28" s="111">
        <f>G29+G30</f>
        <v>50335950.520000003</v>
      </c>
      <c r="H28" s="111">
        <f>H29+H30</f>
        <v>51907521.43</v>
      </c>
      <c r="I28" s="27">
        <f>I29+I30</f>
        <v>51907521.43</v>
      </c>
      <c r="J28" s="24"/>
      <c r="K28" s="23">
        <f>K29+K30</f>
        <v>52971625.619999997</v>
      </c>
      <c r="L28" s="28"/>
      <c r="M28" s="23">
        <f>M29+M30</f>
        <v>55334160.119999997</v>
      </c>
    </row>
    <row r="29" spans="1:13" ht="26.25" customHeight="1" x14ac:dyDescent="0.25">
      <c r="A29" s="30" t="s">
        <v>164</v>
      </c>
      <c r="B29" s="78" t="s">
        <v>231</v>
      </c>
      <c r="C29" s="78" t="s">
        <v>232</v>
      </c>
      <c r="D29" s="112">
        <f>102298.21+9061584.02</f>
        <v>9163882.2300000004</v>
      </c>
      <c r="E29" s="112"/>
      <c r="F29" s="112"/>
      <c r="G29" s="112">
        <f>F29+E29+D29</f>
        <v>9163882.2300000004</v>
      </c>
      <c r="H29" s="112">
        <f>D29*1.031*1.005-D29*0.031*0.15+E29+F29</f>
        <v>9452590.3399999999</v>
      </c>
      <c r="I29" s="31">
        <f>H29</f>
        <v>9452590.3399999999</v>
      </c>
      <c r="J29" s="32">
        <f t="shared" ref="J29:J30" si="8">$F$62</f>
        <v>1.0205</v>
      </c>
      <c r="K29" s="79">
        <f t="shared" si="5"/>
        <v>9646368.4399999995</v>
      </c>
      <c r="L29" s="33">
        <f t="shared" si="6"/>
        <v>1.0446</v>
      </c>
      <c r="M29" s="79">
        <f t="shared" ref="M29:M30" si="9">K29*L29</f>
        <v>10076596.470000001</v>
      </c>
    </row>
    <row r="30" spans="1:13" ht="26.25" customHeight="1" x14ac:dyDescent="0.25">
      <c r="A30" s="30" t="s">
        <v>165</v>
      </c>
      <c r="B30" s="78" t="s">
        <v>233</v>
      </c>
      <c r="C30" s="78" t="s">
        <v>234</v>
      </c>
      <c r="D30" s="112">
        <f>86297.89+40633041.92</f>
        <v>40719339.810000002</v>
      </c>
      <c r="E30" s="112">
        <v>452728.48</v>
      </c>
      <c r="F30" s="112"/>
      <c r="G30" s="112">
        <f>F30+E30+D30</f>
        <v>41172068.289999999</v>
      </c>
      <c r="H30" s="112">
        <f>D30*1.031*1.005-D30*0.031*0.15+E30+F30</f>
        <v>42454931.090000004</v>
      </c>
      <c r="I30" s="31">
        <f>H30</f>
        <v>42454931.090000004</v>
      </c>
      <c r="J30" s="32">
        <f t="shared" si="8"/>
        <v>1.0205</v>
      </c>
      <c r="K30" s="79">
        <f t="shared" si="5"/>
        <v>43325257.18</v>
      </c>
      <c r="L30" s="33">
        <f t="shared" si="6"/>
        <v>1.0446</v>
      </c>
      <c r="M30" s="79">
        <f t="shared" si="9"/>
        <v>45257563.649999999</v>
      </c>
    </row>
    <row r="31" spans="1:13" ht="29.25" customHeight="1" x14ac:dyDescent="0.25">
      <c r="A31" s="26" t="s">
        <v>162</v>
      </c>
      <c r="B31" s="109" t="s">
        <v>186</v>
      </c>
      <c r="C31" s="109" t="s">
        <v>187</v>
      </c>
      <c r="D31" s="111">
        <f>371247.21+4006636.37</f>
        <v>4377883.58</v>
      </c>
      <c r="E31" s="111">
        <v>85260.07</v>
      </c>
      <c r="F31" s="111"/>
      <c r="G31" s="111">
        <f>F31+E31+D31</f>
        <v>4463143.6500000004</v>
      </c>
      <c r="H31" s="111">
        <f>D31*1.031*1.005-D31*0.031*0.15+E31+F31</f>
        <v>4601068.87</v>
      </c>
      <c r="I31" s="27">
        <f>H31</f>
        <v>4601068.87</v>
      </c>
      <c r="J31" s="24">
        <f>$F$62</f>
        <v>1.0205</v>
      </c>
      <c r="K31" s="23">
        <f>I31*J31</f>
        <v>4695390.78</v>
      </c>
      <c r="L31" s="28">
        <f>$F$98</f>
        <v>1.0446</v>
      </c>
      <c r="M31" s="23">
        <f>K31*L31</f>
        <v>4904805.21</v>
      </c>
    </row>
    <row r="32" spans="1:13" ht="30" customHeight="1" x14ac:dyDescent="0.25">
      <c r="A32" s="26" t="s">
        <v>161</v>
      </c>
      <c r="B32" s="109" t="s">
        <v>190</v>
      </c>
      <c r="C32" s="109" t="s">
        <v>191</v>
      </c>
      <c r="D32" s="111">
        <f>D33+D34+D35</f>
        <v>350350205.19999999</v>
      </c>
      <c r="E32" s="111">
        <f>E33+E34+E35</f>
        <v>505075580.91000003</v>
      </c>
      <c r="F32" s="111"/>
      <c r="G32" s="111">
        <f>G33+G34+G35</f>
        <v>855425786.11000001</v>
      </c>
      <c r="H32" s="111">
        <f>H33+H34+H35</f>
        <v>866463569.33000004</v>
      </c>
      <c r="I32" s="27">
        <f>I33+I34+I35</f>
        <v>866463569.33000004</v>
      </c>
      <c r="J32" s="24"/>
      <c r="K32" s="23">
        <f>K33+K34+K35</f>
        <v>884226072.49000001</v>
      </c>
      <c r="L32" s="28"/>
      <c r="M32" s="23">
        <f>M33+M34+M35</f>
        <v>923662555.32000005</v>
      </c>
    </row>
    <row r="33" spans="1:13" ht="30" customHeight="1" x14ac:dyDescent="0.25">
      <c r="A33" s="30" t="s">
        <v>252</v>
      </c>
      <c r="B33" s="78" t="s">
        <v>235</v>
      </c>
      <c r="C33" s="78" t="s">
        <v>236</v>
      </c>
      <c r="D33" s="112">
        <f>335643161.15+4588319.57</f>
        <v>340231480.72000003</v>
      </c>
      <c r="E33" s="112">
        <v>505063328.13999999</v>
      </c>
      <c r="F33" s="112"/>
      <c r="G33" s="112">
        <f>F33+E33+D33</f>
        <v>845294808.86000001</v>
      </c>
      <c r="H33" s="112">
        <f>D33*1.031*1.005-D33*0.031*0.15+E33+F33</f>
        <v>856013801.65999997</v>
      </c>
      <c r="I33" s="31">
        <f t="shared" ref="I33:I41" si="10">H33</f>
        <v>856013801.65999997</v>
      </c>
      <c r="J33" s="32">
        <f t="shared" ref="J33:J41" si="11">$F$62</f>
        <v>1.0205</v>
      </c>
      <c r="K33" s="79">
        <f t="shared" ref="K33:K41" si="12">I33*J33</f>
        <v>873562084.59000003</v>
      </c>
      <c r="L33" s="33">
        <f t="shared" ref="L33:L35" si="13">$F$98</f>
        <v>1.0446</v>
      </c>
      <c r="M33" s="79">
        <f t="shared" ref="M33:M41" si="14">K33*L33</f>
        <v>912522953.55999994</v>
      </c>
    </row>
    <row r="34" spans="1:13" ht="47.25" customHeight="1" x14ac:dyDescent="0.25">
      <c r="A34" s="30" t="s">
        <v>253</v>
      </c>
      <c r="B34" s="78" t="s">
        <v>237</v>
      </c>
      <c r="C34" s="78" t="s">
        <v>238</v>
      </c>
      <c r="D34" s="112">
        <v>6652337.6399999997</v>
      </c>
      <c r="E34" s="112">
        <v>12252.77</v>
      </c>
      <c r="F34" s="112"/>
      <c r="G34" s="112">
        <f>F34+E34+D34</f>
        <v>6664590.4100000001</v>
      </c>
      <c r="H34" s="112">
        <f>D34*1.031*1.005-D34*0.031*0.15+E34+F34</f>
        <v>6874172.3099999996</v>
      </c>
      <c r="I34" s="31">
        <f t="shared" si="10"/>
        <v>6874172.3099999996</v>
      </c>
      <c r="J34" s="32">
        <f t="shared" si="11"/>
        <v>1.0205</v>
      </c>
      <c r="K34" s="79">
        <f t="shared" si="12"/>
        <v>7015092.8399999999</v>
      </c>
      <c r="L34" s="33">
        <f t="shared" si="13"/>
        <v>1.0446</v>
      </c>
      <c r="M34" s="79">
        <f t="shared" si="14"/>
        <v>7327965.9800000004</v>
      </c>
    </row>
    <row r="35" spans="1:13" ht="30" customHeight="1" x14ac:dyDescent="0.25">
      <c r="A35" s="30" t="s">
        <v>254</v>
      </c>
      <c r="B35" s="78" t="s">
        <v>239</v>
      </c>
      <c r="C35" s="78" t="s">
        <v>240</v>
      </c>
      <c r="D35" s="112">
        <v>3466386.84</v>
      </c>
      <c r="E35" s="112"/>
      <c r="F35" s="112"/>
      <c r="G35" s="112">
        <f>F35+E35+D35</f>
        <v>3466386.84</v>
      </c>
      <c r="H35" s="112">
        <f>D35*1.031*1.005-D35*0.031*0.15+E35+F35</f>
        <v>3575595.36</v>
      </c>
      <c r="I35" s="31">
        <f t="shared" si="10"/>
        <v>3575595.36</v>
      </c>
      <c r="J35" s="32">
        <f t="shared" si="11"/>
        <v>1.0205</v>
      </c>
      <c r="K35" s="79">
        <f t="shared" si="12"/>
        <v>3648895.06</v>
      </c>
      <c r="L35" s="33">
        <f t="shared" si="13"/>
        <v>1.0446</v>
      </c>
      <c r="M35" s="79">
        <f t="shared" si="14"/>
        <v>3811635.78</v>
      </c>
    </row>
    <row r="36" spans="1:13" ht="24.75" customHeight="1" x14ac:dyDescent="0.25">
      <c r="A36" s="26" t="s">
        <v>160</v>
      </c>
      <c r="B36" s="109" t="s">
        <v>193</v>
      </c>
      <c r="C36" s="109" t="s">
        <v>194</v>
      </c>
      <c r="D36" s="111">
        <v>3987047.99</v>
      </c>
      <c r="E36" s="111"/>
      <c r="F36" s="111"/>
      <c r="G36" s="111">
        <f>F36+E36+D36</f>
        <v>3987047.99</v>
      </c>
      <c r="H36" s="111">
        <f>D36*1.031*1.005-D36*0.031*0.15+E36+F36</f>
        <v>4112659.94</v>
      </c>
      <c r="I36" s="27">
        <f t="shared" si="10"/>
        <v>4112659.94</v>
      </c>
      <c r="J36" s="24">
        <f t="shared" si="11"/>
        <v>1.0205</v>
      </c>
      <c r="K36" s="23">
        <f t="shared" si="12"/>
        <v>4196969.47</v>
      </c>
      <c r="L36" s="28">
        <f>$F$98</f>
        <v>1.0446</v>
      </c>
      <c r="M36" s="23">
        <f t="shared" si="14"/>
        <v>4384154.3099999996</v>
      </c>
    </row>
    <row r="37" spans="1:13" ht="78.75" customHeight="1" x14ac:dyDescent="0.25">
      <c r="A37" s="26" t="s">
        <v>166</v>
      </c>
      <c r="B37" s="109" t="s">
        <v>196</v>
      </c>
      <c r="C37" s="109" t="s">
        <v>38</v>
      </c>
      <c r="D37" s="111"/>
      <c r="E37" s="111"/>
      <c r="F37" s="111">
        <v>2183798.94</v>
      </c>
      <c r="G37" s="111">
        <f t="shared" ref="G37:H41" si="15">F37</f>
        <v>2183798.94</v>
      </c>
      <c r="H37" s="111">
        <f t="shared" si="15"/>
        <v>2183798.94</v>
      </c>
      <c r="I37" s="27">
        <f t="shared" si="10"/>
        <v>2183798.94</v>
      </c>
      <c r="J37" s="24">
        <f t="shared" si="11"/>
        <v>1.0205</v>
      </c>
      <c r="K37" s="23">
        <f t="shared" si="12"/>
        <v>2228566.8199999998</v>
      </c>
      <c r="L37" s="28">
        <f t="shared" ref="L37:L41" si="16">$F$98</f>
        <v>1.0446</v>
      </c>
      <c r="M37" s="23">
        <f>K37*L37</f>
        <v>2327960.9</v>
      </c>
    </row>
    <row r="38" spans="1:13" ht="36" customHeight="1" x14ac:dyDescent="0.25">
      <c r="A38" s="26" t="s">
        <v>167</v>
      </c>
      <c r="B38" s="109" t="s">
        <v>197</v>
      </c>
      <c r="C38" s="109" t="s">
        <v>39</v>
      </c>
      <c r="D38" s="111"/>
      <c r="E38" s="111"/>
      <c r="F38" s="111">
        <v>89.02</v>
      </c>
      <c r="G38" s="111">
        <f t="shared" si="15"/>
        <v>89.02</v>
      </c>
      <c r="H38" s="111">
        <f t="shared" si="15"/>
        <v>89.02</v>
      </c>
      <c r="I38" s="27">
        <f t="shared" si="10"/>
        <v>89.02</v>
      </c>
      <c r="J38" s="24">
        <f t="shared" si="11"/>
        <v>1.0205</v>
      </c>
      <c r="K38" s="23">
        <f t="shared" si="12"/>
        <v>90.84</v>
      </c>
      <c r="L38" s="28">
        <f t="shared" si="16"/>
        <v>1.0446</v>
      </c>
      <c r="M38" s="23">
        <f t="shared" si="14"/>
        <v>94.89</v>
      </c>
    </row>
    <row r="39" spans="1:13" ht="36" customHeight="1" x14ac:dyDescent="0.25">
      <c r="A39" s="26" t="s">
        <v>168</v>
      </c>
      <c r="B39" s="109" t="s">
        <v>197</v>
      </c>
      <c r="C39" s="109" t="s">
        <v>40</v>
      </c>
      <c r="D39" s="111"/>
      <c r="E39" s="111"/>
      <c r="F39" s="111">
        <v>3469.47</v>
      </c>
      <c r="G39" s="111">
        <f t="shared" si="15"/>
        <v>3469.47</v>
      </c>
      <c r="H39" s="111">
        <f t="shared" si="15"/>
        <v>3469.47</v>
      </c>
      <c r="I39" s="27">
        <f t="shared" si="10"/>
        <v>3469.47</v>
      </c>
      <c r="J39" s="24">
        <f t="shared" si="11"/>
        <v>1.0205</v>
      </c>
      <c r="K39" s="23">
        <f t="shared" si="12"/>
        <v>3540.59</v>
      </c>
      <c r="L39" s="28">
        <f t="shared" si="16"/>
        <v>1.0446</v>
      </c>
      <c r="M39" s="23">
        <f t="shared" si="14"/>
        <v>3698.5</v>
      </c>
    </row>
    <row r="40" spans="1:13" ht="36" customHeight="1" x14ac:dyDescent="0.25">
      <c r="A40" s="26" t="s">
        <v>255</v>
      </c>
      <c r="B40" s="109" t="s">
        <v>197</v>
      </c>
      <c r="C40" s="109" t="s">
        <v>198</v>
      </c>
      <c r="D40" s="111"/>
      <c r="E40" s="111"/>
      <c r="F40" s="111">
        <v>54553</v>
      </c>
      <c r="G40" s="111">
        <f t="shared" si="15"/>
        <v>54553</v>
      </c>
      <c r="H40" s="111">
        <f t="shared" si="15"/>
        <v>54553</v>
      </c>
      <c r="I40" s="27">
        <f t="shared" si="10"/>
        <v>54553</v>
      </c>
      <c r="J40" s="24">
        <f t="shared" si="11"/>
        <v>1.0205</v>
      </c>
      <c r="K40" s="23">
        <f t="shared" si="12"/>
        <v>55671.34</v>
      </c>
      <c r="L40" s="28">
        <f t="shared" si="16"/>
        <v>1.0446</v>
      </c>
      <c r="M40" s="23">
        <f t="shared" si="14"/>
        <v>58154.28</v>
      </c>
    </row>
    <row r="41" spans="1:13" ht="36" customHeight="1" x14ac:dyDescent="0.25">
      <c r="A41" s="26" t="s">
        <v>256</v>
      </c>
      <c r="B41" s="109" t="s">
        <v>37</v>
      </c>
      <c r="C41" s="109" t="s">
        <v>217</v>
      </c>
      <c r="D41" s="111"/>
      <c r="E41" s="111"/>
      <c r="F41" s="111">
        <v>9807890.0899999999</v>
      </c>
      <c r="G41" s="111">
        <f t="shared" si="15"/>
        <v>9807890.0899999999</v>
      </c>
      <c r="H41" s="111">
        <f t="shared" si="15"/>
        <v>9807890.0899999999</v>
      </c>
      <c r="I41" s="27">
        <f t="shared" si="10"/>
        <v>9807890.0899999999</v>
      </c>
      <c r="J41" s="24">
        <f t="shared" si="11"/>
        <v>1.0205</v>
      </c>
      <c r="K41" s="23">
        <f t="shared" si="12"/>
        <v>10008951.84</v>
      </c>
      <c r="L41" s="28">
        <f t="shared" si="16"/>
        <v>1.0446</v>
      </c>
      <c r="M41" s="23">
        <f t="shared" si="14"/>
        <v>10455351.09</v>
      </c>
    </row>
    <row r="42" spans="1:13" ht="47.25" x14ac:dyDescent="0.25">
      <c r="A42" s="26" t="s">
        <v>257</v>
      </c>
      <c r="B42" s="75" t="s">
        <v>56</v>
      </c>
      <c r="C42" s="75" t="s">
        <v>103</v>
      </c>
      <c r="D42" s="112"/>
      <c r="E42" s="112"/>
      <c r="F42" s="112"/>
      <c r="G42" s="112"/>
      <c r="H42" s="112"/>
      <c r="I42" s="27">
        <f>(I15+I16+I17+I28+I31+I32+I36+I37+I38+I39+I40+I41)*0.03</f>
        <v>39178288.689999998</v>
      </c>
      <c r="J42" s="24">
        <f>$F$62</f>
        <v>1.0205</v>
      </c>
      <c r="K42" s="23">
        <f t="shared" ref="K42" si="17">I42*J42</f>
        <v>39981443.609999999</v>
      </c>
      <c r="L42" s="28">
        <f>$F$98</f>
        <v>1.0446</v>
      </c>
      <c r="M42" s="23">
        <f>K42*L42-0.02</f>
        <v>41764615.979999997</v>
      </c>
    </row>
    <row r="43" spans="1:13" ht="19.5" customHeight="1" x14ac:dyDescent="0.25">
      <c r="A43" s="74"/>
      <c r="B43" s="76"/>
      <c r="C43" s="77" t="s">
        <v>153</v>
      </c>
      <c r="D43" s="34"/>
      <c r="E43" s="34"/>
      <c r="F43" s="34"/>
      <c r="G43" s="34"/>
      <c r="H43" s="34"/>
      <c r="I43" s="35">
        <f>I11+I14</f>
        <v>1372087692.25</v>
      </c>
      <c r="J43" s="35"/>
      <c r="K43" s="35">
        <f>K11+K14</f>
        <v>1400215489.9400001</v>
      </c>
      <c r="L43" s="35"/>
      <c r="M43" s="35">
        <f>M11+M14</f>
        <v>1462010142.3900001</v>
      </c>
    </row>
    <row r="44" spans="1:13" ht="15.75" x14ac:dyDescent="0.25">
      <c r="A44" s="74"/>
      <c r="B44" s="76"/>
      <c r="C44" s="77" t="s">
        <v>104</v>
      </c>
      <c r="D44" s="34"/>
      <c r="E44" s="34"/>
      <c r="F44" s="34"/>
      <c r="G44" s="34"/>
      <c r="H44" s="34"/>
      <c r="I44" s="35">
        <f>I43*0.2</f>
        <v>274417538.44999999</v>
      </c>
      <c r="J44" s="35"/>
      <c r="K44" s="35">
        <f>K43*0.2</f>
        <v>280043097.99000001</v>
      </c>
      <c r="L44" s="35"/>
      <c r="M44" s="35">
        <f>M43*0.2</f>
        <v>292402028.48000002</v>
      </c>
    </row>
    <row r="45" spans="1:13" ht="20.25" customHeight="1" x14ac:dyDescent="0.25">
      <c r="A45" s="74"/>
      <c r="B45" s="76"/>
      <c r="C45" s="77" t="s">
        <v>154</v>
      </c>
      <c r="D45" s="34"/>
      <c r="E45" s="34"/>
      <c r="F45" s="34"/>
      <c r="G45" s="34"/>
      <c r="H45" s="34"/>
      <c r="I45" s="35">
        <f>I43+I44</f>
        <v>1646505230.7</v>
      </c>
      <c r="J45" s="35"/>
      <c r="K45" s="35">
        <f>K43+K44</f>
        <v>1680258587.9300001</v>
      </c>
      <c r="L45" s="35"/>
      <c r="M45" s="35">
        <f>M43+M44</f>
        <v>1754412170.8699999</v>
      </c>
    </row>
    <row r="46" spans="1:13" ht="15.75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5.75" x14ac:dyDescent="0.25">
      <c r="A47" s="36"/>
      <c r="B47" s="36"/>
      <c r="C47" s="36"/>
      <c r="D47" s="36"/>
      <c r="E47" s="151"/>
      <c r="F47" s="36"/>
      <c r="G47" s="36"/>
      <c r="H47" s="36"/>
      <c r="I47" s="37"/>
      <c r="J47" s="36" t="s">
        <v>155</v>
      </c>
      <c r="K47" s="36"/>
      <c r="L47" s="36"/>
      <c r="M47" s="38">
        <f>F62*F82</f>
        <v>1.0417000000000001</v>
      </c>
    </row>
    <row r="48" spans="1:13" ht="15.75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 t="s">
        <v>156</v>
      </c>
      <c r="K48" s="36"/>
      <c r="L48" s="36"/>
      <c r="M48" s="38">
        <f>F62*F98</f>
        <v>1.0660000000000001</v>
      </c>
    </row>
    <row r="49" spans="1:15" ht="15.75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8"/>
    </row>
    <row r="50" spans="1:15" ht="15.75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8"/>
    </row>
    <row r="51" spans="1:15" ht="15.75" x14ac:dyDescent="0.25">
      <c r="A51" s="262" t="s">
        <v>108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5" ht="15.7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5" ht="51" customHeight="1" x14ac:dyDescent="0.25">
      <c r="A53" s="39"/>
      <c r="B53" s="263" t="s">
        <v>157</v>
      </c>
      <c r="C53" s="263"/>
      <c r="D53" s="263"/>
      <c r="E53" s="263"/>
      <c r="F53" s="264"/>
      <c r="G53" s="264"/>
      <c r="H53" s="264"/>
      <c r="I53" s="264"/>
      <c r="J53" s="264"/>
      <c r="K53" s="264"/>
      <c r="L53" s="264"/>
      <c r="M53" s="264"/>
    </row>
    <row r="54" spans="1:15" ht="15.75" x14ac:dyDescent="0.25">
      <c r="A54" s="39"/>
      <c r="B54" s="265" t="s">
        <v>109</v>
      </c>
      <c r="C54" s="265"/>
      <c r="D54" s="266"/>
      <c r="E54" s="266"/>
      <c r="F54" s="267"/>
      <c r="G54" s="267"/>
      <c r="H54" s="267"/>
      <c r="I54" s="267"/>
      <c r="J54" s="267"/>
      <c r="K54" s="267"/>
      <c r="L54" s="267"/>
      <c r="M54" s="267"/>
    </row>
    <row r="55" spans="1:15" ht="15.75" x14ac:dyDescent="0.25">
      <c r="A55" s="39"/>
      <c r="B55" s="268"/>
      <c r="C55" s="268" t="s">
        <v>110</v>
      </c>
      <c r="D55" s="269">
        <v>2023</v>
      </c>
      <c r="E55" s="269" t="s">
        <v>111</v>
      </c>
      <c r="F55" s="269" t="s">
        <v>111</v>
      </c>
      <c r="G55" s="269" t="s">
        <v>111</v>
      </c>
      <c r="H55" s="269" t="s">
        <v>111</v>
      </c>
      <c r="I55" s="269" t="s">
        <v>111</v>
      </c>
      <c r="J55" s="269" t="s">
        <v>111</v>
      </c>
      <c r="K55" s="269" t="s">
        <v>111</v>
      </c>
      <c r="L55" s="269" t="s">
        <v>111</v>
      </c>
      <c r="M55" s="269" t="s">
        <v>111</v>
      </c>
      <c r="N55" s="269" t="s">
        <v>111</v>
      </c>
      <c r="O55" s="269" t="s">
        <v>111</v>
      </c>
    </row>
    <row r="56" spans="1:15" ht="15.75" x14ac:dyDescent="0.25">
      <c r="A56" s="39"/>
      <c r="B56" s="268"/>
      <c r="C56" s="268"/>
      <c r="D56" s="40" t="s">
        <v>112</v>
      </c>
      <c r="E56" s="40" t="s">
        <v>113</v>
      </c>
      <c r="F56" s="40" t="s">
        <v>114</v>
      </c>
      <c r="G56" s="40" t="s">
        <v>115</v>
      </c>
      <c r="H56" s="40" t="s">
        <v>116</v>
      </c>
      <c r="I56" s="40" t="s">
        <v>117</v>
      </c>
      <c r="J56" s="40" t="s">
        <v>118</v>
      </c>
      <c r="K56" s="40" t="s">
        <v>119</v>
      </c>
      <c r="L56" s="40" t="s">
        <v>120</v>
      </c>
      <c r="M56" s="40" t="s">
        <v>121</v>
      </c>
      <c r="N56" s="40" t="s">
        <v>122</v>
      </c>
      <c r="O56" s="40" t="s">
        <v>123</v>
      </c>
    </row>
    <row r="57" spans="1:15" ht="15.75" x14ac:dyDescent="0.25">
      <c r="A57" s="36"/>
      <c r="B57" s="268"/>
      <c r="C57" s="268"/>
      <c r="D57" s="41">
        <v>100.31</v>
      </c>
      <c r="E57" s="41">
        <v>100.9</v>
      </c>
      <c r="F57" s="41">
        <v>99.77</v>
      </c>
      <c r="G57" s="41">
        <v>100.8</v>
      </c>
      <c r="H57" s="41">
        <v>100.13</v>
      </c>
      <c r="I57" s="41"/>
      <c r="J57" s="42"/>
      <c r="K57" s="41"/>
      <c r="L57" s="41"/>
      <c r="M57" s="41"/>
      <c r="N57" s="41"/>
      <c r="O57" s="41"/>
    </row>
    <row r="58" spans="1:15" ht="15.75" x14ac:dyDescent="0.25">
      <c r="A58" s="36"/>
      <c r="B58" s="36"/>
      <c r="C58" s="43" t="s">
        <v>124</v>
      </c>
      <c r="D58" s="44">
        <f t="shared" ref="D58" si="18">D57/100</f>
        <v>1.0031000000000001</v>
      </c>
      <c r="E58" s="44">
        <f t="shared" ref="E58:O58" si="19">E57/100</f>
        <v>1.0089999999999999</v>
      </c>
      <c r="F58" s="44">
        <f t="shared" si="19"/>
        <v>0.99770000000000003</v>
      </c>
      <c r="G58" s="44">
        <f t="shared" si="19"/>
        <v>1.008</v>
      </c>
      <c r="H58" s="44">
        <f t="shared" si="19"/>
        <v>1.0013000000000001</v>
      </c>
      <c r="I58" s="44">
        <f t="shared" si="19"/>
        <v>0</v>
      </c>
      <c r="J58" s="44">
        <f t="shared" si="19"/>
        <v>0</v>
      </c>
      <c r="K58" s="44">
        <f t="shared" si="19"/>
        <v>0</v>
      </c>
      <c r="L58" s="44">
        <f t="shared" si="19"/>
        <v>0</v>
      </c>
      <c r="M58" s="44">
        <f t="shared" si="19"/>
        <v>0</v>
      </c>
      <c r="N58" s="44">
        <f t="shared" si="19"/>
        <v>0</v>
      </c>
      <c r="O58" s="44">
        <f t="shared" si="19"/>
        <v>0</v>
      </c>
    </row>
    <row r="59" spans="1:15" ht="15.7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5" ht="15.7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5" ht="15.75" x14ac:dyDescent="0.25">
      <c r="A61" s="256" t="s">
        <v>125</v>
      </c>
      <c r="B61" s="256"/>
      <c r="C61" s="256"/>
      <c r="D61" s="256"/>
      <c r="E61" s="256"/>
      <c r="F61" s="45">
        <v>45108</v>
      </c>
      <c r="G61" s="46"/>
      <c r="H61" s="46"/>
      <c r="I61" s="47"/>
      <c r="J61" s="36"/>
      <c r="K61" s="36"/>
      <c r="L61" s="36"/>
      <c r="M61" s="36"/>
    </row>
    <row r="62" spans="1:15" ht="39" customHeight="1" x14ac:dyDescent="0.25">
      <c r="A62" s="270" t="s">
        <v>126</v>
      </c>
      <c r="B62" s="270"/>
      <c r="C62" s="270"/>
      <c r="D62" s="270"/>
      <c r="E62" s="270"/>
      <c r="F62" s="271">
        <f>D58*E58*F58*G58*H58*H58</f>
        <v>1.0205</v>
      </c>
      <c r="G62" s="48"/>
      <c r="H62" s="48"/>
      <c r="J62" s="36"/>
      <c r="K62" s="36"/>
      <c r="L62" s="36"/>
      <c r="M62" s="36"/>
    </row>
    <row r="63" spans="1:15" x14ac:dyDescent="0.25">
      <c r="A63" s="272" t="str">
        <f>CONCATENATE(D58,"*",E58,"*",F58,"*",G58,"*",H58,"*",H58)</f>
        <v>1,0031*1,009*0,9977*1,008*1,0013*1,0013</v>
      </c>
      <c r="B63" s="272"/>
      <c r="C63" s="272"/>
      <c r="D63" s="272"/>
      <c r="E63" s="272"/>
      <c r="F63" s="271"/>
      <c r="G63" s="48"/>
      <c r="H63" s="49"/>
    </row>
    <row r="64" spans="1:15" ht="42.75" customHeight="1" x14ac:dyDescent="0.25">
      <c r="A64" s="273" t="s">
        <v>334</v>
      </c>
      <c r="B64" s="273"/>
      <c r="C64" s="273"/>
      <c r="D64" s="273"/>
      <c r="E64" s="273"/>
      <c r="F64" s="273"/>
      <c r="G64" s="50"/>
      <c r="H64" s="50"/>
      <c r="I64" s="50"/>
    </row>
    <row r="65" spans="1:13" ht="27" customHeight="1" x14ac:dyDescent="0.25">
      <c r="A65" s="51"/>
      <c r="B65" s="51"/>
      <c r="C65" s="51"/>
      <c r="D65" s="51"/>
      <c r="E65" s="51"/>
      <c r="F65" s="51"/>
      <c r="G65" s="50"/>
      <c r="H65" s="50"/>
      <c r="I65" s="50"/>
    </row>
    <row r="66" spans="1:13" ht="24" customHeight="1" x14ac:dyDescent="0.25">
      <c r="A66" s="262" t="s">
        <v>158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</row>
    <row r="67" spans="1:13" x14ac:dyDescent="0.25">
      <c r="A67" s="51"/>
      <c r="B67" s="51"/>
      <c r="C67" s="51"/>
      <c r="D67" s="51"/>
      <c r="E67" s="51"/>
      <c r="F67" s="51"/>
      <c r="G67" s="51"/>
      <c r="H67" s="51"/>
      <c r="I67" s="51"/>
    </row>
    <row r="68" spans="1:13" ht="15.75" x14ac:dyDescent="0.25">
      <c r="A68" s="274" t="s">
        <v>127</v>
      </c>
      <c r="B68" s="274"/>
      <c r="C68" s="274"/>
      <c r="D68" s="274"/>
      <c r="E68" s="274"/>
      <c r="F68" s="274"/>
      <c r="G68" s="274"/>
      <c r="H68" s="274"/>
      <c r="I68" s="274"/>
    </row>
    <row r="69" spans="1:13" x14ac:dyDescent="0.25">
      <c r="A69" s="52"/>
      <c r="B69" s="53"/>
      <c r="C69" s="53"/>
      <c r="D69" s="53"/>
      <c r="E69" s="53"/>
      <c r="F69" s="54"/>
      <c r="G69" s="46"/>
      <c r="H69" s="46"/>
      <c r="I69" s="54"/>
    </row>
    <row r="70" spans="1:13" x14ac:dyDescent="0.25">
      <c r="A70" s="256" t="s">
        <v>125</v>
      </c>
      <c r="B70" s="256"/>
      <c r="C70" s="256"/>
      <c r="D70" s="256"/>
      <c r="E70" s="256"/>
      <c r="F70" s="55">
        <v>45108</v>
      </c>
    </row>
    <row r="71" spans="1:13" ht="15.75" x14ac:dyDescent="0.25">
      <c r="A71" s="275" t="s">
        <v>128</v>
      </c>
      <c r="B71" s="276"/>
      <c r="C71" s="276"/>
      <c r="D71" s="276"/>
      <c r="E71" s="277"/>
      <c r="F71" s="55">
        <v>45170</v>
      </c>
      <c r="G71" s="55">
        <v>45291</v>
      </c>
      <c r="H71" t="s">
        <v>135</v>
      </c>
    </row>
    <row r="72" spans="1:13" ht="15.75" x14ac:dyDescent="0.25">
      <c r="A72" s="275" t="s">
        <v>129</v>
      </c>
      <c r="B72" s="276"/>
      <c r="C72" s="276"/>
      <c r="D72" s="276"/>
      <c r="E72" s="277"/>
      <c r="F72" s="55">
        <v>45350</v>
      </c>
      <c r="G72" s="55">
        <v>45292</v>
      </c>
      <c r="H72" t="s">
        <v>136</v>
      </c>
    </row>
    <row r="73" spans="1:13" ht="15.75" x14ac:dyDescent="0.25">
      <c r="A73" s="275" t="s">
        <v>137</v>
      </c>
      <c r="B73" s="276"/>
      <c r="C73" s="276"/>
      <c r="D73" s="276"/>
      <c r="E73" s="277"/>
      <c r="F73" s="56">
        <f>(F72-F71)/30.5</f>
        <v>5.9</v>
      </c>
    </row>
    <row r="74" spans="1:13" ht="15.75" x14ac:dyDescent="0.25">
      <c r="A74" s="278" t="s">
        <v>138</v>
      </c>
      <c r="B74" s="278"/>
      <c r="C74" s="278"/>
      <c r="D74" s="278"/>
      <c r="E74" s="278"/>
      <c r="F74" s="65">
        <f>(G71-F71)/30.5/F73</f>
        <v>0.67</v>
      </c>
    </row>
    <row r="75" spans="1:13" ht="15.75" x14ac:dyDescent="0.25">
      <c r="A75" s="279" t="s">
        <v>139</v>
      </c>
      <c r="B75" s="279"/>
      <c r="C75" s="279"/>
      <c r="D75" s="279"/>
      <c r="E75" s="279"/>
      <c r="F75" s="65">
        <f>1-F74</f>
        <v>0.33</v>
      </c>
    </row>
    <row r="76" spans="1:13" ht="15.75" customHeight="1" x14ac:dyDescent="0.25">
      <c r="A76" s="252" t="s">
        <v>130</v>
      </c>
      <c r="B76" s="252"/>
      <c r="C76" s="252"/>
      <c r="D76" s="252"/>
      <c r="E76" s="252"/>
      <c r="F76" s="66">
        <v>1.0589999999999999</v>
      </c>
    </row>
    <row r="77" spans="1:13" ht="15.75" x14ac:dyDescent="0.25">
      <c r="A77" s="251" t="s">
        <v>131</v>
      </c>
      <c r="B77" s="251"/>
      <c r="C77" s="251"/>
      <c r="D77" s="58">
        <f>F76</f>
        <v>1.0589999999999999</v>
      </c>
      <c r="E77" s="59" t="s">
        <v>132</v>
      </c>
      <c r="F77" s="60">
        <f>F76^(1/12)</f>
        <v>1.0047885000000001</v>
      </c>
    </row>
    <row r="78" spans="1:13" ht="15.75" customHeight="1" x14ac:dyDescent="0.25">
      <c r="A78" s="252" t="s">
        <v>140</v>
      </c>
      <c r="B78" s="252"/>
      <c r="C78" s="252"/>
      <c r="D78" s="252"/>
      <c r="E78" s="252"/>
      <c r="F78" s="57">
        <v>1.0529999999999999</v>
      </c>
    </row>
    <row r="79" spans="1:13" ht="15.75" x14ac:dyDescent="0.25">
      <c r="A79" s="251" t="s">
        <v>141</v>
      </c>
      <c r="B79" s="251"/>
      <c r="C79" s="251"/>
      <c r="D79" s="58">
        <f>F78</f>
        <v>1.0529999999999999</v>
      </c>
      <c r="E79" s="59" t="s">
        <v>132</v>
      </c>
      <c r="F79" s="60">
        <f>F78^(1/12)</f>
        <v>1.0043129</v>
      </c>
    </row>
    <row r="80" spans="1:13" ht="15.75" customHeight="1" x14ac:dyDescent="0.25">
      <c r="A80" s="67" t="s">
        <v>142</v>
      </c>
      <c r="B80" s="67"/>
      <c r="C80" s="253" t="str">
        <f>CONCATENATE("(",F77,"^",ROUNDUP((G71-F70)/30.5,1),"-1)/2+1")</f>
        <v>(1,0047885^6-1)/2+1</v>
      </c>
      <c r="D80" s="254"/>
      <c r="E80" s="255"/>
      <c r="F80" s="68">
        <f>(F77^ROUNDUP((G71-F70)/30.5,1)-1)/2+1</f>
        <v>1.0145386000000001</v>
      </c>
      <c r="H80" s="69"/>
    </row>
    <row r="81" spans="1:9" ht="15.75" x14ac:dyDescent="0.25">
      <c r="A81" s="67" t="s">
        <v>143</v>
      </c>
      <c r="B81" s="67"/>
      <c r="C81" s="253" t="str">
        <f>CONCATENATE(F77,"^",ROUNDUP((G71-F70)/30.5,1),"*((",F79,"^",ROUNDUP((F72-G72)/30.5,1),"-1)/2+1)")</f>
        <v>1,0047885^6*((1,0043129^2-1)/2+1)</v>
      </c>
      <c r="D81" s="254"/>
      <c r="E81" s="255"/>
      <c r="F81" s="68">
        <f>F77^ROUNDUP((G71-F70)/30.5,1)*((F79^ROUNDUP((F72-G72)/30.5,1)-1)/2+1)</f>
        <v>1.033525</v>
      </c>
      <c r="H81" s="69"/>
    </row>
    <row r="82" spans="1:9" ht="15.75" customHeight="1" x14ac:dyDescent="0.25">
      <c r="A82" s="280" t="s">
        <v>133</v>
      </c>
      <c r="B82" s="281"/>
      <c r="C82" s="253" t="str">
        <f>CONCATENATE(F74,"*",F80,"+",F75,"*",F81)</f>
        <v>0,67*1,0145386+0,33*1,033525</v>
      </c>
      <c r="D82" s="254"/>
      <c r="E82" s="255"/>
      <c r="F82" s="61">
        <f>F74*F80+F75*F81</f>
        <v>1.0207999999999999</v>
      </c>
      <c r="H82" s="62"/>
    </row>
    <row r="83" spans="1:9" x14ac:dyDescent="0.25">
      <c r="A83" s="52"/>
      <c r="B83" s="53"/>
      <c r="C83" s="53"/>
      <c r="D83" s="53"/>
      <c r="E83" s="53"/>
      <c r="I83" s="63"/>
    </row>
    <row r="84" spans="1:9" ht="15.75" x14ac:dyDescent="0.25">
      <c r="A84" s="274" t="s">
        <v>134</v>
      </c>
      <c r="B84" s="274"/>
      <c r="C84" s="274"/>
      <c r="D84" s="274"/>
      <c r="E84" s="274"/>
      <c r="F84" s="274"/>
      <c r="G84" s="274"/>
      <c r="H84" s="274"/>
      <c r="I84" s="274"/>
    </row>
    <row r="85" spans="1:9" x14ac:dyDescent="0.25">
      <c r="A85" s="52"/>
      <c r="B85" s="53"/>
      <c r="C85" s="53"/>
      <c r="D85" s="53"/>
      <c r="E85" s="53"/>
      <c r="F85" s="54"/>
      <c r="I85" s="64"/>
    </row>
    <row r="86" spans="1:9" x14ac:dyDescent="0.25">
      <c r="A86" s="256" t="s">
        <v>125</v>
      </c>
      <c r="B86" s="256"/>
      <c r="C86" s="256"/>
      <c r="D86" s="256"/>
      <c r="E86" s="256"/>
      <c r="F86" s="55">
        <v>45108</v>
      </c>
    </row>
    <row r="87" spans="1:9" ht="15.75" x14ac:dyDescent="0.25">
      <c r="A87" s="275" t="s">
        <v>128</v>
      </c>
      <c r="B87" s="276"/>
      <c r="C87" s="276"/>
      <c r="D87" s="276"/>
      <c r="E87" s="277"/>
      <c r="F87" s="55">
        <v>45170</v>
      </c>
      <c r="G87" s="55">
        <v>45291</v>
      </c>
      <c r="H87" t="s">
        <v>135</v>
      </c>
    </row>
    <row r="88" spans="1:9" ht="15.75" x14ac:dyDescent="0.25">
      <c r="A88" s="275" t="s">
        <v>129</v>
      </c>
      <c r="B88" s="276"/>
      <c r="C88" s="276"/>
      <c r="D88" s="276"/>
      <c r="E88" s="277"/>
      <c r="F88" s="55">
        <v>45641</v>
      </c>
      <c r="G88" s="55">
        <v>45292</v>
      </c>
      <c r="H88" t="s">
        <v>136</v>
      </c>
    </row>
    <row r="89" spans="1:9" ht="15.75" x14ac:dyDescent="0.25">
      <c r="A89" s="275" t="s">
        <v>137</v>
      </c>
      <c r="B89" s="276"/>
      <c r="C89" s="276"/>
      <c r="D89" s="276"/>
      <c r="E89" s="277"/>
      <c r="F89" s="56">
        <f>(F88-F87)/30.5</f>
        <v>15.4</v>
      </c>
    </row>
    <row r="90" spans="1:9" ht="15.75" x14ac:dyDescent="0.25">
      <c r="A90" s="278" t="s">
        <v>138</v>
      </c>
      <c r="B90" s="278"/>
      <c r="C90" s="278"/>
      <c r="D90" s="278"/>
      <c r="E90" s="278"/>
      <c r="F90" s="65">
        <f>(G87-F87)/30.5/F89</f>
        <v>0.26</v>
      </c>
    </row>
    <row r="91" spans="1:9" ht="15.75" x14ac:dyDescent="0.25">
      <c r="A91" s="279" t="s">
        <v>139</v>
      </c>
      <c r="B91" s="279"/>
      <c r="C91" s="279"/>
      <c r="D91" s="279"/>
      <c r="E91" s="279"/>
      <c r="F91" s="65">
        <f>1-F90</f>
        <v>0.74</v>
      </c>
    </row>
    <row r="92" spans="1:9" ht="15.75" x14ac:dyDescent="0.25">
      <c r="A92" s="252" t="s">
        <v>130</v>
      </c>
      <c r="B92" s="252"/>
      <c r="C92" s="252"/>
      <c r="D92" s="252"/>
      <c r="E92" s="252"/>
      <c r="F92" s="66">
        <v>1.0589999999999999</v>
      </c>
    </row>
    <row r="93" spans="1:9" ht="15.75" x14ac:dyDescent="0.25">
      <c r="A93" s="251" t="s">
        <v>131</v>
      </c>
      <c r="B93" s="251"/>
      <c r="C93" s="251"/>
      <c r="D93" s="58">
        <f>F92</f>
        <v>1.0589999999999999</v>
      </c>
      <c r="E93" s="59" t="s">
        <v>132</v>
      </c>
      <c r="F93" s="60">
        <f>F92^(1/12)</f>
        <v>1.0047885000000001</v>
      </c>
    </row>
    <row r="94" spans="1:9" ht="15.75" x14ac:dyDescent="0.25">
      <c r="A94" s="252" t="s">
        <v>140</v>
      </c>
      <c r="B94" s="252"/>
      <c r="C94" s="252"/>
      <c r="D94" s="252"/>
      <c r="E94" s="252"/>
      <c r="F94" s="57">
        <v>1.0529999999999999</v>
      </c>
    </row>
    <row r="95" spans="1:9" ht="15.75" x14ac:dyDescent="0.25">
      <c r="A95" s="251" t="s">
        <v>141</v>
      </c>
      <c r="B95" s="251"/>
      <c r="C95" s="251"/>
      <c r="D95" s="58">
        <f>F94</f>
        <v>1.0529999999999999</v>
      </c>
      <c r="E95" s="59" t="s">
        <v>132</v>
      </c>
      <c r="F95" s="60">
        <f>F94^(1/12)</f>
        <v>1.0043129</v>
      </c>
    </row>
    <row r="96" spans="1:9" ht="15.75" customHeight="1" x14ac:dyDescent="0.25">
      <c r="A96" s="67" t="s">
        <v>142</v>
      </c>
      <c r="B96" s="67"/>
      <c r="C96" s="253" t="str">
        <f>CONCATENATE("(",F93,"^",ROUNDUP((G87-F86)/30.5,1),"-1)/2+1")</f>
        <v>(1,0047885^6-1)/2+1</v>
      </c>
      <c r="D96" s="254"/>
      <c r="E96" s="255"/>
      <c r="F96" s="68">
        <f>(F93^ROUNDUP((G87-F86)/30.5,1)-1)/2+1</f>
        <v>1.0145386000000001</v>
      </c>
      <c r="H96" s="69"/>
    </row>
    <row r="97" spans="1:8" ht="15.75" x14ac:dyDescent="0.25">
      <c r="A97" s="67" t="s">
        <v>143</v>
      </c>
      <c r="B97" s="67"/>
      <c r="C97" s="253" t="str">
        <f>CONCATENATE(F93,"^",ROUNDUP((G87-F86)/30.5,1),"*((",F95,"^",ROUNDUP((F88-G88)/30.5,1),"-1)/2+1)")</f>
        <v>1,0047885^6*((1,0043129^11,5-1)/2+1)</v>
      </c>
      <c r="D97" s="254"/>
      <c r="E97" s="255"/>
      <c r="F97" s="68">
        <f>F93^ROUNDUP((G87-F86)/30.5,1)*((F95^ROUNDUP((F88-G88)/30.5,1)-1)/2+1)</f>
        <v>1.0551832000000001</v>
      </c>
      <c r="H97" s="69"/>
    </row>
    <row r="98" spans="1:8" ht="15.75" customHeight="1" x14ac:dyDescent="0.25">
      <c r="A98" s="280" t="s">
        <v>133</v>
      </c>
      <c r="B98" s="281"/>
      <c r="C98" s="253" t="str">
        <f>CONCATENATE(F90,"*",F96,"+",F91,"*",F97)</f>
        <v>0,26*1,0145386+0,74*1,0551832</v>
      </c>
      <c r="D98" s="254"/>
      <c r="E98" s="255"/>
      <c r="F98" s="61">
        <f>F90*F96+F91*F97</f>
        <v>1.0446</v>
      </c>
      <c r="H98" s="62"/>
    </row>
    <row r="102" spans="1:8" ht="45.75" customHeight="1" x14ac:dyDescent="0.25">
      <c r="A102" s="282" t="s">
        <v>144</v>
      </c>
      <c r="B102" s="282"/>
      <c r="C102" s="282"/>
      <c r="D102" s="70"/>
      <c r="E102" s="71" t="s">
        <v>145</v>
      </c>
    </row>
  </sheetData>
  <mergeCells count="48">
    <mergeCell ref="A102:C102"/>
    <mergeCell ref="A95:C95"/>
    <mergeCell ref="C96:E96"/>
    <mergeCell ref="C97:E97"/>
    <mergeCell ref="A98:B98"/>
    <mergeCell ref="C98:E98"/>
    <mergeCell ref="A74:E74"/>
    <mergeCell ref="A75:E75"/>
    <mergeCell ref="A76:E76"/>
    <mergeCell ref="A94:E94"/>
    <mergeCell ref="A82:B82"/>
    <mergeCell ref="C82:E82"/>
    <mergeCell ref="A84:I84"/>
    <mergeCell ref="A86:E86"/>
    <mergeCell ref="A87:E87"/>
    <mergeCell ref="A88:E88"/>
    <mergeCell ref="A89:E89"/>
    <mergeCell ref="A90:E90"/>
    <mergeCell ref="A91:E91"/>
    <mergeCell ref="A92:E92"/>
    <mergeCell ref="A93:C93"/>
    <mergeCell ref="A68:I68"/>
    <mergeCell ref="A70:E70"/>
    <mergeCell ref="A71:E71"/>
    <mergeCell ref="A72:E72"/>
    <mergeCell ref="A73:E73"/>
    <mergeCell ref="A62:E62"/>
    <mergeCell ref="F62:F63"/>
    <mergeCell ref="A63:E63"/>
    <mergeCell ref="A64:F64"/>
    <mergeCell ref="A66:M66"/>
    <mergeCell ref="A61:E61"/>
    <mergeCell ref="A1:M1"/>
    <mergeCell ref="A3:M3"/>
    <mergeCell ref="A4:M4"/>
    <mergeCell ref="A7:M7"/>
    <mergeCell ref="A8:M8"/>
    <mergeCell ref="A51:M51"/>
    <mergeCell ref="B53:M53"/>
    <mergeCell ref="B54:M54"/>
    <mergeCell ref="B55:B57"/>
    <mergeCell ref="C55:C57"/>
    <mergeCell ref="D55:O55"/>
    <mergeCell ref="A77:C77"/>
    <mergeCell ref="A78:E78"/>
    <mergeCell ref="A79:C79"/>
    <mergeCell ref="C80:E80"/>
    <mergeCell ref="C81:E81"/>
  </mergeCells>
  <pageMargins left="0.7" right="0.7" top="0.75" bottom="0.75" header="0.3" footer="0.3"/>
  <pageSetup paperSize="9" scale="46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37" workbookViewId="0">
      <selection activeCell="G55" sqref="G55"/>
    </sheetView>
  </sheetViews>
  <sheetFormatPr defaultColWidth="9.140625" defaultRowHeight="15" x14ac:dyDescent="0.25"/>
  <cols>
    <col min="1" max="1" width="6.7109375" customWidth="1"/>
    <col min="2" max="2" width="20.140625" customWidth="1"/>
    <col min="3" max="3" width="32.7109375" customWidth="1"/>
    <col min="4" max="8" width="14" customWidth="1"/>
    <col min="10" max="14" width="0" hidden="1" customWidth="1"/>
  </cols>
  <sheetData>
    <row r="1" spans="1:8" x14ac:dyDescent="0.25">
      <c r="H1" s="80" t="s">
        <v>0</v>
      </c>
    </row>
    <row r="2" spans="1:8" x14ac:dyDescent="0.25">
      <c r="A2" s="81"/>
      <c r="B2" s="81"/>
      <c r="C2" s="81"/>
      <c r="D2" s="81"/>
      <c r="E2" s="81"/>
      <c r="F2" s="81"/>
      <c r="G2" s="81"/>
      <c r="H2" s="80" t="s">
        <v>1</v>
      </c>
    </row>
    <row r="3" spans="1:8" x14ac:dyDescent="0.25">
      <c r="A3" s="81"/>
      <c r="B3" s="81"/>
      <c r="C3" s="81"/>
      <c r="D3" s="81"/>
      <c r="E3" s="81"/>
      <c r="F3" s="81"/>
      <c r="G3" s="81"/>
      <c r="H3" s="80"/>
    </row>
    <row r="4" spans="1:8" x14ac:dyDescent="0.25">
      <c r="A4" s="81"/>
      <c r="B4" s="81" t="s">
        <v>2</v>
      </c>
      <c r="C4" s="298" t="s">
        <v>172</v>
      </c>
      <c r="D4" s="298"/>
      <c r="E4" s="298"/>
      <c r="F4" s="298"/>
      <c r="G4" s="298"/>
      <c r="H4" s="81"/>
    </row>
    <row r="5" spans="1:8" x14ac:dyDescent="0.25">
      <c r="A5" s="81"/>
      <c r="B5" s="81"/>
      <c r="C5" s="299" t="s">
        <v>3</v>
      </c>
      <c r="D5" s="299"/>
      <c r="E5" s="299"/>
      <c r="F5" s="299"/>
      <c r="G5" s="299"/>
      <c r="H5" s="81"/>
    </row>
    <row r="6" spans="1:8" x14ac:dyDescent="0.25">
      <c r="A6" s="81"/>
      <c r="B6" s="81" t="s">
        <v>4</v>
      </c>
      <c r="C6" s="82"/>
      <c r="D6" s="82"/>
      <c r="E6" s="82"/>
      <c r="F6" s="82"/>
      <c r="G6" s="82"/>
      <c r="H6" s="81"/>
    </row>
    <row r="7" spans="1:8" x14ac:dyDescent="0.25">
      <c r="A7" s="81"/>
      <c r="B7" s="81"/>
      <c r="C7" s="82"/>
      <c r="D7" s="82"/>
      <c r="E7" s="82"/>
      <c r="F7" s="82"/>
      <c r="G7" s="82"/>
      <c r="H7" s="81"/>
    </row>
    <row r="8" spans="1:8" x14ac:dyDescent="0.25">
      <c r="A8" s="81"/>
      <c r="B8" s="83" t="s">
        <v>173</v>
      </c>
      <c r="C8" s="82"/>
      <c r="D8" s="82"/>
      <c r="E8" s="82"/>
      <c r="F8" s="82"/>
      <c r="G8" s="82"/>
      <c r="H8" s="81"/>
    </row>
    <row r="9" spans="1:8" x14ac:dyDescent="0.25">
      <c r="A9" s="81"/>
      <c r="B9" s="81"/>
      <c r="C9" s="300"/>
      <c r="D9" s="300"/>
      <c r="E9" s="300"/>
      <c r="F9" s="300"/>
      <c r="G9" s="300"/>
      <c r="H9" s="81"/>
    </row>
    <row r="10" spans="1:8" ht="18" x14ac:dyDescent="0.25">
      <c r="A10" s="84"/>
      <c r="B10" s="84"/>
      <c r="C10" s="299" t="s">
        <v>5</v>
      </c>
      <c r="D10" s="299"/>
      <c r="E10" s="299"/>
      <c r="F10" s="299"/>
      <c r="G10" s="299"/>
      <c r="H10" s="84"/>
    </row>
    <row r="11" spans="1:8" ht="18" x14ac:dyDescent="0.25">
      <c r="A11" s="84"/>
      <c r="B11" s="84"/>
      <c r="C11" s="82"/>
      <c r="D11" s="82"/>
      <c r="E11" s="82"/>
      <c r="F11" s="82"/>
      <c r="G11" s="82"/>
      <c r="H11" s="84"/>
    </row>
    <row r="12" spans="1:8" ht="18" x14ac:dyDescent="0.25">
      <c r="A12" s="84"/>
      <c r="B12" s="301" t="s">
        <v>6</v>
      </c>
      <c r="C12" s="301"/>
      <c r="D12" s="301"/>
      <c r="E12" s="301"/>
      <c r="F12" s="301"/>
      <c r="G12" s="301"/>
      <c r="H12" s="84"/>
    </row>
    <row r="13" spans="1:8" ht="18" x14ac:dyDescent="0.25">
      <c r="A13" s="84"/>
      <c r="B13" s="84"/>
      <c r="C13" s="82"/>
      <c r="D13" s="82"/>
      <c r="E13" s="82"/>
      <c r="F13" s="82"/>
      <c r="G13" s="82"/>
      <c r="H13" s="84"/>
    </row>
    <row r="14" spans="1:8" ht="30" customHeight="1" x14ac:dyDescent="0.25">
      <c r="A14" s="85"/>
      <c r="B14" s="289" t="s">
        <v>174</v>
      </c>
      <c r="C14" s="289"/>
      <c r="D14" s="289"/>
      <c r="E14" s="289"/>
      <c r="F14" s="289"/>
      <c r="G14" s="289"/>
      <c r="H14" s="85"/>
    </row>
    <row r="15" spans="1:8" x14ac:dyDescent="0.25">
      <c r="A15" s="86"/>
      <c r="B15" s="290" t="s">
        <v>7</v>
      </c>
      <c r="C15" s="290"/>
      <c r="D15" s="290"/>
      <c r="E15" s="290"/>
      <c r="F15" s="290"/>
      <c r="G15" s="290"/>
      <c r="H15" s="86"/>
    </row>
    <row r="16" spans="1:8" x14ac:dyDescent="0.25">
      <c r="A16" s="81"/>
      <c r="B16" s="81"/>
      <c r="C16" s="81"/>
      <c r="D16" s="87"/>
      <c r="E16" s="87"/>
      <c r="F16" s="87"/>
      <c r="G16" s="88"/>
      <c r="H16" s="88"/>
    </row>
    <row r="17" spans="1:8" x14ac:dyDescent="0.25">
      <c r="A17" s="89"/>
      <c r="B17" s="297" t="s">
        <v>8</v>
      </c>
      <c r="C17" s="297"/>
      <c r="D17" s="297"/>
      <c r="E17" s="297"/>
      <c r="F17" s="297"/>
      <c r="G17" s="297"/>
      <c r="H17" s="82"/>
    </row>
    <row r="18" spans="1:8" x14ac:dyDescent="0.25">
      <c r="A18" s="81"/>
      <c r="B18" s="81"/>
      <c r="C18" s="81"/>
      <c r="D18" s="82"/>
      <c r="E18" s="82"/>
      <c r="F18" s="82"/>
      <c r="G18" s="82"/>
      <c r="H18" s="82"/>
    </row>
    <row r="19" spans="1:8" x14ac:dyDescent="0.25">
      <c r="A19" s="291" t="s">
        <v>9</v>
      </c>
      <c r="B19" s="291" t="s">
        <v>10</v>
      </c>
      <c r="C19" s="291" t="s">
        <v>11</v>
      </c>
      <c r="D19" s="294" t="s">
        <v>12</v>
      </c>
      <c r="E19" s="295"/>
      <c r="F19" s="295"/>
      <c r="G19" s="295"/>
      <c r="H19" s="296"/>
    </row>
    <row r="20" spans="1:8" x14ac:dyDescent="0.25">
      <c r="A20" s="292"/>
      <c r="B20" s="292"/>
      <c r="C20" s="292"/>
      <c r="D20" s="291" t="s">
        <v>13</v>
      </c>
      <c r="E20" s="291" t="s">
        <v>14</v>
      </c>
      <c r="F20" s="291" t="s">
        <v>15</v>
      </c>
      <c r="G20" s="291" t="s">
        <v>16</v>
      </c>
      <c r="H20" s="291" t="s">
        <v>17</v>
      </c>
    </row>
    <row r="21" spans="1:8" x14ac:dyDescent="0.25">
      <c r="A21" s="293"/>
      <c r="B21" s="293"/>
      <c r="C21" s="293"/>
      <c r="D21" s="293"/>
      <c r="E21" s="293"/>
      <c r="F21" s="293"/>
      <c r="G21" s="293"/>
      <c r="H21" s="293"/>
    </row>
    <row r="22" spans="1:8" x14ac:dyDescent="0.25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</row>
    <row r="23" spans="1:8" x14ac:dyDescent="0.25">
      <c r="A23" s="302" t="s">
        <v>18</v>
      </c>
      <c r="B23" s="303"/>
      <c r="C23" s="303"/>
      <c r="D23" s="303"/>
      <c r="E23" s="303"/>
      <c r="F23" s="303"/>
      <c r="G23" s="303"/>
      <c r="H23" s="304"/>
    </row>
    <row r="24" spans="1:8" ht="90" x14ac:dyDescent="0.25">
      <c r="A24" s="91">
        <v>1</v>
      </c>
      <c r="B24" s="92" t="s">
        <v>175</v>
      </c>
      <c r="C24" s="92" t="s">
        <v>176</v>
      </c>
      <c r="D24" s="93"/>
      <c r="E24" s="93"/>
      <c r="F24" s="93"/>
      <c r="G24" s="94">
        <v>3009.06</v>
      </c>
      <c r="H24" s="94">
        <v>3009.06</v>
      </c>
    </row>
    <row r="25" spans="1:8" x14ac:dyDescent="0.25">
      <c r="A25" s="90"/>
      <c r="B25" s="92"/>
      <c r="C25" s="92"/>
      <c r="D25" s="93"/>
      <c r="E25" s="93"/>
      <c r="F25" s="93"/>
      <c r="G25" s="93" t="s">
        <v>177</v>
      </c>
      <c r="H25" s="93"/>
    </row>
    <row r="26" spans="1:8" x14ac:dyDescent="0.25">
      <c r="A26" s="91">
        <v>2</v>
      </c>
      <c r="B26" s="92" t="s">
        <v>178</v>
      </c>
      <c r="C26" s="92" t="s">
        <v>179</v>
      </c>
      <c r="D26" s="93"/>
      <c r="E26" s="93"/>
      <c r="F26" s="93"/>
      <c r="G26" s="95">
        <v>510.51</v>
      </c>
      <c r="H26" s="95">
        <v>510.51</v>
      </c>
    </row>
    <row r="27" spans="1:8" x14ac:dyDescent="0.25">
      <c r="A27" s="96"/>
      <c r="B27" s="305" t="s">
        <v>19</v>
      </c>
      <c r="C27" s="306"/>
      <c r="D27" s="97"/>
      <c r="E27" s="97"/>
      <c r="F27" s="98"/>
      <c r="G27" s="99">
        <v>3519.57</v>
      </c>
      <c r="H27" s="99">
        <v>3519.57</v>
      </c>
    </row>
    <row r="28" spans="1:8" x14ac:dyDescent="0.25">
      <c r="A28" s="302" t="s">
        <v>20</v>
      </c>
      <c r="B28" s="303"/>
      <c r="C28" s="303"/>
      <c r="D28" s="303"/>
      <c r="E28" s="303"/>
      <c r="F28" s="303"/>
      <c r="G28" s="303"/>
      <c r="H28" s="304"/>
    </row>
    <row r="29" spans="1:8" x14ac:dyDescent="0.25">
      <c r="A29" s="91">
        <v>3</v>
      </c>
      <c r="B29" s="92" t="s">
        <v>21</v>
      </c>
      <c r="C29" s="92" t="s">
        <v>180</v>
      </c>
      <c r="D29" s="94">
        <v>62043.64</v>
      </c>
      <c r="E29" s="94">
        <v>5733.57</v>
      </c>
      <c r="F29" s="94">
        <v>293376.57</v>
      </c>
      <c r="G29" s="93"/>
      <c r="H29" s="94">
        <v>361153.78</v>
      </c>
    </row>
    <row r="30" spans="1:8" x14ac:dyDescent="0.25">
      <c r="A30" s="96"/>
      <c r="B30" s="305" t="s">
        <v>22</v>
      </c>
      <c r="C30" s="306"/>
      <c r="D30" s="100">
        <v>62043.64</v>
      </c>
      <c r="E30" s="100">
        <v>5733.57</v>
      </c>
      <c r="F30" s="99">
        <v>293376.57</v>
      </c>
      <c r="G30" s="98"/>
      <c r="H30" s="99">
        <v>361153.78</v>
      </c>
    </row>
    <row r="31" spans="1:8" x14ac:dyDescent="0.25">
      <c r="A31" s="302" t="s">
        <v>181</v>
      </c>
      <c r="B31" s="303"/>
      <c r="C31" s="303"/>
      <c r="D31" s="303"/>
      <c r="E31" s="303"/>
      <c r="F31" s="303"/>
      <c r="G31" s="303"/>
      <c r="H31" s="304"/>
    </row>
    <row r="32" spans="1:8" x14ac:dyDescent="0.25">
      <c r="A32" s="91">
        <v>4</v>
      </c>
      <c r="B32" s="92" t="s">
        <v>182</v>
      </c>
      <c r="C32" s="92" t="s">
        <v>183</v>
      </c>
      <c r="D32" s="95">
        <v>188.6</v>
      </c>
      <c r="E32" s="94">
        <v>49694.62</v>
      </c>
      <c r="F32" s="95">
        <v>452.73</v>
      </c>
      <c r="G32" s="93"/>
      <c r="H32" s="94">
        <v>50335.95</v>
      </c>
    </row>
    <row r="33" spans="1:8" x14ac:dyDescent="0.25">
      <c r="A33" s="96"/>
      <c r="B33" s="305" t="s">
        <v>184</v>
      </c>
      <c r="C33" s="306"/>
      <c r="D33" s="101">
        <v>188.6</v>
      </c>
      <c r="E33" s="100">
        <v>49694.62</v>
      </c>
      <c r="F33" s="102">
        <v>452.73</v>
      </c>
      <c r="G33" s="98"/>
      <c r="H33" s="99">
        <v>50335.95</v>
      </c>
    </row>
    <row r="34" spans="1:8" x14ac:dyDescent="0.25">
      <c r="A34" s="302" t="s">
        <v>185</v>
      </c>
      <c r="B34" s="303"/>
      <c r="C34" s="303"/>
      <c r="D34" s="303"/>
      <c r="E34" s="303"/>
      <c r="F34" s="303"/>
      <c r="G34" s="303"/>
      <c r="H34" s="304"/>
    </row>
    <row r="35" spans="1:8" x14ac:dyDescent="0.25">
      <c r="A35" s="91">
        <v>5</v>
      </c>
      <c r="B35" s="92" t="s">
        <v>186</v>
      </c>
      <c r="C35" s="92" t="s">
        <v>187</v>
      </c>
      <c r="D35" s="95">
        <v>371.25</v>
      </c>
      <c r="E35" s="94">
        <v>4006.64</v>
      </c>
      <c r="F35" s="95">
        <v>85.26</v>
      </c>
      <c r="G35" s="93"/>
      <c r="H35" s="94">
        <v>4463.1499999999996</v>
      </c>
    </row>
    <row r="36" spans="1:8" x14ac:dyDescent="0.25">
      <c r="A36" s="96"/>
      <c r="B36" s="305" t="s">
        <v>188</v>
      </c>
      <c r="C36" s="306"/>
      <c r="D36" s="101">
        <v>371.25</v>
      </c>
      <c r="E36" s="100">
        <v>4006.64</v>
      </c>
      <c r="F36" s="102">
        <v>85.26</v>
      </c>
      <c r="G36" s="98"/>
      <c r="H36" s="99">
        <v>4463.1499999999996</v>
      </c>
    </row>
    <row r="37" spans="1:8" x14ac:dyDescent="0.25">
      <c r="A37" s="302" t="s">
        <v>189</v>
      </c>
      <c r="B37" s="303"/>
      <c r="C37" s="303"/>
      <c r="D37" s="303"/>
      <c r="E37" s="303"/>
      <c r="F37" s="303"/>
      <c r="G37" s="303"/>
      <c r="H37" s="304"/>
    </row>
    <row r="38" spans="1:8" x14ac:dyDescent="0.25">
      <c r="A38" s="91">
        <v>6</v>
      </c>
      <c r="B38" s="92" t="s">
        <v>190</v>
      </c>
      <c r="C38" s="92" t="s">
        <v>191</v>
      </c>
      <c r="D38" s="94">
        <v>345761.89</v>
      </c>
      <c r="E38" s="94">
        <v>4588.32</v>
      </c>
      <c r="F38" s="94">
        <v>505075.58</v>
      </c>
      <c r="G38" s="93"/>
      <c r="H38" s="94">
        <v>855425.79</v>
      </c>
    </row>
    <row r="39" spans="1:8" x14ac:dyDescent="0.25">
      <c r="A39" s="96"/>
      <c r="B39" s="305" t="s">
        <v>192</v>
      </c>
      <c r="C39" s="306"/>
      <c r="D39" s="100">
        <v>345761.89</v>
      </c>
      <c r="E39" s="100">
        <v>4588.32</v>
      </c>
      <c r="F39" s="99">
        <v>505075.58</v>
      </c>
      <c r="G39" s="98"/>
      <c r="H39" s="99">
        <v>855425.79</v>
      </c>
    </row>
    <row r="40" spans="1:8" x14ac:dyDescent="0.25">
      <c r="A40" s="302" t="s">
        <v>23</v>
      </c>
      <c r="B40" s="303"/>
      <c r="C40" s="303"/>
      <c r="D40" s="303"/>
      <c r="E40" s="303"/>
      <c r="F40" s="303"/>
      <c r="G40" s="303"/>
      <c r="H40" s="304"/>
    </row>
    <row r="41" spans="1:8" ht="22.5" x14ac:dyDescent="0.25">
      <c r="A41" s="91">
        <v>7</v>
      </c>
      <c r="B41" s="92" t="s">
        <v>193</v>
      </c>
      <c r="C41" s="92" t="s">
        <v>194</v>
      </c>
      <c r="D41" s="94">
        <v>3987.05</v>
      </c>
      <c r="E41" s="93"/>
      <c r="F41" s="93"/>
      <c r="G41" s="93"/>
      <c r="H41" s="94">
        <v>3987.05</v>
      </c>
    </row>
    <row r="42" spans="1:8" x14ac:dyDescent="0.25">
      <c r="A42" s="96"/>
      <c r="B42" s="305" t="s">
        <v>195</v>
      </c>
      <c r="C42" s="306"/>
      <c r="D42" s="100">
        <v>3987.05</v>
      </c>
      <c r="E42" s="97"/>
      <c r="F42" s="98"/>
      <c r="G42" s="98"/>
      <c r="H42" s="99">
        <v>3987.05</v>
      </c>
    </row>
    <row r="43" spans="1:8" x14ac:dyDescent="0.25">
      <c r="A43" s="96"/>
      <c r="B43" s="283" t="s">
        <v>24</v>
      </c>
      <c r="C43" s="284"/>
      <c r="D43" s="100">
        <v>412352.43</v>
      </c>
      <c r="E43" s="100">
        <v>64023.15</v>
      </c>
      <c r="F43" s="99">
        <v>798990.14</v>
      </c>
      <c r="G43" s="99">
        <v>3519.57</v>
      </c>
      <c r="H43" s="99">
        <v>1278885.29</v>
      </c>
    </row>
    <row r="44" spans="1:8" x14ac:dyDescent="0.25">
      <c r="A44" s="302" t="s">
        <v>25</v>
      </c>
      <c r="B44" s="303"/>
      <c r="C44" s="303"/>
      <c r="D44" s="303"/>
      <c r="E44" s="303"/>
      <c r="F44" s="303"/>
      <c r="G44" s="303"/>
      <c r="H44" s="304"/>
    </row>
    <row r="45" spans="1:8" ht="45" x14ac:dyDescent="0.25">
      <c r="A45" s="91">
        <v>8</v>
      </c>
      <c r="B45" s="92" t="s">
        <v>26</v>
      </c>
      <c r="C45" s="92" t="s">
        <v>27</v>
      </c>
      <c r="D45" s="94">
        <v>12782.93</v>
      </c>
      <c r="E45" s="94">
        <v>1984.72</v>
      </c>
      <c r="F45" s="93"/>
      <c r="G45" s="93"/>
      <c r="H45" s="94">
        <v>14767.65</v>
      </c>
    </row>
    <row r="46" spans="1:8" x14ac:dyDescent="0.25">
      <c r="A46" s="90"/>
      <c r="B46" s="92"/>
      <c r="C46" s="92"/>
      <c r="D46" s="93" t="s">
        <v>28</v>
      </c>
      <c r="E46" s="93" t="s">
        <v>29</v>
      </c>
      <c r="F46" s="93"/>
      <c r="G46" s="93"/>
      <c r="H46" s="93"/>
    </row>
    <row r="47" spans="1:8" x14ac:dyDescent="0.25">
      <c r="A47" s="96"/>
      <c r="B47" s="305" t="s">
        <v>30</v>
      </c>
      <c r="C47" s="306"/>
      <c r="D47" s="100">
        <v>12782.93</v>
      </c>
      <c r="E47" s="100">
        <v>1984.72</v>
      </c>
      <c r="F47" s="98"/>
      <c r="G47" s="98"/>
      <c r="H47" s="99">
        <v>14767.65</v>
      </c>
    </row>
    <row r="48" spans="1:8" x14ac:dyDescent="0.25">
      <c r="A48" s="96"/>
      <c r="B48" s="283" t="s">
        <v>31</v>
      </c>
      <c r="C48" s="284"/>
      <c r="D48" s="100">
        <v>425135.35999999999</v>
      </c>
      <c r="E48" s="100">
        <v>66007.87</v>
      </c>
      <c r="F48" s="99">
        <v>798990.14</v>
      </c>
      <c r="G48" s="99">
        <v>3519.57</v>
      </c>
      <c r="H48" s="99">
        <v>1293652.94</v>
      </c>
    </row>
    <row r="49" spans="1:8" x14ac:dyDescent="0.25">
      <c r="A49" s="302" t="s">
        <v>32</v>
      </c>
      <c r="B49" s="303"/>
      <c r="C49" s="303"/>
      <c r="D49" s="303"/>
      <c r="E49" s="303"/>
      <c r="F49" s="303"/>
      <c r="G49" s="303"/>
      <c r="H49" s="304"/>
    </row>
    <row r="50" spans="1:8" ht="45" x14ac:dyDescent="0.25">
      <c r="A50" s="91">
        <v>9</v>
      </c>
      <c r="B50" s="92" t="s">
        <v>33</v>
      </c>
      <c r="C50" s="92" t="s">
        <v>34</v>
      </c>
      <c r="D50" s="94">
        <v>2125.6799999999998</v>
      </c>
      <c r="E50" s="95">
        <v>330.04</v>
      </c>
      <c r="F50" s="93"/>
      <c r="G50" s="93"/>
      <c r="H50" s="94">
        <v>2455.7199999999998</v>
      </c>
    </row>
    <row r="51" spans="1:8" x14ac:dyDescent="0.25">
      <c r="A51" s="90"/>
      <c r="B51" s="92"/>
      <c r="C51" s="92"/>
      <c r="D51" s="93" t="s">
        <v>35</v>
      </c>
      <c r="E51" s="93" t="s">
        <v>36</v>
      </c>
      <c r="F51" s="93"/>
      <c r="G51" s="93"/>
      <c r="H51" s="93"/>
    </row>
    <row r="52" spans="1:8" ht="67.5" x14ac:dyDescent="0.25">
      <c r="A52" s="91">
        <v>10</v>
      </c>
      <c r="B52" s="92" t="s">
        <v>196</v>
      </c>
      <c r="C52" s="92" t="s">
        <v>38</v>
      </c>
      <c r="D52" s="93"/>
      <c r="E52" s="93"/>
      <c r="F52" s="93"/>
      <c r="G52" s="94">
        <v>2183.8000000000002</v>
      </c>
      <c r="H52" s="94">
        <v>2183.8000000000002</v>
      </c>
    </row>
    <row r="53" spans="1:8" ht="22.5" x14ac:dyDescent="0.25">
      <c r="A53" s="91">
        <v>11</v>
      </c>
      <c r="B53" s="92" t="s">
        <v>197</v>
      </c>
      <c r="C53" s="92" t="s">
        <v>39</v>
      </c>
      <c r="D53" s="93"/>
      <c r="E53" s="93"/>
      <c r="F53" s="93"/>
      <c r="G53" s="95">
        <v>0.09</v>
      </c>
      <c r="H53" s="95">
        <v>0.09</v>
      </c>
    </row>
    <row r="54" spans="1:8" ht="22.5" x14ac:dyDescent="0.25">
      <c r="A54" s="91">
        <v>12</v>
      </c>
      <c r="B54" s="92" t="s">
        <v>197</v>
      </c>
      <c r="C54" s="92" t="s">
        <v>40</v>
      </c>
      <c r="D54" s="93"/>
      <c r="E54" s="93"/>
      <c r="F54" s="93"/>
      <c r="G54" s="95">
        <v>3.47</v>
      </c>
      <c r="H54" s="95">
        <v>3.47</v>
      </c>
    </row>
    <row r="55" spans="1:8" ht="22.5" x14ac:dyDescent="0.25">
      <c r="A55" s="91">
        <v>13</v>
      </c>
      <c r="B55" s="92" t="s">
        <v>197</v>
      </c>
      <c r="C55" s="92" t="s">
        <v>198</v>
      </c>
      <c r="D55" s="93"/>
      <c r="E55" s="93"/>
      <c r="F55" s="93"/>
      <c r="G55" s="95">
        <v>54.55</v>
      </c>
      <c r="H55" s="95">
        <v>54.55</v>
      </c>
    </row>
    <row r="56" spans="1:8" x14ac:dyDescent="0.25">
      <c r="A56" s="91">
        <v>14</v>
      </c>
      <c r="B56" s="92" t="s">
        <v>37</v>
      </c>
      <c r="C56" s="92" t="s">
        <v>199</v>
      </c>
      <c r="D56" s="93"/>
      <c r="E56" s="93"/>
      <c r="F56" s="93"/>
      <c r="G56" s="94">
        <v>9807.89</v>
      </c>
      <c r="H56" s="94">
        <v>9807.89</v>
      </c>
    </row>
    <row r="57" spans="1:8" ht="45" x14ac:dyDescent="0.25">
      <c r="A57" s="91">
        <v>15</v>
      </c>
      <c r="B57" s="92" t="s">
        <v>200</v>
      </c>
      <c r="C57" s="92" t="s">
        <v>201</v>
      </c>
      <c r="D57" s="93"/>
      <c r="E57" s="93"/>
      <c r="F57" s="93"/>
      <c r="G57" s="95">
        <v>750</v>
      </c>
      <c r="H57" s="95">
        <v>750</v>
      </c>
    </row>
    <row r="58" spans="1:8" x14ac:dyDescent="0.25">
      <c r="A58" s="90"/>
      <c r="B58" s="92"/>
      <c r="C58" s="92"/>
      <c r="D58" s="93"/>
      <c r="E58" s="93"/>
      <c r="F58" s="93"/>
      <c r="G58" s="93" t="s">
        <v>202</v>
      </c>
      <c r="H58" s="93"/>
    </row>
    <row r="59" spans="1:8" x14ac:dyDescent="0.25">
      <c r="A59" s="96"/>
      <c r="B59" s="305" t="s">
        <v>41</v>
      </c>
      <c r="C59" s="306"/>
      <c r="D59" s="100">
        <v>2125.6799999999998</v>
      </c>
      <c r="E59" s="101">
        <v>330.04</v>
      </c>
      <c r="F59" s="98"/>
      <c r="G59" s="99">
        <v>12799.8</v>
      </c>
      <c r="H59" s="99">
        <v>15255.52</v>
      </c>
    </row>
    <row r="60" spans="1:8" x14ac:dyDescent="0.25">
      <c r="A60" s="96"/>
      <c r="B60" s="283" t="s">
        <v>42</v>
      </c>
      <c r="C60" s="284"/>
      <c r="D60" s="100">
        <v>427261.04</v>
      </c>
      <c r="E60" s="100">
        <v>66337.91</v>
      </c>
      <c r="F60" s="99">
        <v>798990.14</v>
      </c>
      <c r="G60" s="99">
        <v>16319.37</v>
      </c>
      <c r="H60" s="99">
        <v>1308908.46</v>
      </c>
    </row>
    <row r="61" spans="1:8" ht="25.5" customHeight="1" x14ac:dyDescent="0.25">
      <c r="A61" s="302" t="s">
        <v>43</v>
      </c>
      <c r="B61" s="303"/>
      <c r="C61" s="303"/>
      <c r="D61" s="303"/>
      <c r="E61" s="303"/>
      <c r="F61" s="303"/>
      <c r="G61" s="303"/>
      <c r="H61" s="304"/>
    </row>
    <row r="62" spans="1:8" ht="33.75" x14ac:dyDescent="0.25">
      <c r="A62" s="91">
        <v>16</v>
      </c>
      <c r="B62" s="92" t="s">
        <v>203</v>
      </c>
      <c r="C62" s="92" t="s">
        <v>204</v>
      </c>
      <c r="D62" s="93"/>
      <c r="E62" s="93"/>
      <c r="F62" s="93"/>
      <c r="G62" s="94">
        <v>17801.16</v>
      </c>
      <c r="H62" s="94">
        <v>17801.16</v>
      </c>
    </row>
    <row r="63" spans="1:8" x14ac:dyDescent="0.25">
      <c r="A63" s="90"/>
      <c r="B63" s="92"/>
      <c r="C63" s="92"/>
      <c r="D63" s="93"/>
      <c r="E63" s="93"/>
      <c r="F63" s="93"/>
      <c r="G63" s="93" t="s">
        <v>205</v>
      </c>
      <c r="H63" s="93"/>
    </row>
    <row r="64" spans="1:8" x14ac:dyDescent="0.25">
      <c r="A64" s="96"/>
      <c r="B64" s="305" t="s">
        <v>44</v>
      </c>
      <c r="C64" s="306"/>
      <c r="D64" s="97"/>
      <c r="E64" s="97"/>
      <c r="F64" s="98"/>
      <c r="G64" s="99">
        <v>17801.16</v>
      </c>
      <c r="H64" s="99">
        <v>17801.16</v>
      </c>
    </row>
    <row r="65" spans="1:8" ht="54" customHeight="1" x14ac:dyDescent="0.25">
      <c r="A65" s="302" t="s">
        <v>45</v>
      </c>
      <c r="B65" s="303"/>
      <c r="C65" s="303"/>
      <c r="D65" s="303"/>
      <c r="E65" s="303"/>
      <c r="F65" s="303"/>
      <c r="G65" s="303"/>
      <c r="H65" s="304"/>
    </row>
    <row r="66" spans="1:8" x14ac:dyDescent="0.25">
      <c r="A66" s="91">
        <v>17</v>
      </c>
      <c r="B66" s="92" t="s">
        <v>206</v>
      </c>
      <c r="C66" s="92" t="s">
        <v>46</v>
      </c>
      <c r="D66" s="93"/>
      <c r="E66" s="93"/>
      <c r="F66" s="93"/>
      <c r="G66" s="94">
        <v>26496.71</v>
      </c>
      <c r="H66" s="94">
        <v>26496.71</v>
      </c>
    </row>
    <row r="67" spans="1:8" x14ac:dyDescent="0.25">
      <c r="A67" s="91">
        <v>18</v>
      </c>
      <c r="B67" s="92" t="s">
        <v>207</v>
      </c>
      <c r="C67" s="92" t="s">
        <v>47</v>
      </c>
      <c r="D67" s="93"/>
      <c r="E67" s="93"/>
      <c r="F67" s="93"/>
      <c r="G67" s="94">
        <v>26181.02</v>
      </c>
      <c r="H67" s="94">
        <v>26181.02</v>
      </c>
    </row>
    <row r="68" spans="1:8" x14ac:dyDescent="0.25">
      <c r="A68" s="91">
        <v>19</v>
      </c>
      <c r="B68" s="92" t="s">
        <v>208</v>
      </c>
      <c r="C68" s="92" t="s">
        <v>209</v>
      </c>
      <c r="D68" s="93"/>
      <c r="E68" s="93"/>
      <c r="F68" s="93"/>
      <c r="G68" s="94">
        <v>9812.65</v>
      </c>
      <c r="H68" s="94">
        <v>9812.65</v>
      </c>
    </row>
    <row r="69" spans="1:8" ht="33.75" x14ac:dyDescent="0.25">
      <c r="A69" s="91">
        <v>20</v>
      </c>
      <c r="B69" s="92" t="s">
        <v>48</v>
      </c>
      <c r="C69" s="92" t="s">
        <v>49</v>
      </c>
      <c r="D69" s="93"/>
      <c r="E69" s="93"/>
      <c r="F69" s="93"/>
      <c r="G69" s="94">
        <v>2617.8200000000002</v>
      </c>
      <c r="H69" s="94">
        <v>2617.8200000000002</v>
      </c>
    </row>
    <row r="70" spans="1:8" x14ac:dyDescent="0.25">
      <c r="A70" s="90"/>
      <c r="B70" s="92"/>
      <c r="C70" s="92"/>
      <c r="D70" s="93"/>
      <c r="E70" s="93"/>
      <c r="F70" s="93"/>
      <c r="G70" s="93" t="s">
        <v>50</v>
      </c>
      <c r="H70" s="93"/>
    </row>
    <row r="71" spans="1:8" ht="123.75" x14ac:dyDescent="0.25">
      <c r="A71" s="91">
        <v>21</v>
      </c>
      <c r="B71" s="92" t="s">
        <v>51</v>
      </c>
      <c r="C71" s="92" t="s">
        <v>210</v>
      </c>
      <c r="D71" s="93"/>
      <c r="E71" s="93"/>
      <c r="F71" s="93"/>
      <c r="G71" s="95">
        <v>208.42</v>
      </c>
      <c r="H71" s="95">
        <v>208.42</v>
      </c>
    </row>
    <row r="72" spans="1:8" ht="22.5" x14ac:dyDescent="0.25">
      <c r="A72" s="90"/>
      <c r="B72" s="92"/>
      <c r="C72" s="92"/>
      <c r="D72" s="93"/>
      <c r="E72" s="93"/>
      <c r="F72" s="93"/>
      <c r="G72" s="93" t="s">
        <v>211</v>
      </c>
      <c r="H72" s="93"/>
    </row>
    <row r="73" spans="1:8" ht="45" x14ac:dyDescent="0.25">
      <c r="A73" s="91">
        <v>22</v>
      </c>
      <c r="B73" s="92" t="s">
        <v>52</v>
      </c>
      <c r="C73" s="92" t="s">
        <v>212</v>
      </c>
      <c r="D73" s="93"/>
      <c r="E73" s="93"/>
      <c r="F73" s="93"/>
      <c r="G73" s="94">
        <v>3031.38</v>
      </c>
      <c r="H73" s="94">
        <v>3031.38</v>
      </c>
    </row>
    <row r="74" spans="1:8" x14ac:dyDescent="0.25">
      <c r="A74" s="90"/>
      <c r="B74" s="92"/>
      <c r="C74" s="92"/>
      <c r="D74" s="93"/>
      <c r="E74" s="93"/>
      <c r="F74" s="93"/>
      <c r="G74" s="93" t="s">
        <v>213</v>
      </c>
      <c r="H74" s="93"/>
    </row>
    <row r="75" spans="1:8" ht="118.5" customHeight="1" x14ac:dyDescent="0.25">
      <c r="A75" s="96"/>
      <c r="B75" s="307" t="s">
        <v>53</v>
      </c>
      <c r="C75" s="308"/>
      <c r="D75" s="97"/>
      <c r="E75" s="97"/>
      <c r="F75" s="98"/>
      <c r="G75" s="99">
        <v>68348</v>
      </c>
      <c r="H75" s="99">
        <v>68348</v>
      </c>
    </row>
    <row r="76" spans="1:8" x14ac:dyDescent="0.25">
      <c r="A76" s="96"/>
      <c r="B76" s="283" t="s">
        <v>54</v>
      </c>
      <c r="C76" s="284"/>
      <c r="D76" s="100">
        <v>427261.04</v>
      </c>
      <c r="E76" s="100">
        <v>66337.91</v>
      </c>
      <c r="F76" s="99">
        <v>798990.14</v>
      </c>
      <c r="G76" s="99">
        <v>102468.53</v>
      </c>
      <c r="H76" s="99">
        <v>1395057.62</v>
      </c>
    </row>
    <row r="77" spans="1:8" x14ac:dyDescent="0.25">
      <c r="A77" s="302" t="s">
        <v>55</v>
      </c>
      <c r="B77" s="303"/>
      <c r="C77" s="303"/>
      <c r="D77" s="303"/>
      <c r="E77" s="303"/>
      <c r="F77" s="303"/>
      <c r="G77" s="303"/>
      <c r="H77" s="304"/>
    </row>
    <row r="78" spans="1:8" ht="33.75" x14ac:dyDescent="0.25">
      <c r="A78" s="91">
        <v>23</v>
      </c>
      <c r="B78" s="92" t="s">
        <v>56</v>
      </c>
      <c r="C78" s="92" t="s">
        <v>57</v>
      </c>
      <c r="D78" s="94">
        <v>12817.83</v>
      </c>
      <c r="E78" s="94">
        <v>1990.14</v>
      </c>
      <c r="F78" s="94">
        <v>23969.7</v>
      </c>
      <c r="G78" s="94">
        <v>3074.06</v>
      </c>
      <c r="H78" s="94">
        <v>41851.730000000003</v>
      </c>
    </row>
    <row r="79" spans="1:8" x14ac:dyDescent="0.25">
      <c r="A79" s="90"/>
      <c r="B79" s="92"/>
      <c r="C79" s="92"/>
      <c r="D79" s="93" t="s">
        <v>58</v>
      </c>
      <c r="E79" s="93" t="s">
        <v>59</v>
      </c>
      <c r="F79" s="93" t="s">
        <v>60</v>
      </c>
      <c r="G79" s="93" t="s">
        <v>61</v>
      </c>
      <c r="H79" s="93"/>
    </row>
    <row r="80" spans="1:8" x14ac:dyDescent="0.25">
      <c r="A80" s="96"/>
      <c r="B80" s="305" t="s">
        <v>62</v>
      </c>
      <c r="C80" s="306"/>
      <c r="D80" s="100">
        <v>12817.83</v>
      </c>
      <c r="E80" s="100">
        <v>1990.14</v>
      </c>
      <c r="F80" s="99">
        <v>23969.7</v>
      </c>
      <c r="G80" s="99">
        <v>3074.06</v>
      </c>
      <c r="H80" s="99">
        <v>41851.730000000003</v>
      </c>
    </row>
    <row r="81" spans="1:8" x14ac:dyDescent="0.25">
      <c r="A81" s="96"/>
      <c r="B81" s="283" t="s">
        <v>63</v>
      </c>
      <c r="C81" s="284"/>
      <c r="D81" s="100">
        <v>440078.87</v>
      </c>
      <c r="E81" s="100">
        <v>68328.05</v>
      </c>
      <c r="F81" s="99">
        <v>822959.84</v>
      </c>
      <c r="G81" s="99">
        <v>105542.59</v>
      </c>
      <c r="H81" s="99">
        <v>1436909.35</v>
      </c>
    </row>
    <row r="82" spans="1:8" x14ac:dyDescent="0.25">
      <c r="A82" s="302" t="s">
        <v>64</v>
      </c>
      <c r="B82" s="303"/>
      <c r="C82" s="303"/>
      <c r="D82" s="303"/>
      <c r="E82" s="303"/>
      <c r="F82" s="303"/>
      <c r="G82" s="303"/>
      <c r="H82" s="304"/>
    </row>
    <row r="83" spans="1:8" x14ac:dyDescent="0.25">
      <c r="A83" s="91">
        <v>24</v>
      </c>
      <c r="B83" s="92" t="s">
        <v>65</v>
      </c>
      <c r="C83" s="92" t="s">
        <v>66</v>
      </c>
      <c r="D83" s="94">
        <v>88015.77</v>
      </c>
      <c r="E83" s="94">
        <v>13665.61</v>
      </c>
      <c r="F83" s="94">
        <v>164591.97</v>
      </c>
      <c r="G83" s="94">
        <v>21108.52</v>
      </c>
      <c r="H83" s="94">
        <v>287381.87</v>
      </c>
    </row>
    <row r="84" spans="1:8" x14ac:dyDescent="0.25">
      <c r="A84" s="90"/>
      <c r="B84" s="92"/>
      <c r="C84" s="92"/>
      <c r="D84" s="93" t="s">
        <v>67</v>
      </c>
      <c r="E84" s="93" t="s">
        <v>68</v>
      </c>
      <c r="F84" s="93" t="s">
        <v>69</v>
      </c>
      <c r="G84" s="93" t="s">
        <v>70</v>
      </c>
      <c r="H84" s="93"/>
    </row>
    <row r="85" spans="1:8" x14ac:dyDescent="0.25">
      <c r="A85" s="96"/>
      <c r="B85" s="305" t="s">
        <v>71</v>
      </c>
      <c r="C85" s="306"/>
      <c r="D85" s="100">
        <v>88015.77</v>
      </c>
      <c r="E85" s="100">
        <v>13665.61</v>
      </c>
      <c r="F85" s="99">
        <v>164591.97</v>
      </c>
      <c r="G85" s="99">
        <v>21108.52</v>
      </c>
      <c r="H85" s="99">
        <v>287381.87</v>
      </c>
    </row>
    <row r="86" spans="1:8" x14ac:dyDescent="0.25">
      <c r="A86" s="96"/>
      <c r="B86" s="283" t="s">
        <v>72</v>
      </c>
      <c r="C86" s="284"/>
      <c r="D86" s="100">
        <v>528094.64</v>
      </c>
      <c r="E86" s="100">
        <v>81993.66</v>
      </c>
      <c r="F86" s="99">
        <v>987551.81</v>
      </c>
      <c r="G86" s="99">
        <v>126651.11</v>
      </c>
      <c r="H86" s="99">
        <v>1724291.22</v>
      </c>
    </row>
    <row r="87" spans="1:8" x14ac:dyDescent="0.25">
      <c r="A87" s="96"/>
      <c r="B87" s="285" t="s">
        <v>214</v>
      </c>
      <c r="C87" s="286"/>
      <c r="D87" s="103"/>
      <c r="E87" s="103"/>
      <c r="F87" s="103"/>
      <c r="G87" s="103"/>
      <c r="H87" s="104">
        <f>H66+H67+H68</f>
        <v>62490.38</v>
      </c>
    </row>
    <row r="88" spans="1:8" x14ac:dyDescent="0.25">
      <c r="A88" s="287" t="s">
        <v>73</v>
      </c>
      <c r="B88" s="287"/>
      <c r="C88" s="1" t="s">
        <v>74</v>
      </c>
      <c r="D88" s="105"/>
      <c r="E88" s="106"/>
      <c r="F88" s="2"/>
      <c r="G88" s="1" t="s">
        <v>75</v>
      </c>
      <c r="H88" s="106"/>
    </row>
    <row r="89" spans="1:8" x14ac:dyDescent="0.25">
      <c r="A89" s="105"/>
      <c r="B89" s="105"/>
      <c r="C89" s="107"/>
      <c r="D89" s="107" t="s">
        <v>76</v>
      </c>
      <c r="E89" s="107"/>
      <c r="F89" s="107"/>
      <c r="G89" s="107"/>
      <c r="H89" s="107"/>
    </row>
    <row r="90" spans="1:8" x14ac:dyDescent="0.25">
      <c r="A90" s="3" t="s">
        <v>77</v>
      </c>
      <c r="B90" s="105"/>
      <c r="C90" s="4" t="s">
        <v>74</v>
      </c>
      <c r="D90" s="105"/>
      <c r="E90" s="4"/>
      <c r="F90" s="4"/>
      <c r="G90" s="1" t="s">
        <v>78</v>
      </c>
      <c r="H90" s="106"/>
    </row>
    <row r="91" spans="1:8" x14ac:dyDescent="0.25">
      <c r="A91" s="105"/>
      <c r="B91" s="105"/>
      <c r="C91" s="107"/>
      <c r="D91" s="107" t="s">
        <v>76</v>
      </c>
      <c r="E91" s="107"/>
      <c r="F91" s="107"/>
      <c r="G91" s="107"/>
      <c r="H91" s="107"/>
    </row>
    <row r="92" spans="1:8" ht="23.25" x14ac:dyDescent="0.25">
      <c r="A92" s="5" t="s">
        <v>2</v>
      </c>
      <c r="B92" s="105"/>
      <c r="C92" s="6" t="s">
        <v>79</v>
      </c>
      <c r="D92" s="2"/>
      <c r="E92" s="106"/>
      <c r="F92" s="2"/>
      <c r="G92" s="288" t="s">
        <v>80</v>
      </c>
      <c r="H92" s="288"/>
    </row>
    <row r="93" spans="1:8" x14ac:dyDescent="0.25">
      <c r="A93" s="105"/>
      <c r="B93" s="105"/>
      <c r="C93" s="108" t="s">
        <v>215</v>
      </c>
      <c r="D93" s="107" t="s">
        <v>76</v>
      </c>
      <c r="E93" s="107"/>
      <c r="F93" s="107"/>
      <c r="G93" s="107"/>
      <c r="H93" s="107"/>
    </row>
  </sheetData>
  <mergeCells count="50">
    <mergeCell ref="A82:H82"/>
    <mergeCell ref="B85:C85"/>
    <mergeCell ref="B76:C76"/>
    <mergeCell ref="B75:C75"/>
    <mergeCell ref="A77:H77"/>
    <mergeCell ref="B80:C80"/>
    <mergeCell ref="B81:C81"/>
    <mergeCell ref="B59:C59"/>
    <mergeCell ref="B60:C60"/>
    <mergeCell ref="A61:H61"/>
    <mergeCell ref="B64:C64"/>
    <mergeCell ref="A65:H65"/>
    <mergeCell ref="B43:C43"/>
    <mergeCell ref="A44:H44"/>
    <mergeCell ref="B47:C47"/>
    <mergeCell ref="B48:C48"/>
    <mergeCell ref="A49:H49"/>
    <mergeCell ref="B33:C33"/>
    <mergeCell ref="A34:H34"/>
    <mergeCell ref="B36:C36"/>
    <mergeCell ref="A37:H37"/>
    <mergeCell ref="B42:C42"/>
    <mergeCell ref="B39:C39"/>
    <mergeCell ref="A40:H40"/>
    <mergeCell ref="A23:H23"/>
    <mergeCell ref="B27:C27"/>
    <mergeCell ref="A28:H28"/>
    <mergeCell ref="B30:C30"/>
    <mergeCell ref="A31:H31"/>
    <mergeCell ref="C4:G4"/>
    <mergeCell ref="C5:G5"/>
    <mergeCell ref="C9:G9"/>
    <mergeCell ref="C10:G10"/>
    <mergeCell ref="B12:G12"/>
    <mergeCell ref="B86:C86"/>
    <mergeCell ref="B87:C87"/>
    <mergeCell ref="A88:B88"/>
    <mergeCell ref="G92:H92"/>
    <mergeCell ref="B14:G14"/>
    <mergeCell ref="B15:G15"/>
    <mergeCell ref="A19:A21"/>
    <mergeCell ref="B19:B21"/>
    <mergeCell ref="C19:C21"/>
    <mergeCell ref="D19:H19"/>
    <mergeCell ref="D20:D21"/>
    <mergeCell ref="E20:E21"/>
    <mergeCell ref="F20:F21"/>
    <mergeCell ref="G20:G21"/>
    <mergeCell ref="H20:H21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ПЗ</vt:lpstr>
      <vt:lpstr>Протокол</vt:lpstr>
      <vt:lpstr>НМЦ</vt:lpstr>
      <vt:lpstr>Проект сметы контракта</vt:lpstr>
      <vt:lpstr>ВОР</vt:lpstr>
      <vt:lpstr>НМЦК</vt:lpstr>
      <vt:lpstr>ССРСС 4 кв.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2023-08-25T07:27:29Z</dcterms:modified>
</cp:coreProperties>
</file>