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торгов\ПРОЦЕДУРЫ\4 ЭЛ Аукцион\ЭЛ-201 (Археологические раскопки Магистральные сети Архыз Этап 2 44-ФЗ)\"/>
    </mc:Choice>
  </mc:AlternateContent>
  <bookViews>
    <workbookView xWindow="0" yWindow="180" windowWidth="25440" windowHeight="13230" firstSheet="1" activeTab="2"/>
  </bookViews>
  <sheets>
    <sheet name="График" sheetId="10" state="hidden" r:id="rId1"/>
    <sheet name="ПЗ" sheetId="9" r:id="rId2"/>
    <sheet name="НМЦ" sheetId="8" r:id="rId3"/>
    <sheet name="Протокол" sheetId="7" r:id="rId4"/>
    <sheet name="Ведомость объемов работ" sheetId="6" r:id="rId5"/>
    <sheet name="Проект сметы контракта" sheetId="5" r:id="rId6"/>
    <sheet name="Расчет НМЦК" sheetId="4" r:id="rId7"/>
    <sheet name="Затраты Подрядчика по ССР" sheetId="3" r:id="rId8"/>
    <sheet name="ССР" sheetId="2" r:id="rId9"/>
  </sheets>
  <definedNames>
    <definedName name="_xlnm.Print_Titles" localSheetId="7">'Затраты Подрядчика по ССР'!$28:$28</definedName>
    <definedName name="_xlnm.Print_Titles" localSheetId="8">ССР!$28:$28</definedName>
  </definedNames>
  <calcPr calcId="162913" fullPrecision="0"/>
</workbook>
</file>

<file path=xl/calcChain.xml><?xml version="1.0" encoding="utf-8"?>
<calcChain xmlns="http://schemas.openxmlformats.org/spreadsheetml/2006/main">
  <c r="E34" i="4" l="1"/>
  <c r="E32" i="4"/>
  <c r="D19" i="10" l="1"/>
  <c r="D18" i="10"/>
  <c r="E35" i="4" l="1"/>
  <c r="E36" i="4" s="1"/>
  <c r="E31" i="4"/>
  <c r="E29" i="4"/>
  <c r="L24" i="4" l="1"/>
  <c r="M24" i="4"/>
  <c r="N24" i="4"/>
  <c r="O24" i="4"/>
  <c r="K24" i="4"/>
  <c r="L21" i="4"/>
  <c r="M21" i="4"/>
  <c r="N21" i="4"/>
  <c r="O21" i="4"/>
  <c r="P21" i="4"/>
  <c r="K21" i="4"/>
  <c r="C18" i="4" l="1"/>
  <c r="I8" i="6" l="1"/>
  <c r="E16" i="8" l="1"/>
  <c r="E185" i="3"/>
  <c r="D185" i="3"/>
  <c r="G182" i="3"/>
  <c r="G181" i="3"/>
  <c r="H181" i="3" s="1"/>
  <c r="G180" i="3"/>
  <c r="H180" i="3" s="1"/>
  <c r="G179" i="3"/>
  <c r="H179" i="3" s="1"/>
  <c r="G178" i="3"/>
  <c r="H178" i="3" s="1"/>
  <c r="H165" i="3"/>
  <c r="G165" i="3"/>
  <c r="H182" i="3" l="1"/>
  <c r="Q8" i="6" s="1"/>
  <c r="R8" i="6" s="1"/>
  <c r="Q8" i="5"/>
  <c r="Q9" i="5" s="1"/>
  <c r="B13" i="4"/>
  <c r="D13" i="4" s="1"/>
  <c r="H185" i="3"/>
  <c r="R8" i="5"/>
  <c r="G183" i="3"/>
  <c r="G184" i="3" s="1"/>
  <c r="G186" i="3" s="1"/>
  <c r="G187" i="3" s="1"/>
  <c r="G188" i="3" s="1"/>
  <c r="G139" i="3"/>
  <c r="H139" i="3" s="1"/>
  <c r="H147" i="3"/>
  <c r="H146" i="3"/>
  <c r="H145" i="3"/>
  <c r="H144" i="3"/>
  <c r="H143" i="3"/>
  <c r="H142" i="3"/>
  <c r="H141" i="3"/>
  <c r="H140" i="3"/>
  <c r="H129" i="3"/>
  <c r="F129" i="3"/>
  <c r="E129" i="3"/>
  <c r="D129" i="3"/>
  <c r="H120" i="3"/>
  <c r="H119" i="3"/>
  <c r="F118" i="3"/>
  <c r="E118" i="3"/>
  <c r="D118" i="3"/>
  <c r="H116" i="3"/>
  <c r="H117" i="3"/>
  <c r="F115" i="3"/>
  <c r="D115" i="3"/>
  <c r="H112" i="3"/>
  <c r="F112" i="3"/>
  <c r="D112" i="3"/>
  <c r="F109" i="3"/>
  <c r="E109" i="3"/>
  <c r="D109" i="3"/>
  <c r="H111" i="3"/>
  <c r="H110" i="3"/>
  <c r="H107" i="3"/>
  <c r="H106" i="3"/>
  <c r="H105" i="3"/>
  <c r="F104" i="3"/>
  <c r="E104" i="3"/>
  <c r="D104" i="3"/>
  <c r="H103" i="3"/>
  <c r="H102" i="3"/>
  <c r="E101" i="3"/>
  <c r="D101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F83" i="3"/>
  <c r="F99" i="3" s="1"/>
  <c r="E83" i="3"/>
  <c r="E99" i="3" s="1"/>
  <c r="D83" i="3"/>
  <c r="D99" i="3" s="1"/>
  <c r="H79" i="3"/>
  <c r="H78" i="3"/>
  <c r="H77" i="3"/>
  <c r="F76" i="3"/>
  <c r="E76" i="3"/>
  <c r="D76" i="3"/>
  <c r="H75" i="3"/>
  <c r="H74" i="3"/>
  <c r="H73" i="3"/>
  <c r="F72" i="3"/>
  <c r="E72" i="3"/>
  <c r="D72" i="3"/>
  <c r="H71" i="3"/>
  <c r="H70" i="3"/>
  <c r="H69" i="3"/>
  <c r="F68" i="3"/>
  <c r="E68" i="3"/>
  <c r="D68" i="3"/>
  <c r="H67" i="3"/>
  <c r="H66" i="3"/>
  <c r="H65" i="3"/>
  <c r="F64" i="3"/>
  <c r="E64" i="3"/>
  <c r="D64" i="3"/>
  <c r="H58" i="3"/>
  <c r="H57" i="3"/>
  <c r="H56" i="3"/>
  <c r="F55" i="3"/>
  <c r="F124" i="3" l="1"/>
  <c r="D14" i="4"/>
  <c r="F13" i="4"/>
  <c r="F14" i="4" s="1"/>
  <c r="G13" i="4"/>
  <c r="R9" i="5"/>
  <c r="E124" i="3"/>
  <c r="H109" i="3"/>
  <c r="D124" i="3"/>
  <c r="H115" i="3"/>
  <c r="H138" i="3"/>
  <c r="G138" i="3"/>
  <c r="G153" i="3" s="1"/>
  <c r="H118" i="3"/>
  <c r="H55" i="3"/>
  <c r="H104" i="3"/>
  <c r="H64" i="3"/>
  <c r="H101" i="3"/>
  <c r="H83" i="3"/>
  <c r="H99" i="3" s="1"/>
  <c r="H76" i="3"/>
  <c r="H72" i="3"/>
  <c r="H68" i="3"/>
  <c r="E55" i="3"/>
  <c r="D55" i="3"/>
  <c r="H54" i="3"/>
  <c r="H53" i="3"/>
  <c r="H52" i="3"/>
  <c r="F51" i="3"/>
  <c r="E51" i="3"/>
  <c r="D51" i="3"/>
  <c r="C12" i="8" l="1"/>
  <c r="I13" i="4"/>
  <c r="S8" i="5" s="1"/>
  <c r="T8" i="5" s="1"/>
  <c r="U8" i="5" s="1"/>
  <c r="U9" i="5" s="1"/>
  <c r="U11" i="5" s="1"/>
  <c r="F16" i="4"/>
  <c r="D16" i="4"/>
  <c r="B14" i="4"/>
  <c r="B16" i="4" s="1"/>
  <c r="H124" i="3"/>
  <c r="H51" i="3"/>
  <c r="H50" i="3"/>
  <c r="H49" i="3"/>
  <c r="H48" i="3"/>
  <c r="F47" i="3"/>
  <c r="F80" i="3" s="1"/>
  <c r="F130" i="3" s="1"/>
  <c r="F135" i="3" s="1"/>
  <c r="F154" i="3" s="1"/>
  <c r="F166" i="3" s="1"/>
  <c r="E47" i="3"/>
  <c r="E80" i="3" s="1"/>
  <c r="E130" i="3" s="1"/>
  <c r="D47" i="3"/>
  <c r="D80" i="3" s="1"/>
  <c r="H38" i="3"/>
  <c r="H45" i="3" s="1"/>
  <c r="D38" i="3"/>
  <c r="D45" i="3" s="1"/>
  <c r="H36" i="3"/>
  <c r="G36" i="3"/>
  <c r="G130" i="3" s="1"/>
  <c r="G135" i="3" s="1"/>
  <c r="G154" i="3" s="1"/>
  <c r="G166" i="3" s="1"/>
  <c r="D36" i="3"/>
  <c r="S9" i="5" l="1"/>
  <c r="C13" i="8"/>
  <c r="E12" i="8"/>
  <c r="E13" i="8" s="1"/>
  <c r="B14" i="9" s="1"/>
  <c r="G14" i="4"/>
  <c r="G16" i="4" s="1"/>
  <c r="E132" i="3"/>
  <c r="F168" i="3"/>
  <c r="F169" i="3" s="1"/>
  <c r="F170" i="3" s="1"/>
  <c r="F177" i="3" s="1"/>
  <c r="G168" i="3"/>
  <c r="G169" i="3" s="1"/>
  <c r="G170" i="3" s="1"/>
  <c r="G172" i="3" s="1"/>
  <c r="D130" i="3"/>
  <c r="H47" i="3"/>
  <c r="H80" i="3" s="1"/>
  <c r="H130" i="3" s="1"/>
  <c r="G6" i="7" l="1"/>
  <c r="C14" i="8"/>
  <c r="E14" i="8" s="1"/>
  <c r="F183" i="3"/>
  <c r="F184" i="3" s="1"/>
  <c r="F186" i="3" s="1"/>
  <c r="F187" i="3" s="1"/>
  <c r="F188" i="3" s="1"/>
  <c r="F172" i="3"/>
  <c r="D132" i="3"/>
  <c r="D134" i="3" s="1"/>
  <c r="D135" i="3" s="1"/>
  <c r="E134" i="3"/>
  <c r="E135" i="3" s="1"/>
  <c r="R11" i="5" l="1"/>
  <c r="D137" i="3"/>
  <c r="D153" i="3" s="1"/>
  <c r="D154" i="3" s="1"/>
  <c r="D166" i="3" s="1"/>
  <c r="E137" i="3"/>
  <c r="H132" i="3"/>
  <c r="H134" i="3" s="1"/>
  <c r="H135" i="3" s="1"/>
  <c r="H177" i="3"/>
  <c r="D168" i="3" l="1"/>
  <c r="D169" i="3" s="1"/>
  <c r="D170" i="3" s="1"/>
  <c r="D176" i="3" s="1"/>
  <c r="E153" i="3"/>
  <c r="E154" i="3" s="1"/>
  <c r="E166" i="3" s="1"/>
  <c r="H137" i="3"/>
  <c r="H153" i="3" s="1"/>
  <c r="H154" i="3" s="1"/>
  <c r="H166" i="3" s="1"/>
  <c r="D183" i="3" l="1"/>
  <c r="D184" i="3" s="1"/>
  <c r="D186" i="3" s="1"/>
  <c r="H168" i="3"/>
  <c r="H169" i="3" s="1"/>
  <c r="H170" i="3" s="1"/>
  <c r="H172" i="3" s="1"/>
  <c r="E168" i="3"/>
  <c r="E169" i="3" s="1"/>
  <c r="E170" i="3" s="1"/>
  <c r="E176" i="3" s="1"/>
  <c r="D172" i="3"/>
  <c r="D187" i="3" l="1"/>
  <c r="D188" i="3" s="1"/>
  <c r="E183" i="3"/>
  <c r="E184" i="3" s="1"/>
  <c r="E186" i="3" s="1"/>
  <c r="E187" i="3" s="1"/>
  <c r="E188" i="3" s="1"/>
  <c r="E172" i="3"/>
  <c r="H176" i="3" l="1"/>
  <c r="J183" i="3" l="1"/>
  <c r="H183" i="3"/>
  <c r="H184" i="3"/>
  <c r="H186" i="3" l="1"/>
  <c r="H187" i="3" l="1"/>
  <c r="H188" i="3" s="1"/>
</calcChain>
</file>

<file path=xl/comments1.xml><?xml version="1.0" encoding="utf-8"?>
<comments xmlns="http://schemas.openxmlformats.org/spreadsheetml/2006/main">
  <authors>
    <author>Татаринова Елена Александровна</author>
  </authors>
  <commentList>
    <comment ref="G139" authorId="0" shapeId="0">
      <text>
        <r>
          <rPr>
            <b/>
            <sz val="9"/>
            <color indexed="81"/>
            <rFont val="Tahoma"/>
            <family val="2"/>
            <charset val="204"/>
          </rPr>
          <t>Татаринова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Объектной смете ошибка в итогах на 0,02. Произведена корректировка</t>
        </r>
      </text>
    </comment>
  </commentList>
</comments>
</file>

<file path=xl/sharedStrings.xml><?xml version="1.0" encoding="utf-8"?>
<sst xmlns="http://schemas.openxmlformats.org/spreadsheetml/2006/main" count="684" uniqueCount="454">
  <si>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</si>
  <si>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</si>
  <si>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</si>
  <si>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</si>
  <si>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</si>
  <si>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</si>
  <si>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</si>
  <si>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</si>
  <si>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</si>
  <si>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</si>
  <si>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</si>
  <si>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</si>
  <si>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</si>
  <si>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АО "КСК"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</si>
  <si>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2</t>
  </si>
  <si>
    <t>Составлена в ценах по состоянию на 01.01.2000 и в текущих ценах 2 квартала 2019г.</t>
  </si>
  <si>
    <t>Сметная стоимость, тыс. руб.</t>
  </si>
  <si>
    <t>Общая сметная стоимость, тыс. руб.</t>
  </si>
  <si>
    <t>Глава 1. Подготовка территории строительства</t>
  </si>
  <si>
    <t>01-05</t>
  </si>
  <si>
    <t>Лесосводка на территории строительства</t>
  </si>
  <si>
    <t>01-06</t>
  </si>
  <si>
    <t>Создание геодезической разбивочной  основы 224266/1,266/1000</t>
  </si>
  <si>
    <t>01-10</t>
  </si>
  <si>
    <t>Археологические исследования по п. Лунная поляна</t>
  </si>
  <si>
    <t>01-11</t>
  </si>
  <si>
    <t>Расчет затрат на реализацию мероприятий по восстановлению нарушаемого состояния водных биоресурсов</t>
  </si>
  <si>
    <t>01-12</t>
  </si>
  <si>
    <t>Организация дорожного движения на период строительства</t>
  </si>
  <si>
    <t>возвратные суммы от продажи древесины</t>
  </si>
  <si>
    <t>Итого по Главе 1. "Подготовка территории строительства"</t>
  </si>
  <si>
    <t>Глава 2. Основные объекты строительства</t>
  </si>
  <si>
    <t>02-09</t>
  </si>
  <si>
    <t>автодороги</t>
  </si>
  <si>
    <t>Итого по Главе 2. "Основные объекты строительства"</t>
  </si>
  <si>
    <t>Глава 4. Объекты энергетического хозяйства</t>
  </si>
  <si>
    <t>04-05</t>
  </si>
  <si>
    <t>Трансформаторная подстанция №3 (ТП-ЛП-3)</t>
  </si>
  <si>
    <t>04-06</t>
  </si>
  <si>
    <t>Трансформаторная подстанция №4 (ТП-ЛП-4)</t>
  </si>
  <si>
    <t>04-07</t>
  </si>
  <si>
    <t>Трансформаторной подстанции №5 (ТП-ЛП-5)</t>
  </si>
  <si>
    <t>04-08</t>
  </si>
  <si>
    <t>Распределительная трансформаторная подстанция РТП-2 35/10 кВ. Ячейки 10 кВ</t>
  </si>
  <si>
    <t>04-09</t>
  </si>
  <si>
    <t>Магистральные сети электроснабжения</t>
  </si>
  <si>
    <t>04-10</t>
  </si>
  <si>
    <t>Закрытые переходы, выполняемые методом ГНБ</t>
  </si>
  <si>
    <t>04-12</t>
  </si>
  <si>
    <t>Внутриплощадочные сети электроснабжения пос. "Лунная поляна"</t>
  </si>
  <si>
    <t>04-13</t>
  </si>
  <si>
    <t>Внутриплощадочные сети по заземлению пос. "Лунная поляна"</t>
  </si>
  <si>
    <t>04-14</t>
  </si>
  <si>
    <t>Распределительная трансформаторная подстанция №1 (РТП-ЛП-1)</t>
  </si>
  <si>
    <t>04-15</t>
  </si>
  <si>
    <t>Распределительная трансформаторная подстанция №2 (РТП-ЛП-2)</t>
  </si>
  <si>
    <t>04-16</t>
  </si>
  <si>
    <t>Трансформаторной подстанции №1 (ТП-ЛП-1)</t>
  </si>
  <si>
    <t>04-17</t>
  </si>
  <si>
    <t>Трансформаторная подстанция №2 (ТП-ЛП-2)</t>
  </si>
  <si>
    <t>Итого по Главе 4. "Объекты энергетического хозяйства"</t>
  </si>
  <si>
    <t>Глава 5. Объекты транспортного хозяйства и связи</t>
  </si>
  <si>
    <t>05-02</t>
  </si>
  <si>
    <t>Внутриплощадочные сети связи</t>
  </si>
  <si>
    <t>05-03</t>
  </si>
  <si>
    <t>Комплексная система безопасности (КСБ)</t>
  </si>
  <si>
    <t>Итого по Главе 5. "Объекты транспортного хозяйства и связи"</t>
  </si>
  <si>
    <t>Глава 6. Наружные сети и сооружения водоснабжения, водоотведения, теплоснабжения и газоснабжения</t>
  </si>
  <si>
    <t>06-01</t>
  </si>
  <si>
    <t>Насосная станция первого подъема (НС-1)</t>
  </si>
  <si>
    <t>06-03</t>
  </si>
  <si>
    <t>Станция водоподготовки (ВП)</t>
  </si>
  <si>
    <t>06-04</t>
  </si>
  <si>
    <t>Магистральные сети водоснабжения</t>
  </si>
  <si>
    <t>06-05</t>
  </si>
  <si>
    <t>Насосная станция второго подъема (НС-2)</t>
  </si>
  <si>
    <t>06-06</t>
  </si>
  <si>
    <t>Резервуар чистой воды (РЧВ-1)</t>
  </si>
  <si>
    <t>06-07</t>
  </si>
  <si>
    <t>Резервуар чистой воды (РЧВ-2)</t>
  </si>
  <si>
    <t>06-08</t>
  </si>
  <si>
    <t>Локальные очистные сооружения</t>
  </si>
  <si>
    <t>06-09</t>
  </si>
  <si>
    <t>Магистральную сеть ливневой канализации</t>
  </si>
  <si>
    <t>06-10</t>
  </si>
  <si>
    <t>Магистральные сети хозяйственно-бытовой канализации</t>
  </si>
  <si>
    <t>06-11</t>
  </si>
  <si>
    <t>Газоснабжение</t>
  </si>
  <si>
    <t>Итого по Главе 6. "Наружные сети и сооружения водоснабжения, водоотведения, теплоснабжения и газоснабжения"</t>
  </si>
  <si>
    <t>Глава 7. Благоустройство и озеленение территории</t>
  </si>
  <si>
    <t>07-07</t>
  </si>
  <si>
    <t>Наружное освещение автомобильной дороги</t>
  </si>
  <si>
    <t>07-08</t>
  </si>
  <si>
    <t>Благоустройство</t>
  </si>
  <si>
    <t>07-09</t>
  </si>
  <si>
    <t>Организация дорожного движения на период эксплуатации</t>
  </si>
  <si>
    <t>Итого по Главе 7. "Благоустройство и озеленение территории"</t>
  </si>
  <si>
    <t>Итого по Главам 1-7</t>
  </si>
  <si>
    <t>Глава 8. Временные здания и сооружения</t>
  </si>
  <si>
    <t>ГСН-81-05-01-2001 п.4.9</t>
  </si>
  <si>
    <t>Временные здания и сооружения, санатории, дома отдыха, турбазы, пансионаты, профилактории, пионерские лагеря - 2,3%</t>
  </si>
  <si>
    <t>в том числе возврат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</si>
  <si>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</si>
  <si>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</si>
  <si>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</si>
  <si>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ГСН-81-05-02-2007 п.11.4</t>
  </si>
  <si>
    <t>Производство работ в зимнее время, здания общественного назначения (школы, учебные заведения, детские сады и ясли, больницы, санатории, дома отдыха и др.) и объекты коммунального хозяйства - 0,5% К=1,1</t>
  </si>
  <si>
    <t>09-02</t>
  </si>
  <si>
    <t>Пусконаладочные работы. Этап 2</t>
  </si>
  <si>
    <t>09-03</t>
  </si>
  <si>
    <t>Затраты связанные с командированием строительных рабочих и машинистов строительной техники 27528116,0/10,51/1000</t>
  </si>
  <si>
    <t>09-04</t>
  </si>
  <si>
    <t>Плата за негативное воздействие выброса загрязняющих веществ в атмосферный воздух 320,5/10,51/1000</t>
  </si>
  <si>
    <t>09-05</t>
  </si>
  <si>
    <t>Плата за размещение отходов на период  строительства_x000D_
22526,17/1000</t>
  </si>
  <si>
    <t>09-07</t>
  </si>
  <si>
    <t>Расчет перебазировки механизмов своим ходом</t>
  </si>
  <si>
    <t>09-08</t>
  </si>
  <si>
    <t>Расчет перебазировки механизмов на прицепе (трал) без демонтажа</t>
  </si>
  <si>
    <t>Итого по Главе 9. "Прочие работы и затраты"</t>
  </si>
  <si>
    <t>Итого по Главам 1-9</t>
  </si>
  <si>
    <t>Глава 10. Содержание службы заказчика. Строительный контроль</t>
  </si>
  <si>
    <t>Постановление Правительства №468 от 21.06.10г.</t>
  </si>
  <si>
    <t>Затраты на осуществление функций Заказчика - Застройщика (в том числе: строительный контроль, авторский надзор) (1,61% от общей стоимости глав 1-9 и 12)</t>
  </si>
  <si>
    <t>Итого по Главе 10. "Содержание службы заказчика. Строительный контроль"</t>
  </si>
  <si>
    <t>Глава 12. Публичный технологический и ценовой аудит, проектные и изыскательские работы</t>
  </si>
  <si>
    <t>Сводная смета на проектные и изыскательские работы (сметы: №2.1, 2.2, 2.3)</t>
  </si>
  <si>
    <t>Инженерные изыскания 1549370,0/1000</t>
  </si>
  <si>
    <t>Сводная смета на проектные и изыскательские работы (сметы: №3.1,3.2, 3.3)</t>
  </si>
  <si>
    <t>Дополнительные инженерные изыскания 1324336,0/1000</t>
  </si>
  <si>
    <t>Сводная смета на проектные и изыскательские работы. Сметы №7.1-7.28;</t>
  </si>
  <si>
    <t>Проектная документация 6722869/1000</t>
  </si>
  <si>
    <t>Сводная смета на проектные и изыскательские работы. Сметы №8.1-8.17;</t>
  </si>
  <si>
    <t>Рабочая документация (5921722+16073,0)/1000</t>
  </si>
  <si>
    <t>Смета</t>
  </si>
  <si>
    <t>Затраты на прохождение государственной экспертизы результатов инженерных изысканий и проектной документации 3786355,0/5,29/1000</t>
  </si>
  <si>
    <t>Сводная смета на проектные и изыскательские работы Предварительный расчет п.40</t>
  </si>
  <si>
    <t>Командировочные расходы 267500/10,51/1000</t>
  </si>
  <si>
    <t>Итого по Главе 12. "Публичный технологический и ценовой аудит, проектные и изыскательские работы"</t>
  </si>
  <si>
    <t>Итого по Главам 1-12</t>
  </si>
  <si>
    <t>Непредвиденные затраты</t>
  </si>
  <si>
    <t>МДС 81-35.2004 п.4.96</t>
  </si>
  <si>
    <t>Непредвиденные затраты для объектов социальной сферы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</si>
  <si>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</si>
  <si>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</si>
  <si>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</si>
  <si>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Итого по сводному расчету в ценах 2000г. (без НДС)</t>
  </si>
  <si>
    <t>Строки за итогами</t>
  </si>
  <si>
    <t>в том числе возврат (без НДС)</t>
  </si>
  <si>
    <t>Переход в текущие цены 2 кв. 2019г.</t>
  </si>
  <si>
    <t>Приложение к письму Минстроя от 10.04.2019 № 12661-ДВ/09</t>
  </si>
  <si>
    <t>Строительно-монтажные работы К=7,00</t>
  </si>
  <si>
    <t>Приложение 3 к письму Минстроя от 22.01.2019 № 2003-ДВ/09</t>
  </si>
  <si>
    <t>Оборудование К=3,98</t>
  </si>
  <si>
    <t>Пусконаладочные работы  423910*15,15*1,02/1000</t>
  </si>
  <si>
    <t>Приложение 2 к письму Минстроя от 22.01.2019 № 1408-ЛС/09</t>
  </si>
  <si>
    <t>Прочие затраты  (10390+30,49+22526,10+4760,74+2619230+67480+53500)*10,51*1,02/1000</t>
  </si>
  <si>
    <t>Смета 01-06</t>
  </si>
  <si>
    <t>Создание геодезической разбивочной основы, восстановление оси трассы 177145,34*4,23*1,266*1,02/1000</t>
  </si>
  <si>
    <t>Инженерные изыскания  1549370,0*4,23*1,266*1,2/1000</t>
  </si>
  <si>
    <t>Дополнительные инженерные изыскания  1324340,0*4,23*1,266*1,2/1000</t>
  </si>
  <si>
    <t>Проектная документация 6722869,0*4,15*1,19*1,02/1000</t>
  </si>
  <si>
    <t>Рабочая документация  (5921722+16073,0)*4,15*1,19*1,02/1000</t>
  </si>
  <si>
    <t>Командировочные расходы 25450*10,51*1,02/1000</t>
  </si>
  <si>
    <t>Затраты на прохождение государственной экспертизы результатов инженерных изысканий и проектной документации   715760*5,29*1,02/1000</t>
  </si>
  <si>
    <t>Археологические исследования по п. Лунная поляна 4082530*4,23*1,266*1,02/1000</t>
  </si>
  <si>
    <t>Постановление Правительства РФ от 21.06.2010 №468</t>
  </si>
  <si>
    <t>ИТОГО в ценах 2 кв. 2019г. без НДС</t>
  </si>
  <si>
    <t>Закон РФ от 07.07.2003 г. № 117-ФЗ.</t>
  </si>
  <si>
    <t>НДС - 20%</t>
  </si>
  <si>
    <t>Итого по сводному расчету в ценах 2 кв. 2019г. с НДС</t>
  </si>
  <si>
    <t>в том числе возврат  с НДС</t>
  </si>
  <si>
    <t>(должность, подпись, расшифровка)</t>
  </si>
  <si>
    <t>Исполнительный директор ООО "РосЮгСтрой": ___________________________М.И. Цыгарева</t>
  </si>
  <si>
    <t>Руководитель проектной организации: ___________________________Р.М. Ихсанов</t>
  </si>
  <si>
    <t>Главный инженер проекта: ___________________________А.Л. Александрова</t>
  </si>
  <si>
    <t>Начальник отдела смет: ___________________________П.П. Краснов</t>
  </si>
  <si>
    <t>"Утвержден" «    »________________2019 г.</t>
  </si>
  <si>
    <t>«    »________________2019 г.</t>
  </si>
  <si>
    <t>Сводный сметный расчет в ценах 2 квартала 2019г. в сумме 899 033,95 тыс. руб.</t>
  </si>
  <si>
    <t>В том числе возвратных сумм 1992,87 тыс. руб. (с НДС)</t>
  </si>
  <si>
    <t>В том числе возвратных сумм 498,95 тыс. руб.</t>
  </si>
  <si>
    <t>Сводный сметный расчет в сумме 129 050,41 тыс. руб.</t>
  </si>
  <si>
    <t>Директор Департамента развития инфраструктуры акционерного общества</t>
  </si>
  <si>
    <t xml:space="preserve"> "Курорты Северного Кавказа" (доверенность №1516 от 19.08.2019г.):_______________________________В.В. Лапухин</t>
  </si>
  <si>
    <t>02-09-01</t>
  </si>
  <si>
    <t>Земляное полотно и устройство присыпных обочин</t>
  </si>
  <si>
    <t>02-09-02</t>
  </si>
  <si>
    <t>Планировочные и укрепительные работы</t>
  </si>
  <si>
    <t>02-09-03</t>
  </si>
  <si>
    <t>Дорожная одежда</t>
  </si>
  <si>
    <t>02-09-04</t>
  </si>
  <si>
    <t>Пересечения и примыкания</t>
  </si>
  <si>
    <t>02-09-05</t>
  </si>
  <si>
    <t>Искусственные сооружения</t>
  </si>
  <si>
    <t>02-09-06</t>
  </si>
  <si>
    <t>Тротуары</t>
  </si>
  <si>
    <t>04-05-01</t>
  </si>
  <si>
    <t>фундамент</t>
  </si>
  <si>
    <t>04-05-02</t>
  </si>
  <si>
    <t>приобретение и монтаж электрооборудования трансформаторной подстанции №3 (ТП-ЛП-3)</t>
  </si>
  <si>
    <t>04-05-03</t>
  </si>
  <si>
    <t>приобретение и монтаж автоматической установки пожарной сигнализации ТП-ЛП-3</t>
  </si>
  <si>
    <t>04-06-01</t>
  </si>
  <si>
    <t>04-06-02</t>
  </si>
  <si>
    <t>приобретение и монтаж электрооборудования трансформаторной подстанции №4 (ТП-ЛП-4).</t>
  </si>
  <si>
    <t>04-06-03</t>
  </si>
  <si>
    <t>приобретение и монтаж автоматической установки пожарной сигнализации ТП-ЛП-4</t>
  </si>
  <si>
    <t>04-07-01</t>
  </si>
  <si>
    <t>04-07-02</t>
  </si>
  <si>
    <t>приобретение и монтаж электрооборудования трансформаторной подстанции №5 (ТП-ЛП-5)</t>
  </si>
  <si>
    <t>04-07-03</t>
  </si>
  <si>
    <t>приобретение и монтаж автоматической установки пожарной сигнализации ТП-ЛП-5</t>
  </si>
  <si>
    <t>04-14-01</t>
  </si>
  <si>
    <t>04-14-02</t>
  </si>
  <si>
    <t>приобретение и монтаж электрооборудования распределительной трансформаторной подстанции №1 (РТП-ЛП-1).</t>
  </si>
  <si>
    <t>04-14-03</t>
  </si>
  <si>
    <t>приобретение и монтаж автоматической установки пожарной сигнализации РТП-ЛП-1</t>
  </si>
  <si>
    <t>04-15-01</t>
  </si>
  <si>
    <t>04-15-02</t>
  </si>
  <si>
    <t>приобретение и монтаж электрооборудования распределительной трансформаторной подстанциии №2 (РТП-ЛП-2).</t>
  </si>
  <si>
    <t>04-15-03</t>
  </si>
  <si>
    <t>приобретение и монтаж автоматической установки пожарной сигнализации РТП-ЛП-2</t>
  </si>
  <si>
    <t>04-16-01</t>
  </si>
  <si>
    <t>04-16-02</t>
  </si>
  <si>
    <t>приобретение и монтаж электрооборудования трансформаторной подстанции №1 (ТП-ЛП-1)</t>
  </si>
  <si>
    <t>04-16-03</t>
  </si>
  <si>
    <t>приобретение и монтаж автоматической установки пожарной сигнализации ТП-ЛП-1</t>
  </si>
  <si>
    <t>04-17-01</t>
  </si>
  <si>
    <t>04-17-02</t>
  </si>
  <si>
    <t>приобретение и монтаж электрооборудования трансформаторной подстанции №2 (ТП-ЛП-2).</t>
  </si>
  <si>
    <t>04-17-03</t>
  </si>
  <si>
    <t>приобретение и монтаж автоматической установки пожарной сигнализации ТП-ЛП-2</t>
  </si>
  <si>
    <t>05-03-01</t>
  </si>
  <si>
    <t>строительные работы по ограждению первого пояса площадки технологического оборудования</t>
  </si>
  <si>
    <t>05-03-02</t>
  </si>
  <si>
    <t>приобретение и монтаж оборудования инженерной системы безопастности газораспределительного пункта шкафного.</t>
  </si>
  <si>
    <t>05-03-03</t>
  </si>
  <si>
    <t>приобретение и монтаж оборудования инженерной системы безопастности Многофункционального центра</t>
  </si>
  <si>
    <t>05-03-04</t>
  </si>
  <si>
    <t>приобретение и монтаж оборудования инженерной системы безопастности насосной станции первого подъема (НС-1).</t>
  </si>
  <si>
    <t>05-03-05</t>
  </si>
  <si>
    <t>приобретение и монтаж оборудования инженерной системы безопастности насосной станции второго подъема (НС-2).</t>
  </si>
  <si>
    <t>05-03-06</t>
  </si>
  <si>
    <t>приобретение и монтаж оборудования инженерной системы безопастности площадки водоподготовки.</t>
  </si>
  <si>
    <t>05-03-07</t>
  </si>
  <si>
    <t>приобретение и монтаж оборудования инженерной системы безопастности распределительной трансформаторной подстанции №1 (РТП-ЛП-1).</t>
  </si>
  <si>
    <t>05-03-08</t>
  </si>
  <si>
    <t>приобретение и монтаж оборудования инженерной системы безопастности распределительной трансформаторной подстанции №2 (РТП-ЛП-2).</t>
  </si>
  <si>
    <t>05-03-09</t>
  </si>
  <si>
    <t>приобретение и монтаж оборудования инженерной системы безопастности станции водоподготовки.</t>
  </si>
  <si>
    <t>05-03-10</t>
  </si>
  <si>
    <t>приобретение и монтаж оборудования инженерной системы безопастности трансформаторной подстанции №1 (ТП-ЛП-1).</t>
  </si>
  <si>
    <t>05-03-11</t>
  </si>
  <si>
    <t>приобретение и монтаж оборудования инженерной системы безопастности трансформаторной подстанции №2 (ТП-ЛП-2).</t>
  </si>
  <si>
    <t>05-03-12</t>
  </si>
  <si>
    <t>приобретение и монтаж оборудования инженерной системы безопастности трансформаторной подстанции №3 (ТП-ЛП-3).</t>
  </si>
  <si>
    <t>05-03-13</t>
  </si>
  <si>
    <t>приобретение и монтаж оборудования инженерной системы безопастности трансформаторной подстанции №4 (ТП-ЛП-4).</t>
  </si>
  <si>
    <t>05-03-14</t>
  </si>
  <si>
    <t>приобретение и монтаж оборудования инженерной системы безопастности трансформаторной подстанции №5 (ТП-ЛП-5)</t>
  </si>
  <si>
    <t>05-03-15</t>
  </si>
  <si>
    <t>приобретение и монтаж оборудования системы охранного освещения</t>
  </si>
  <si>
    <t>06-01-01</t>
  </si>
  <si>
    <t>06-01-02</t>
  </si>
  <si>
    <t>насосную станцию 1-го подъема</t>
  </si>
  <si>
    <t>06-03-01</t>
  </si>
  <si>
    <t>06-03-02</t>
  </si>
  <si>
    <t>станцию водоподготовки (ВП)</t>
  </si>
  <si>
    <t>06-03-03</t>
  </si>
  <si>
    <t>приобретение и монтаж электрооборудования  площадки технологического оборудования системы водоснабжения</t>
  </si>
  <si>
    <t>06-05-01</t>
  </si>
  <si>
    <t>06-05-02</t>
  </si>
  <si>
    <t>насосную станцию 2-го подъема</t>
  </si>
  <si>
    <t>06-06-01</t>
  </si>
  <si>
    <t>фундамент резервуара чистой воды (РЧВ-1)</t>
  </si>
  <si>
    <t>06-06-02</t>
  </si>
  <si>
    <t>резервуар чистой воды РЧВ-1</t>
  </si>
  <si>
    <t>06-07-01</t>
  </si>
  <si>
    <t>фундамент резервуара чистой воды (РЧВ-2)</t>
  </si>
  <si>
    <t>06-07-02</t>
  </si>
  <si>
    <t>резервуар чистой воды РЧВ-2</t>
  </si>
  <si>
    <t>06-08-01</t>
  </si>
  <si>
    <t>фундамент локальных очистных сооружений</t>
  </si>
  <si>
    <t>06-08-02</t>
  </si>
  <si>
    <t>Локальные очистные сооружения (ЛОС)</t>
  </si>
  <si>
    <t>09-02-03</t>
  </si>
  <si>
    <t>пусконаладочные работы электрооборудования распределительной трансформаторной подстанции №1 (РТП-ЛП-1)</t>
  </si>
  <si>
    <t>09-02-04</t>
  </si>
  <si>
    <t>пусконаладочные работы электрооборудования распределительной трансформаторной подстанции №2 (РТП-ЛП-2)</t>
  </si>
  <si>
    <t>09-02-05</t>
  </si>
  <si>
    <t>пусконаладочные работы электрооборудования трансформаторной подстанции №1 (ТП-ЛП-1)</t>
  </si>
  <si>
    <t>09-02-06</t>
  </si>
  <si>
    <t>пусконаладочные работы электрооборудования трансформаторной подстанции №2 (ТП-ЛП-2)</t>
  </si>
  <si>
    <t>09-02-07</t>
  </si>
  <si>
    <t>пусконаладочные работы электрооборудования трансформаторной подстанции №3 (ТП-ЛП-3)</t>
  </si>
  <si>
    <t>09-02-08</t>
  </si>
  <si>
    <t>пусконаладочные работы электрооборудования трансформаторной подстанции №4 (ТП-ЛП-4)</t>
  </si>
  <si>
    <t>09-02-09</t>
  </si>
  <si>
    <t>пусконаладочные работы электрооборудования трансформаторной подстанции №5 (ТП-ЛП-5)</t>
  </si>
  <si>
    <t>09-02-10</t>
  </si>
  <si>
    <t>пусконаладочные работы вхолостую ячеек 10 кВ распределительной трансформаторной подстанции РТП-2 35/10 кВ</t>
  </si>
  <si>
    <t>09-02-11</t>
  </si>
  <si>
    <t>пусконаладочные рабыты систем безопасности</t>
  </si>
  <si>
    <t>Возврат  от разборки временных зданий и сооружений</t>
  </si>
  <si>
    <t>ИТОГО в ценах 2 кв. 2019г. без НДС с учетом возврата</t>
  </si>
  <si>
    <t>Резерв средств на непредвиденные затраты</t>
  </si>
  <si>
    <t>Пусконаладочные работы  423910*15,15/1000</t>
  </si>
  <si>
    <t>Прочие затраты  (10390+30,49+22526,10+4760,74+2619230+67480+53500)*10,51/1000</t>
  </si>
  <si>
    <t>Создание геодезической разбивочной основы, восстановление оси трассы 177145,34*4,23*1,266/1000</t>
  </si>
  <si>
    <t>Рабочая документация  (5921722+16073,0)*4,15*1,19/1000</t>
  </si>
  <si>
    <t>Археологические исследования по п. Лунная поляна 4082530*4,23*1,266/1000</t>
  </si>
  <si>
    <t>Основания для расчета:</t>
  </si>
  <si>
    <t>рублей</t>
  </si>
  <si>
    <t>Наименование работ и затрат</t>
  </si>
  <si>
    <t>Стоимость работ в ценах утверждения сметной документации- 2 квартал 2019 г.</t>
  </si>
  <si>
    <t xml:space="preserve">Индекс фактической инфляции* </t>
  </si>
  <si>
    <t>Стоимость работ в ценах на дату формирования начальной (максимальной) цены контракта - январь 2020 г.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</si>
  <si>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</si>
  <si>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</si>
  <si>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</si>
  <si>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Стоимость без учета НДС</t>
  </si>
  <si>
    <t xml:space="preserve">Примечания: </t>
  </si>
  <si>
    <t>2) инфляция для затрат на проживание и суточные не начисляется, поскольку размер суточных и проживания ограничен Постановлением Правительства РФ № 729 от 02.10.2002</t>
  </si>
  <si>
    <t>мес.</t>
  </si>
  <si>
    <t>Начало работ</t>
  </si>
  <si>
    <t>Окончание работ</t>
  </si>
  <si>
    <t>Расчет прогнозного индекса инфляции :</t>
  </si>
  <si>
    <t xml:space="preserve">Заказчик: </t>
  </si>
  <si>
    <t>(должность, подпись, инициалы, фамилия)</t>
  </si>
  <si>
    <t>Оборудование</t>
  </si>
  <si>
    <t>2. Заключение Федерального автономного учреждения "Главное управление государственной экспертизы" (ФАУ "ГЛАВГОСЭКСПЕРТИЗА РОССИИ") Северо-Кавказский филиал  от 22.10.2019 № 00106-19/СКЭ-19943/1104 (№ в реестре 00-1-2240-19).</t>
  </si>
  <si>
    <t>3. Утвержденный сводный сметный расчет стоимости строительства: 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"Лунная Поляна"(этапы 1, 2) Этап 2 на сумму 899033,95 тыс. руб. в ценах 2 кв. 2019 г.</t>
  </si>
  <si>
    <t>Проект сметы контракта</t>
  </si>
  <si>
    <t>п/п</t>
  </si>
  <si>
    <t>Номера сметных расчетов (смет) и позиций в сметных расчетах (сметах), относящиеся к соответствующим конструктивным решениям (элементам), комплексам (видам) работ</t>
  </si>
  <si>
    <t>Наименование конструктивных решений (элементов), комплексов (видов) работ</t>
  </si>
  <si>
    <t>Единица измерения</t>
  </si>
  <si>
    <t>Количество (объем работ)</t>
  </si>
  <si>
    <t>СМР</t>
  </si>
  <si>
    <t>Прочие</t>
  </si>
  <si>
    <t>ВЗиС
2,3%</t>
  </si>
  <si>
    <t>СМР+ВЗиС</t>
  </si>
  <si>
    <t>ЗУ
0,55%</t>
  </si>
  <si>
    <t>Возврат от ВЗиС</t>
  </si>
  <si>
    <t>СМР+ВЗиС+ЗУ+возврат</t>
  </si>
  <si>
    <t>Цена, руб.</t>
  </si>
  <si>
    <t>На единицу измерения</t>
  </si>
  <si>
    <t>Всего</t>
  </si>
  <si>
    <t>Всего с учетом инфляции, руб.</t>
  </si>
  <si>
    <t>Итого, тыс. руб.</t>
  </si>
  <si>
    <t>В текущем уровне, в тыс. руб.</t>
  </si>
  <si>
    <t>Строительные</t>
  </si>
  <si>
    <t>Монтажные</t>
  </si>
  <si>
    <t>Итого начальная (максимальная) цена контракта  без учета НДС</t>
  </si>
  <si>
    <t>3.1</t>
  </si>
  <si>
    <t>Ведомость объемов работ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</si>
  <si>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</si>
  <si>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</si>
  <si>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</si>
  <si>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</si>
  <si>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</si>
  <si>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-индексы фактической инфляции для пересчета сметной стоимости из уровня цен утверждения проектной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</si>
  <si>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реализации проекта.</t>
  </si>
  <si>
    <t>Приложение:</t>
  </si>
  <si>
    <t>Расчет начальной (максимальной) цены контракта.</t>
  </si>
  <si>
    <t>РАСЧЕТ НАЧАЛЬНОЙ МАКСИМАЛЬНОЙ ЦЕНЫ ДОГОВОРА</t>
  </si>
  <si>
    <t xml:space="preserve">Продолжительность работ </t>
  </si>
  <si>
    <t xml:space="preserve">Начало работ - </t>
  </si>
  <si>
    <t xml:space="preserve">Окончание работ - </t>
  </si>
  <si>
    <t>№ п.п.</t>
  </si>
  <si>
    <t>Перечень видов работ</t>
  </si>
  <si>
    <t xml:space="preserve"> Стоимость в прогнозных   ценах, руб.</t>
  </si>
  <si>
    <t>без учета НДС</t>
  </si>
  <si>
    <t>НДС-20 %</t>
  </si>
  <si>
    <t>с учетом НДС</t>
  </si>
  <si>
    <t>Итого:</t>
  </si>
  <si>
    <t>В том числе инфляционная составляющая за период выполнения работ</t>
  </si>
  <si>
    <t>В том числе непредвиденные расходы</t>
  </si>
  <si>
    <t>ПОЯСНИТЕЛЬНАЯ ЗАПИСКА</t>
  </si>
  <si>
    <t>К РАСЧЕТУ НАЧАЛЬНОЙ МАКСИМАЛЬНОЙ ЦЕНЫ ДОГОВОРА</t>
  </si>
  <si>
    <t>Прогнозный индекс-дефлятор  рассчитан в соответствии с графиком и с учетом авансирования объекта в размере 30% от цены работ.</t>
  </si>
  <si>
    <t>комплекс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</si>
  <si>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</si>
  <si>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</si>
  <si>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</si>
  <si>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</si>
  <si>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</si>
  <si>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</si>
  <si>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</si>
  <si>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</si>
  <si>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</si>
  <si>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</si>
  <si>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</si>
  <si>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</si>
  <si>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</si>
  <si>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</si>
  <si>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Ежемесячный индекс прогноз на 2021 г.</t>
  </si>
  <si>
    <t>Индекс Минэкономразвития РФ на 2021 г. (Письмо Минэкономразвития России от 1 октября 2019 г. 
№ 33198-ПБ/Д03и)</t>
  </si>
  <si>
    <t>Продолжительность работ</t>
  </si>
  <si>
    <t>Индекс на 2020г.</t>
  </si>
  <si>
    <t>Индекс на 2021г.</t>
  </si>
  <si>
    <t>Доля 2020г.</t>
  </si>
  <si>
    <t>Доля 2021г.</t>
  </si>
  <si>
    <t>1. Приказ об утверждении проектной документации, включая сводный сметный расчет стоимости строительства от 13.11.2019 №Пр-19-176.</t>
  </si>
  <si>
    <t>Расчет индекса прогнозной инфляции для Арх. Работ</t>
  </si>
  <si>
    <t>1) поскольку индексы фактической инфляции за июнь, июль 2020 отсутствуют на момент формирования НМЦК, то они принимается равным 1.</t>
  </si>
  <si>
    <t>НДС-20% не облагается</t>
  </si>
  <si>
    <t xml:space="preserve">ВСЕГО </t>
  </si>
  <si>
    <t>В текущем уровне,  руб.</t>
  </si>
  <si>
    <t>- Выполнение комплекса научно-исследовательских охранно-спасательных работ (раскопок)</t>
  </si>
  <si>
    <t>- налогом на добавленную стоимость в размере 20% не облагается.</t>
  </si>
  <si>
    <t>5 месяцев</t>
  </si>
  <si>
    <t>Описание метода расчета стоимости научно-исследовательских охранно-спасательных работ (раскопок)</t>
  </si>
  <si>
    <t>Индекс пересчета в текущие цены на II квартал 2019 г. принят согласно Письма Минстроя России от 17.05.2019 N 17798-ДВ/09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</si>
  <si>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Федеральной службы государственной статистики и Минэкономразвития РФ согласно Письма Минэкономразвития России от 1 октября 2019 г. № 33198-ПБ/Д03и.</t>
  </si>
  <si>
    <t>Для расчета цены работ использован сводный сметный расчет, получивший положительное заключение Федерального автономного учреждения "Главное управление государственной экспертизы" (ФАУ "ГЛАВГОСЭКСПЕРТИЗА РОССИИ") 
Северо-Кавказский филиал  от 09.10.2019 № 00094-19/СКЭ-19943/1104 (№ в реестре 00-1-2132-19).</t>
  </si>
  <si>
    <t>Итоговая начальная максимальная цена работ составляет:</t>
  </si>
  <si>
    <t>рублей (НДС не облагается)</t>
  </si>
  <si>
    <t>Налогом на добавленную стоимость не облагается</t>
  </si>
  <si>
    <t>1</t>
  </si>
  <si>
    <t>Календарный план</t>
  </si>
  <si>
    <t>Виды (наименования) работ</t>
  </si>
  <si>
    <t>Сроки выполнения работ</t>
  </si>
  <si>
    <t>Дата начала</t>
  </si>
  <si>
    <t>Дата окончания</t>
  </si>
  <si>
    <t>Длительность</t>
  </si>
  <si>
    <t xml:space="preserve">Заключение Договора </t>
  </si>
  <si>
    <t xml:space="preserve">Подготовительные работы: </t>
  </si>
  <si>
    <t>Подготовка обоснования и заявления на получение разрешения на археологические раскопки (Открытый лист)</t>
  </si>
  <si>
    <t>Получение разрешения (Открытый лист)</t>
  </si>
  <si>
    <t>Итого подготовительные работы</t>
  </si>
  <si>
    <t>Полевые работы:</t>
  </si>
  <si>
    <t>Проведение раскопок объектов археологического наследия</t>
  </si>
  <si>
    <t>Итого полевые работы</t>
  </si>
  <si>
    <t>Камеральные работы:</t>
  </si>
  <si>
    <t>Написание  отчета об археологических исследованиях</t>
  </si>
  <si>
    <t>Итого камеральные работы</t>
  </si>
  <si>
    <t>2.1</t>
  </si>
  <si>
    <t>2.2</t>
  </si>
  <si>
    <t>4.1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</si>
  <si>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требованием Федерального Закона  от 18.07.2011 г. № 223-ФЗ "О Закупках товаров, работ, услуг отдельными видами юридических лиц"; требованием Положения о договорной работе, утвержденного Приказом акционерного общества "Курорты Северного Кавказа" от 11.10.2019 г. № Пр-19-150; Заданием на выполнение археологических охранно-спасательных исследований (раскопок)</t>
  </si>
  <si>
    <r>
      <rPr>
        <b/>
        <sz val="11"/>
        <rFont val="Calibri"/>
        <family val="2"/>
        <charset val="204"/>
      </rPr>
      <t>по адресу</t>
    </r>
    <r>
      <rPr>
        <sz val="11"/>
        <rFont val="Calibri"/>
        <family val="2"/>
        <charset val="204"/>
      </rPr>
      <t>: Российская Федерация, Карачаево-Черкесская Республика, Зеленчукский район, Архызское муниципальное сельское поселение, район Архызского ущелья (ВТРК «Архыз», поселок «Лунная Поляна»)</t>
    </r>
  </si>
  <si>
    <t>Выполнение археологических охранно-спасательных исследований (раскопок)
(НДС не облагается)</t>
  </si>
  <si>
    <t>Выполнение археологических охранно-спасательных исследований (раскопок)</t>
  </si>
  <si>
    <t xml:space="preserve">Начальная (максимальная) цена контракта </t>
  </si>
  <si>
    <t>на выполнение археологических охранно-спасательных исследований (раскопок) в зоне строительства объекта «Магистральные сети инженерно-технического обеспечения и устройство автодороги, пос. «Лунная поляна» (этап 2)</t>
  </si>
  <si>
    <t>на выполнение археологических охранно-спасательных исследований (раскопок) в зоне строительства объекта 
«Магистральные сети инженерно-технического обеспечения и устройство автодороги, пос. «Лунная поляна» (этап 2)</t>
  </si>
  <si>
    <t>Расчет начальной (максимальной) цены контракта при осуществлении закупки на выполнение подрядных работ 
на выполнение археологических охранно-спасательных исследований (раскопок) в зоне строительства объекта 
«Магистральные сети инженерно-технического обеспечения и устройство автодороги, пос. «Лунная поляна» (этап 2)</t>
  </si>
  <si>
    <t xml:space="preserve">*Индекс фактической инфляции по данным Росстата (КЧР, "Строительство") от цен утверждения сметной документации до даты формирования НМЦК 
июль 2019г. К июлю 2020г. </t>
  </si>
  <si>
    <t>(1,00295+1,00295^5)/2</t>
  </si>
  <si>
    <t>1,00295^5*(1,00303)</t>
  </si>
  <si>
    <t>1,00889*0,8+1,01791*0,2</t>
  </si>
  <si>
    <t>(Двадцать один миллион восемьсот шестьдесят две тысячи шестьсот девяносто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</si>
</sst>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0"/>
    <numFmt numFmtId="165" formatCode="#,##0.000"/>
    <numFmt numFmtId="166" formatCode="_-* #,##0\ _₽_-;\-* #,##0\ _₽_-;_-* &quot;-&quot;??\ _₽_-;_-@_-"/>
    <numFmt numFmtId="167" formatCode="#,##0.####"/>
    <numFmt numFmtId="168" formatCode="0.00000"/>
    <numFmt numFmtId="169" formatCode="#,##0.00000"/>
  </numFmts>
  <fonts count="31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rgb="FF0070C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u/>
      <sz val="11"/>
      <name val="Calibri"/>
      <family val="2"/>
      <charset val="204"/>
    </font>
    <font>
      <i/>
      <sz val="11"/>
      <name val="Calibri"/>
      <family val="2"/>
      <charset val="204"/>
    </font>
    <font>
      <sz val="10"/>
      <color rgb="FFFF0000"/>
      <name val="Arial Cyr"/>
      <charset val="204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</font>
    <font>
      <b/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/>
  </cellStyleXfs>
  <cellXfs count="23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0" xfId="0" applyNumberFormat="1" applyFont="1" applyFill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/>
    </xf>
    <xf numFmtId="49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2" fillId="2" borderId="2" xfId="0" applyNumberFormat="1" applyFont="1" applyFill="1" applyBorder="1" applyAlignment="1">
      <alignment horizontal="right" vertical="top" wrapText="1"/>
    </xf>
    <xf numFmtId="2" fontId="1" fillId="0" borderId="0" xfId="0" applyNumberFormat="1" applyFont="1"/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center" vertical="top" wrapText="1"/>
    </xf>
    <xf numFmtId="49" fontId="1" fillId="4" borderId="2" xfId="0" applyNumberFormat="1" applyFont="1" applyFill="1" applyBorder="1" applyAlignment="1">
      <alignment horizontal="left" vertical="top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/>
    </xf>
    <xf numFmtId="4" fontId="10" fillId="0" borderId="2" xfId="0" applyNumberFormat="1" applyFont="1" applyBorder="1" applyAlignment="1">
      <alignment horizontal="right" vertical="top"/>
    </xf>
    <xf numFmtId="4" fontId="10" fillId="0" borderId="2" xfId="0" applyNumberFormat="1" applyFont="1" applyBorder="1" applyAlignment="1">
      <alignment horizontal="right" vertical="top" wrapText="1"/>
    </xf>
    <xf numFmtId="4" fontId="1" fillId="0" borderId="0" xfId="0" applyNumberFormat="1" applyFont="1"/>
    <xf numFmtId="4" fontId="2" fillId="4" borderId="2" xfId="0" applyNumberFormat="1" applyFont="1" applyFill="1" applyBorder="1" applyAlignment="1">
      <alignment horizontal="right" vertical="top" wrapText="1"/>
    </xf>
    <xf numFmtId="49" fontId="2" fillId="4" borderId="2" xfId="0" applyNumberFormat="1" applyFont="1" applyFill="1" applyBorder="1" applyAlignment="1">
      <alignment horizontal="left" vertical="top" wrapText="1"/>
    </xf>
    <xf numFmtId="0" fontId="11" fillId="0" borderId="0" xfId="2"/>
    <xf numFmtId="0" fontId="11" fillId="0" borderId="0" xfId="2" applyFont="1"/>
    <xf numFmtId="0" fontId="11" fillId="0" borderId="0" xfId="2" applyFont="1" applyAlignment="1">
      <alignment horizontal="center"/>
    </xf>
    <xf numFmtId="49" fontId="1" fillId="0" borderId="2" xfId="2" applyNumberFormat="1" applyFont="1" applyFill="1" applyBorder="1" applyAlignment="1" applyProtection="1">
      <alignment horizontal="left" vertical="top" wrapText="1"/>
    </xf>
    <xf numFmtId="0" fontId="11" fillId="0" borderId="0" xfId="2" applyFont="1" applyBorder="1"/>
    <xf numFmtId="4" fontId="11" fillId="0" borderId="0" xfId="2" applyNumberFormat="1" applyBorder="1" applyAlignment="1">
      <alignment horizontal="center" vertical="center"/>
    </xf>
    <xf numFmtId="0" fontId="13" fillId="0" borderId="0" xfId="2" applyFont="1"/>
    <xf numFmtId="0" fontId="16" fillId="0" borderId="0" xfId="0" applyFont="1"/>
    <xf numFmtId="4" fontId="11" fillId="0" borderId="2" xfId="2" applyNumberFormat="1" applyFont="1" applyFill="1" applyBorder="1" applyAlignment="1">
      <alignment horizontal="center" vertical="center"/>
    </xf>
    <xf numFmtId="0" fontId="11" fillId="4" borderId="2" xfId="2" applyFont="1" applyFill="1" applyBorder="1"/>
    <xf numFmtId="4" fontId="11" fillId="4" borderId="2" xfId="2" applyNumberFormat="1" applyFont="1" applyFill="1" applyBorder="1" applyAlignment="1">
      <alignment horizontal="center" vertical="center"/>
    </xf>
    <xf numFmtId="165" fontId="13" fillId="4" borderId="2" xfId="2" applyNumberFormat="1" applyFont="1" applyFill="1" applyBorder="1" applyAlignment="1">
      <alignment horizontal="center" vertical="center"/>
    </xf>
    <xf numFmtId="3" fontId="13" fillId="4" borderId="2" xfId="2" applyNumberFormat="1" applyFont="1" applyFill="1" applyBorder="1" applyAlignment="1">
      <alignment horizontal="center" vertical="center"/>
    </xf>
    <xf numFmtId="4" fontId="11" fillId="4" borderId="2" xfId="2" applyNumberFormat="1" applyFont="1" applyFill="1" applyBorder="1" applyAlignment="1">
      <alignment horizontal="center"/>
    </xf>
    <xf numFmtId="4" fontId="13" fillId="4" borderId="2" xfId="2" applyNumberFormat="1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vertical="center"/>
    </xf>
    <xf numFmtId="0" fontId="11" fillId="4" borderId="2" xfId="2" applyFont="1" applyFill="1" applyBorder="1" applyAlignment="1">
      <alignment horizontal="center" vertical="center" wrapText="1"/>
    </xf>
    <xf numFmtId="0" fontId="11" fillId="4" borderId="2" xfId="2" applyFill="1" applyBorder="1" applyAlignment="1">
      <alignment horizontal="center"/>
    </xf>
    <xf numFmtId="0" fontId="17" fillId="0" borderId="2" xfId="2" applyFont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166" fontId="17" fillId="0" borderId="2" xfId="1" applyNumberFormat="1" applyFont="1" applyFill="1" applyBorder="1" applyAlignment="1">
      <alignment horizontal="center" vertical="center"/>
    </xf>
    <xf numFmtId="4" fontId="17" fillId="0" borderId="2" xfId="1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 wrapText="1"/>
    </xf>
    <xf numFmtId="4" fontId="18" fillId="0" borderId="2" xfId="2" applyNumberFormat="1" applyFont="1" applyBorder="1" applyAlignment="1">
      <alignment horizontal="center" vertical="center"/>
    </xf>
    <xf numFmtId="0" fontId="17" fillId="0" borderId="0" xfId="2" applyFont="1"/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/>
    </xf>
    <xf numFmtId="0" fontId="1" fillId="3" borderId="0" xfId="0" applyFont="1" applyFill="1"/>
    <xf numFmtId="49" fontId="17" fillId="0" borderId="2" xfId="2" applyNumberFormat="1" applyFont="1" applyBorder="1" applyAlignment="1">
      <alignment horizontal="center"/>
    </xf>
    <xf numFmtId="0" fontId="17" fillId="0" borderId="2" xfId="2" applyFont="1" applyBorder="1" applyAlignment="1">
      <alignment vertical="center" wrapText="1"/>
    </xf>
    <xf numFmtId="0" fontId="17" fillId="0" borderId="2" xfId="2" applyFont="1" applyBorder="1"/>
    <xf numFmtId="1" fontId="17" fillId="0" borderId="2" xfId="2" applyNumberFormat="1" applyFont="1" applyBorder="1"/>
    <xf numFmtId="166" fontId="17" fillId="0" borderId="2" xfId="2" applyNumberFormat="1" applyFont="1" applyBorder="1"/>
    <xf numFmtId="0" fontId="17" fillId="0" borderId="0" xfId="2" applyFont="1" applyBorder="1"/>
    <xf numFmtId="0" fontId="17" fillId="0" borderId="0" xfId="2" applyFont="1" applyBorder="1" applyAlignment="1">
      <alignment vertical="center" wrapText="1"/>
    </xf>
    <xf numFmtId="3" fontId="17" fillId="0" borderId="0" xfId="2" applyNumberFormat="1" applyFont="1" applyBorder="1"/>
    <xf numFmtId="0" fontId="14" fillId="0" borderId="0" xfId="2" applyFont="1" applyBorder="1"/>
    <xf numFmtId="49" fontId="20" fillId="0" borderId="2" xfId="2" quotePrefix="1" applyNumberFormat="1" applyFont="1" applyFill="1" applyBorder="1" applyAlignment="1" applyProtection="1">
      <alignment horizontal="left" vertical="top"/>
    </xf>
    <xf numFmtId="0" fontId="20" fillId="0" borderId="2" xfId="2" applyFont="1" applyBorder="1" applyAlignment="1">
      <alignment vertical="center" wrapText="1"/>
    </xf>
    <xf numFmtId="4" fontId="17" fillId="0" borderId="2" xfId="2" applyNumberFormat="1" applyFont="1" applyBorder="1" applyAlignment="1">
      <alignment horizontal="center"/>
    </xf>
    <xf numFmtId="4" fontId="0" fillId="0" borderId="0" xfId="0" applyNumberFormat="1"/>
    <xf numFmtId="0" fontId="11" fillId="0" borderId="0" xfId="2" applyFont="1" applyAlignment="1">
      <alignment vertical="center"/>
    </xf>
    <xf numFmtId="49" fontId="11" fillId="0" borderId="0" xfId="2" applyNumberFormat="1"/>
    <xf numFmtId="49" fontId="11" fillId="0" borderId="0" xfId="2" applyNumberFormat="1" applyFont="1"/>
    <xf numFmtId="0" fontId="15" fillId="0" borderId="0" xfId="2" applyFont="1" applyBorder="1" applyAlignme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4" fillId="0" borderId="0" xfId="2" applyFont="1" applyBorder="1" applyAlignment="1">
      <alignment vertical="center" wrapText="1"/>
    </xf>
    <xf numFmtId="0" fontId="23" fillId="0" borderId="0" xfId="2" applyFont="1" applyBorder="1"/>
    <xf numFmtId="4" fontId="23" fillId="0" borderId="0" xfId="2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3" fontId="0" fillId="0" borderId="7" xfId="0" applyNumberFormat="1" applyBorder="1" applyAlignment="1">
      <alignment horizontal="right" vertical="top"/>
    </xf>
    <xf numFmtId="10" fontId="25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5" fillId="0" borderId="0" xfId="0" applyFont="1"/>
    <xf numFmtId="168" fontId="25" fillId="0" borderId="0" xfId="0" applyNumberFormat="1" applyFont="1"/>
    <xf numFmtId="4" fontId="14" fillId="0" borderId="0" xfId="2" applyNumberFormat="1" applyFont="1" applyBorder="1"/>
    <xf numFmtId="168" fontId="13" fillId="0" borderId="0" xfId="2" applyNumberFormat="1" applyFont="1"/>
    <xf numFmtId="0" fontId="17" fillId="0" borderId="2" xfId="2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0" xfId="2" applyFont="1" applyAlignment="1">
      <alignment horizontal="center" vertical="center" wrapText="1"/>
    </xf>
    <xf numFmtId="165" fontId="11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center" vertical="center"/>
    </xf>
    <xf numFmtId="169" fontId="11" fillId="0" borderId="2" xfId="2" applyNumberFormat="1" applyFont="1" applyBorder="1" applyAlignment="1">
      <alignment horizontal="center" vertical="center"/>
    </xf>
    <xf numFmtId="3" fontId="11" fillId="3" borderId="2" xfId="2" applyNumberFormat="1" applyFont="1" applyFill="1" applyBorder="1" applyAlignment="1">
      <alignment horizontal="center" vertical="center"/>
    </xf>
    <xf numFmtId="49" fontId="17" fillId="0" borderId="2" xfId="2" quotePrefix="1" applyNumberFormat="1" applyFont="1" applyFill="1" applyBorder="1" applyAlignment="1" applyProtection="1">
      <alignment horizontal="left" vertical="center" wrapText="1"/>
    </xf>
    <xf numFmtId="4" fontId="17" fillId="0" borderId="2" xfId="2" applyNumberFormat="1" applyFont="1" applyBorder="1" applyAlignment="1">
      <alignment horizontal="center" vertical="center"/>
    </xf>
    <xf numFmtId="3" fontId="17" fillId="0" borderId="2" xfId="2" applyNumberFormat="1" applyFont="1" applyBorder="1" applyAlignment="1">
      <alignment horizontal="center" vertical="center"/>
    </xf>
    <xf numFmtId="4" fontId="17" fillId="0" borderId="2" xfId="2" applyNumberFormat="1" applyFont="1" applyBorder="1"/>
    <xf numFmtId="0" fontId="7" fillId="0" borderId="0" xfId="0" applyFont="1"/>
    <xf numFmtId="49" fontId="17" fillId="0" borderId="2" xfId="0" applyNumberFormat="1" applyFont="1" applyBorder="1" applyAlignment="1">
      <alignment horizontal="left" vertical="center" wrapText="1"/>
    </xf>
    <xf numFmtId="4" fontId="11" fillId="0" borderId="0" xfId="2" applyNumberFormat="1" applyFont="1" applyFill="1" applyAlignment="1">
      <alignment vertical="center" wrapText="1"/>
    </xf>
    <xf numFmtId="14" fontId="11" fillId="0" borderId="0" xfId="2" applyNumberFormat="1" applyFont="1" applyBorder="1" applyAlignment="1">
      <alignment horizontal="center" vertical="center" wrapText="1"/>
    </xf>
    <xf numFmtId="14" fontId="11" fillId="0" borderId="0" xfId="2" applyNumberFormat="1" applyFont="1" applyAlignment="1">
      <alignment horizontal="center"/>
    </xf>
    <xf numFmtId="0" fontId="26" fillId="0" borderId="0" xfId="2" applyFont="1"/>
    <xf numFmtId="0" fontId="21" fillId="0" borderId="0" xfId="2" applyFont="1" applyAlignment="1">
      <alignment horizontal="center" vertical="center" wrapText="1"/>
    </xf>
    <xf numFmtId="0" fontId="26" fillId="0" borderId="0" xfId="2" applyFont="1" applyAlignment="1">
      <alignment horizontal="center"/>
    </xf>
    <xf numFmtId="14" fontId="26" fillId="0" borderId="0" xfId="2" applyNumberFormat="1" applyFont="1" applyBorder="1" applyAlignment="1">
      <alignment horizontal="center" vertical="center" wrapText="1"/>
    </xf>
    <xf numFmtId="14" fontId="26" fillId="0" borderId="0" xfId="2" applyNumberFormat="1" applyFont="1" applyAlignment="1">
      <alignment horizontal="center"/>
    </xf>
    <xf numFmtId="0" fontId="27" fillId="0" borderId="0" xfId="2" applyFont="1"/>
    <xf numFmtId="0" fontId="27" fillId="5" borderId="2" xfId="2" applyFont="1" applyFill="1" applyBorder="1" applyAlignment="1">
      <alignment horizontal="center" vertical="center" wrapText="1"/>
    </xf>
    <xf numFmtId="0" fontId="26" fillId="5" borderId="2" xfId="2" applyFont="1" applyFill="1" applyBorder="1" applyAlignment="1">
      <alignment horizontal="center"/>
    </xf>
    <xf numFmtId="49" fontId="26" fillId="3" borderId="2" xfId="2" applyNumberFormat="1" applyFont="1" applyFill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left" vertical="center" wrapText="1"/>
    </xf>
    <xf numFmtId="3" fontId="26" fillId="3" borderId="2" xfId="2" applyNumberFormat="1" applyFont="1" applyFill="1" applyBorder="1" applyAlignment="1">
      <alignment horizontal="center" vertical="center" wrapText="1"/>
    </xf>
    <xf numFmtId="4" fontId="26" fillId="3" borderId="2" xfId="2" applyNumberFormat="1" applyFont="1" applyFill="1" applyBorder="1" applyAlignment="1">
      <alignment horizontal="center"/>
    </xf>
    <xf numFmtId="4" fontId="26" fillId="3" borderId="2" xfId="2" applyNumberFormat="1" applyFont="1" applyFill="1" applyBorder="1" applyAlignment="1">
      <alignment horizontal="center" vertical="center"/>
    </xf>
    <xf numFmtId="0" fontId="21" fillId="5" borderId="2" xfId="2" applyFont="1" applyFill="1" applyBorder="1" applyAlignment="1">
      <alignment vertical="center" wrapText="1"/>
    </xf>
    <xf numFmtId="3" fontId="21" fillId="5" borderId="2" xfId="2" applyNumberFormat="1" applyFont="1" applyFill="1" applyBorder="1" applyAlignment="1">
      <alignment horizontal="center" vertical="center" wrapText="1"/>
    </xf>
    <xf numFmtId="4" fontId="21" fillId="5" borderId="2" xfId="2" applyNumberFormat="1" applyFont="1" applyFill="1" applyBorder="1" applyAlignment="1">
      <alignment horizontal="center" vertical="center" wrapText="1"/>
    </xf>
    <xf numFmtId="0" fontId="27" fillId="0" borderId="2" xfId="2" applyFont="1" applyBorder="1" applyAlignment="1">
      <alignment vertical="center" wrapText="1"/>
    </xf>
    <xf numFmtId="0" fontId="27" fillId="0" borderId="2" xfId="2" applyFont="1" applyBorder="1" applyAlignment="1">
      <alignment horizontal="justify" vertical="center" wrapText="1"/>
    </xf>
    <xf numFmtId="3" fontId="27" fillId="0" borderId="2" xfId="2" applyNumberFormat="1" applyFont="1" applyBorder="1" applyAlignment="1">
      <alignment horizontal="center" vertical="center" wrapText="1"/>
    </xf>
    <xf numFmtId="4" fontId="27" fillId="0" borderId="2" xfId="2" applyNumberFormat="1" applyFont="1" applyBorder="1" applyAlignment="1">
      <alignment horizontal="center" vertical="center"/>
    </xf>
    <xf numFmtId="3" fontId="26" fillId="0" borderId="2" xfId="2" applyNumberFormat="1" applyFont="1" applyFill="1" applyBorder="1" applyAlignment="1">
      <alignment horizontal="center"/>
    </xf>
    <xf numFmtId="4" fontId="26" fillId="0" borderId="2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27" fillId="0" borderId="2" xfId="0" quotePrefix="1" applyFont="1" applyBorder="1" applyAlignment="1">
      <alignment horizontal="center" vertical="center" wrapText="1"/>
    </xf>
    <xf numFmtId="164" fontId="11" fillId="0" borderId="0" xfId="2" applyNumberFormat="1" applyFont="1" applyAlignment="1">
      <alignment horizontal="center"/>
    </xf>
    <xf numFmtId="0" fontId="14" fillId="0" borderId="0" xfId="2" applyFont="1" applyAlignment="1">
      <alignment wrapText="1"/>
    </xf>
    <xf numFmtId="0" fontId="14" fillId="0" borderId="1" xfId="2" applyFont="1" applyBorder="1"/>
    <xf numFmtId="0" fontId="27" fillId="0" borderId="2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4" fillId="0" borderId="0" xfId="2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top" wrapText="1"/>
    </xf>
    <xf numFmtId="49" fontId="29" fillId="0" borderId="8" xfId="0" applyNumberFormat="1" applyFont="1" applyFill="1" applyBorder="1" applyAlignment="1">
      <alignment horizontal="justify" vertical="center" wrapText="1"/>
    </xf>
    <xf numFmtId="49" fontId="29" fillId="0" borderId="0" xfId="0" applyNumberFormat="1" applyFont="1" applyFill="1" applyBorder="1" applyAlignment="1">
      <alignment horizontal="justify" vertical="center" wrapText="1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27" fillId="5" borderId="2" xfId="2" applyFont="1" applyFill="1" applyBorder="1" applyAlignment="1">
      <alignment horizontal="center" vertical="center" wrapText="1"/>
    </xf>
    <xf numFmtId="0" fontId="27" fillId="5" borderId="3" xfId="2" applyFont="1" applyFill="1" applyBorder="1" applyAlignment="1">
      <alignment horizontal="center" vertical="center" wrapText="1"/>
    </xf>
    <xf numFmtId="0" fontId="27" fillId="5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1" fillId="0" borderId="0" xfId="2" applyAlignment="1">
      <alignment horizontal="left" wrapText="1"/>
    </xf>
    <xf numFmtId="0" fontId="11" fillId="0" borderId="0" xfId="2" applyFont="1" applyAlignment="1">
      <alignment horizontal="left" vertical="center" wrapText="1"/>
    </xf>
    <xf numFmtId="0" fontId="11" fillId="0" borderId="0" xfId="2" applyFont="1" applyFill="1" applyAlignment="1">
      <alignment horizontal="left" vertical="center" wrapText="1"/>
    </xf>
    <xf numFmtId="49" fontId="11" fillId="0" borderId="0" xfId="2" applyNumberFormat="1" applyFont="1" applyAlignment="1">
      <alignment horizontal="left" wrapText="1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center" wrapText="1"/>
    </xf>
    <xf numFmtId="0" fontId="17" fillId="0" borderId="3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 wrapText="1"/>
    </xf>
    <xf numFmtId="0" fontId="17" fillId="0" borderId="5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11" fillId="0" borderId="0" xfId="2" applyFont="1" applyAlignment="1">
      <alignment horizontal="left" wrapText="1"/>
    </xf>
    <xf numFmtId="0" fontId="15" fillId="0" borderId="4" xfId="2" applyFont="1" applyBorder="1" applyAlignment="1">
      <alignment horizontal="center"/>
    </xf>
    <xf numFmtId="0" fontId="12" fillId="0" borderId="0" xfId="2" applyFont="1" applyAlignment="1">
      <alignment horizontal="center" vertical="center" wrapText="1"/>
    </xf>
    <xf numFmtId="0" fontId="11" fillId="0" borderId="0" xfId="2" applyFont="1" applyFill="1" applyAlignment="1">
      <alignment horizontal="left" wrapText="1"/>
    </xf>
    <xf numFmtId="0" fontId="11" fillId="0" borderId="0" xfId="2" applyFont="1" applyFill="1" applyAlignment="1">
      <alignment horizontal="left" vertical="center"/>
    </xf>
    <xf numFmtId="0" fontId="11" fillId="0" borderId="0" xfId="2" applyFont="1" applyFill="1" applyAlignment="1">
      <alignment horizontal="left" vertical="top" wrapText="1"/>
    </xf>
    <xf numFmtId="0" fontId="11" fillId="0" borderId="0" xfId="2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vertical="top" wrapText="1"/>
    </xf>
    <xf numFmtId="49" fontId="2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31" sqref="B31"/>
    </sheetView>
  </sheetViews>
  <sheetFormatPr defaultRowHeight="12.75" x14ac:dyDescent="0.2"/>
  <cols>
    <col min="2" max="2" width="61.5703125" customWidth="1"/>
    <col min="3" max="3" width="19.140625" customWidth="1"/>
    <col min="4" max="4" width="16.85546875" customWidth="1"/>
    <col min="5" max="5" width="16.42578125" customWidth="1"/>
  </cols>
  <sheetData>
    <row r="1" spans="1:5" ht="15.75" x14ac:dyDescent="0.25">
      <c r="A1" s="158"/>
      <c r="E1" s="159"/>
    </row>
    <row r="2" spans="1:5" ht="15.75" x14ac:dyDescent="0.25">
      <c r="A2" s="158"/>
      <c r="E2" s="159"/>
    </row>
    <row r="3" spans="1:5" ht="15.75" x14ac:dyDescent="0.2">
      <c r="A3" s="173" t="s">
        <v>421</v>
      </c>
      <c r="B3" s="173"/>
      <c r="C3" s="173"/>
      <c r="D3" s="173"/>
      <c r="E3" s="173"/>
    </row>
    <row r="4" spans="1:5" ht="45.75" customHeight="1" x14ac:dyDescent="0.2">
      <c r="A4" s="174" t="s">
        <v>446</v>
      </c>
      <c r="B4" s="174"/>
      <c r="C4" s="174"/>
      <c r="D4" s="174"/>
      <c r="E4" s="174"/>
    </row>
    <row r="5" spans="1:5" ht="15.75" x14ac:dyDescent="0.2">
      <c r="A5" s="160"/>
    </row>
    <row r="6" spans="1:5" ht="15.75" x14ac:dyDescent="0.2">
      <c r="A6" s="175" t="s">
        <v>1</v>
      </c>
      <c r="B6" s="175" t="s">
        <v>422</v>
      </c>
      <c r="C6" s="175" t="s">
        <v>423</v>
      </c>
      <c r="D6" s="175"/>
      <c r="E6" s="175"/>
    </row>
    <row r="7" spans="1:5" ht="31.5" x14ac:dyDescent="0.2">
      <c r="A7" s="175"/>
      <c r="B7" s="175"/>
      <c r="C7" s="161" t="s">
        <v>424</v>
      </c>
      <c r="D7" s="161" t="s">
        <v>425</v>
      </c>
      <c r="E7" s="161" t="s">
        <v>426</v>
      </c>
    </row>
    <row r="8" spans="1:5" ht="15.75" x14ac:dyDescent="0.2">
      <c r="A8" s="162"/>
      <c r="B8" s="162">
        <v>2</v>
      </c>
      <c r="C8" s="162">
        <v>3</v>
      </c>
      <c r="D8" s="162">
        <v>4</v>
      </c>
      <c r="E8" s="162">
        <v>5</v>
      </c>
    </row>
    <row r="9" spans="1:5" ht="15.75" x14ac:dyDescent="0.2">
      <c r="A9" s="162">
        <v>1</v>
      </c>
      <c r="B9" s="169" t="s">
        <v>427</v>
      </c>
      <c r="C9" s="163">
        <v>44075</v>
      </c>
      <c r="D9" s="163">
        <v>44075</v>
      </c>
      <c r="E9" s="162">
        <v>1</v>
      </c>
    </row>
    <row r="10" spans="1:5" ht="15.75" x14ac:dyDescent="0.2">
      <c r="A10" s="162">
        <v>2</v>
      </c>
      <c r="B10" s="170" t="s">
        <v>428</v>
      </c>
      <c r="C10" s="171"/>
      <c r="D10" s="171"/>
      <c r="E10" s="172"/>
    </row>
    <row r="11" spans="1:5" ht="31.5" x14ac:dyDescent="0.2">
      <c r="A11" s="165" t="s">
        <v>438</v>
      </c>
      <c r="B11" s="169" t="s">
        <v>429</v>
      </c>
      <c r="C11" s="163">
        <v>44075</v>
      </c>
      <c r="D11" s="163">
        <v>44077</v>
      </c>
      <c r="E11" s="162">
        <v>3</v>
      </c>
    </row>
    <row r="12" spans="1:5" ht="15.75" x14ac:dyDescent="0.2">
      <c r="A12" s="165" t="s">
        <v>439</v>
      </c>
      <c r="B12" s="169" t="s">
        <v>430</v>
      </c>
      <c r="C12" s="163">
        <v>44077</v>
      </c>
      <c r="D12" s="163">
        <v>44092</v>
      </c>
      <c r="E12" s="162">
        <v>15</v>
      </c>
    </row>
    <row r="13" spans="1:5" ht="15.75" x14ac:dyDescent="0.2">
      <c r="A13" s="162"/>
      <c r="B13" s="161" t="s">
        <v>431</v>
      </c>
      <c r="C13" s="164">
        <v>44075</v>
      </c>
      <c r="D13" s="164">
        <v>44092</v>
      </c>
      <c r="E13" s="161">
        <v>18</v>
      </c>
    </row>
    <row r="14" spans="1:5" ht="15.75" x14ac:dyDescent="0.2">
      <c r="A14" s="162">
        <v>3</v>
      </c>
      <c r="B14" s="170" t="s">
        <v>432</v>
      </c>
      <c r="C14" s="171"/>
      <c r="D14" s="171"/>
      <c r="E14" s="172"/>
    </row>
    <row r="15" spans="1:5" ht="15.75" x14ac:dyDescent="0.2">
      <c r="A15" s="165" t="s">
        <v>355</v>
      </c>
      <c r="B15" s="169" t="s">
        <v>433</v>
      </c>
      <c r="C15" s="163">
        <v>44092</v>
      </c>
      <c r="D15" s="163">
        <v>44134</v>
      </c>
      <c r="E15" s="162">
        <v>42</v>
      </c>
    </row>
    <row r="16" spans="1:5" ht="15.75" x14ac:dyDescent="0.2">
      <c r="A16" s="162"/>
      <c r="B16" s="161" t="s">
        <v>434</v>
      </c>
      <c r="C16" s="164">
        <v>44092</v>
      </c>
      <c r="D16" s="164">
        <v>44134</v>
      </c>
      <c r="E16" s="161">
        <v>42</v>
      </c>
    </row>
    <row r="17" spans="1:5" ht="15.75" x14ac:dyDescent="0.2">
      <c r="A17" s="162">
        <v>4</v>
      </c>
      <c r="B17" s="170" t="s">
        <v>435</v>
      </c>
      <c r="C17" s="171"/>
      <c r="D17" s="171"/>
      <c r="E17" s="172"/>
    </row>
    <row r="18" spans="1:5" ht="15.75" x14ac:dyDescent="0.2">
      <c r="A18" s="165" t="s">
        <v>440</v>
      </c>
      <c r="B18" s="169" t="s">
        <v>436</v>
      </c>
      <c r="C18" s="163">
        <v>44136</v>
      </c>
      <c r="D18" s="163">
        <f>C18+E18</f>
        <v>44226</v>
      </c>
      <c r="E18" s="162">
        <v>90</v>
      </c>
    </row>
    <row r="19" spans="1:5" ht="15.75" x14ac:dyDescent="0.2">
      <c r="A19" s="162"/>
      <c r="B19" s="161" t="s">
        <v>437</v>
      </c>
      <c r="C19" s="164">
        <v>44136</v>
      </c>
      <c r="D19" s="164">
        <f>C19+E19</f>
        <v>44226</v>
      </c>
      <c r="E19" s="161">
        <v>90</v>
      </c>
    </row>
  </sheetData>
  <mergeCells count="8">
    <mergeCell ref="B14:E14"/>
    <mergeCell ref="B17:E17"/>
    <mergeCell ref="A3:E3"/>
    <mergeCell ref="A4:E4"/>
    <mergeCell ref="A6:A7"/>
    <mergeCell ref="B6:B7"/>
    <mergeCell ref="C6:E6"/>
    <mergeCell ref="B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22" sqref="A22"/>
    </sheetView>
  </sheetViews>
  <sheetFormatPr defaultRowHeight="12.75" x14ac:dyDescent="0.2"/>
  <cols>
    <col min="1" max="1" width="49.85546875" customWidth="1"/>
    <col min="2" max="2" width="30" customWidth="1"/>
    <col min="3" max="3" width="27.28515625" customWidth="1"/>
  </cols>
  <sheetData>
    <row r="1" spans="1:3" x14ac:dyDescent="0.2">
      <c r="A1" s="177" t="s">
        <v>379</v>
      </c>
      <c r="B1" s="177"/>
      <c r="C1" s="177"/>
    </row>
    <row r="2" spans="1:3" x14ac:dyDescent="0.2">
      <c r="A2" s="177" t="s">
        <v>380</v>
      </c>
      <c r="B2" s="177"/>
      <c r="C2" s="177"/>
    </row>
    <row r="3" spans="1:3" ht="33.75" customHeight="1" x14ac:dyDescent="0.2">
      <c r="A3" s="178" t="s">
        <v>447</v>
      </c>
      <c r="B3" s="178"/>
      <c r="C3" s="178"/>
    </row>
    <row r="4" spans="1:3" ht="118.5" customHeight="1" x14ac:dyDescent="0.2">
      <c r="A4" s="179" t="s">
        <v>441</v>
      </c>
      <c r="B4" s="179"/>
      <c r="C4" s="179"/>
    </row>
    <row r="5" spans="1:3" ht="23.45" customHeight="1" x14ac:dyDescent="0.2">
      <c r="A5" s="178" t="s">
        <v>413</v>
      </c>
      <c r="B5" s="178"/>
      <c r="C5" s="178"/>
    </row>
    <row r="6" spans="1:3" ht="39" customHeight="1" x14ac:dyDescent="0.2">
      <c r="A6" s="181" t="s">
        <v>416</v>
      </c>
      <c r="B6" s="181"/>
      <c r="C6" s="181"/>
    </row>
    <row r="7" spans="1:3" ht="17.25" customHeight="1" x14ac:dyDescent="0.2">
      <c r="A7" s="182" t="s">
        <v>414</v>
      </c>
      <c r="B7" s="183"/>
      <c r="C7" s="183"/>
    </row>
    <row r="8" spans="1:3" ht="44.45" customHeight="1" x14ac:dyDescent="0.2">
      <c r="A8" s="180" t="s">
        <v>415</v>
      </c>
      <c r="B8" s="180"/>
      <c r="C8" s="180"/>
    </row>
    <row r="9" spans="1:3" ht="30" customHeight="1" x14ac:dyDescent="0.2">
      <c r="A9" s="180" t="s">
        <v>381</v>
      </c>
      <c r="B9" s="180"/>
      <c r="C9" s="180"/>
    </row>
    <row r="10" spans="1:3" x14ac:dyDescent="0.2">
      <c r="A10" s="180" t="s">
        <v>419</v>
      </c>
      <c r="B10" s="180"/>
      <c r="C10" s="180"/>
    </row>
    <row r="11" spans="1:3" x14ac:dyDescent="0.2">
      <c r="A11" s="107"/>
      <c r="B11" s="107"/>
      <c r="C11" s="107"/>
    </row>
    <row r="12" spans="1:3" x14ac:dyDescent="0.2">
      <c r="A12" s="108" t="s">
        <v>417</v>
      </c>
      <c r="B12" s="109"/>
      <c r="C12" s="108"/>
    </row>
    <row r="13" spans="1:3" x14ac:dyDescent="0.2">
      <c r="A13" s="176"/>
      <c r="B13" s="176"/>
      <c r="C13" s="176"/>
    </row>
    <row r="14" spans="1:3" x14ac:dyDescent="0.2">
      <c r="A14" s="108"/>
      <c r="B14" s="109">
        <f>НМЦ!E13</f>
        <v>21862690</v>
      </c>
      <c r="C14" s="108" t="s">
        <v>418</v>
      </c>
    </row>
  </sheetData>
  <mergeCells count="11">
    <mergeCell ref="A13:C13"/>
    <mergeCell ref="A1:C1"/>
    <mergeCell ref="A2:C2"/>
    <mergeCell ref="A3:C3"/>
    <mergeCell ref="A4:C4"/>
    <mergeCell ref="A5:C5"/>
    <mergeCell ref="A10:C10"/>
    <mergeCell ref="A6:C6"/>
    <mergeCell ref="A7:C7"/>
    <mergeCell ref="A8:C8"/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3" sqref="E13"/>
    </sheetView>
  </sheetViews>
  <sheetFormatPr defaultRowHeight="12.75" x14ac:dyDescent="0.2"/>
  <cols>
    <col min="2" max="2" width="34.28515625" customWidth="1"/>
    <col min="3" max="3" width="22" customWidth="1"/>
    <col min="4" max="4" width="20" customWidth="1"/>
    <col min="5" max="5" width="20.7109375" customWidth="1"/>
  </cols>
  <sheetData>
    <row r="1" spans="1:5" ht="15.75" x14ac:dyDescent="0.25">
      <c r="A1" s="136"/>
      <c r="B1" s="136"/>
      <c r="C1" s="136"/>
      <c r="D1" s="136"/>
      <c r="E1" s="136"/>
    </row>
    <row r="2" spans="1:5" ht="15.75" x14ac:dyDescent="0.2">
      <c r="A2" s="184" t="s">
        <v>366</v>
      </c>
      <c r="B2" s="184"/>
      <c r="C2" s="184"/>
      <c r="D2" s="184"/>
      <c r="E2" s="184"/>
    </row>
    <row r="3" spans="1:5" ht="51" customHeight="1" x14ac:dyDescent="0.2">
      <c r="A3" s="185" t="s">
        <v>446</v>
      </c>
      <c r="B3" s="185"/>
      <c r="C3" s="185"/>
      <c r="D3" s="185"/>
      <c r="E3" s="185"/>
    </row>
    <row r="4" spans="1:5" ht="15.75" x14ac:dyDescent="0.2">
      <c r="A4" s="137"/>
      <c r="B4" s="137"/>
      <c r="C4" s="137"/>
      <c r="D4" s="137"/>
      <c r="E4" s="137"/>
    </row>
    <row r="5" spans="1:5" ht="15.75" x14ac:dyDescent="0.25">
      <c r="A5" s="105" t="s">
        <v>367</v>
      </c>
      <c r="B5" s="105"/>
      <c r="C5" s="138" t="s">
        <v>412</v>
      </c>
      <c r="D5" s="105"/>
      <c r="E5" s="136"/>
    </row>
    <row r="6" spans="1:5" ht="15.75" x14ac:dyDescent="0.25">
      <c r="A6" s="105" t="s">
        <v>368</v>
      </c>
      <c r="B6" s="105"/>
      <c r="C6" s="139"/>
      <c r="D6" s="105"/>
      <c r="E6" s="136"/>
    </row>
    <row r="7" spans="1:5" ht="15.75" x14ac:dyDescent="0.25">
      <c r="A7" s="105" t="s">
        <v>369</v>
      </c>
      <c r="B7" s="105"/>
      <c r="C7" s="140"/>
      <c r="D7" s="106"/>
      <c r="E7" s="136"/>
    </row>
    <row r="8" spans="1:5" ht="15.75" x14ac:dyDescent="0.25">
      <c r="A8" s="105"/>
      <c r="B8" s="141"/>
      <c r="C8" s="141"/>
      <c r="D8" s="136"/>
      <c r="E8" s="136"/>
    </row>
    <row r="9" spans="1:5" ht="15.75" x14ac:dyDescent="0.2">
      <c r="A9" s="186" t="s">
        <v>370</v>
      </c>
      <c r="B9" s="187" t="s">
        <v>371</v>
      </c>
      <c r="C9" s="186" t="s">
        <v>372</v>
      </c>
      <c r="D9" s="186"/>
      <c r="E9" s="186"/>
    </row>
    <row r="10" spans="1:5" ht="15.75" x14ac:dyDescent="0.2">
      <c r="A10" s="186"/>
      <c r="B10" s="188"/>
      <c r="C10" s="142" t="s">
        <v>373</v>
      </c>
      <c r="D10" s="142" t="s">
        <v>374</v>
      </c>
      <c r="E10" s="142" t="s">
        <v>375</v>
      </c>
    </row>
    <row r="11" spans="1:5" ht="15.75" x14ac:dyDescent="0.25">
      <c r="A11" s="142">
        <v>1</v>
      </c>
      <c r="B11" s="142">
        <v>2</v>
      </c>
      <c r="C11" s="142">
        <v>3</v>
      </c>
      <c r="D11" s="143">
        <v>4</v>
      </c>
      <c r="E11" s="143">
        <v>5</v>
      </c>
    </row>
    <row r="12" spans="1:5" ht="71.25" customHeight="1" x14ac:dyDescent="0.25">
      <c r="A12" s="144" t="s">
        <v>420</v>
      </c>
      <c r="B12" s="145" t="s">
        <v>443</v>
      </c>
      <c r="C12" s="146">
        <f>'Расчет НМЦК'!G13</f>
        <v>21862690</v>
      </c>
      <c r="D12" s="147"/>
      <c r="E12" s="148">
        <f>C12+D12</f>
        <v>21862690</v>
      </c>
    </row>
    <row r="13" spans="1:5" ht="15.75" x14ac:dyDescent="0.2">
      <c r="A13" s="149"/>
      <c r="B13" s="149" t="s">
        <v>376</v>
      </c>
      <c r="C13" s="150">
        <f>C12</f>
        <v>21862690</v>
      </c>
      <c r="D13" s="150"/>
      <c r="E13" s="151">
        <f>E12</f>
        <v>21862690</v>
      </c>
    </row>
    <row r="14" spans="1:5" ht="53.25" customHeight="1" x14ac:dyDescent="0.2">
      <c r="A14" s="152"/>
      <c r="B14" s="153" t="s">
        <v>377</v>
      </c>
      <c r="C14" s="154">
        <f>'Расчет НМЦК'!G16-'Расчет НМЦК'!D16</f>
        <v>0</v>
      </c>
      <c r="D14" s="155"/>
      <c r="E14" s="155">
        <f>C14+D14</f>
        <v>0</v>
      </c>
    </row>
    <row r="15" spans="1:5" ht="15.75" x14ac:dyDescent="0.25">
      <c r="A15" s="136"/>
      <c r="B15" s="136"/>
      <c r="C15" s="136"/>
      <c r="D15" s="136"/>
      <c r="E15" s="136"/>
    </row>
    <row r="16" spans="1:5" ht="15.75" x14ac:dyDescent="0.25">
      <c r="A16" s="136" t="s">
        <v>378</v>
      </c>
      <c r="C16" s="156"/>
      <c r="D16" s="157"/>
      <c r="E16" s="157">
        <f>C16+D16</f>
        <v>0</v>
      </c>
    </row>
  </sheetData>
  <mergeCells count="5">
    <mergeCell ref="A2:E2"/>
    <mergeCell ref="A3:E3"/>
    <mergeCell ref="A9:A10"/>
    <mergeCell ref="B9:B10"/>
    <mergeCell ref="C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A8" sqref="A8"/>
    </sheetView>
  </sheetViews>
  <sheetFormatPr defaultRowHeight="12.75" x14ac:dyDescent="0.2"/>
  <cols>
    <col min="7" max="7" width="13.85546875" customWidth="1"/>
  </cols>
  <sheetData>
    <row r="1" spans="1:15" ht="15" x14ac:dyDescent="0.25">
      <c r="A1" s="190" t="s">
        <v>357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5" x14ac:dyDescent="0.25">
      <c r="A2" s="190" t="s">
        <v>358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ht="39.75" customHeight="1" x14ac:dyDescent="0.25">
      <c r="A4" s="101" t="s">
        <v>359</v>
      </c>
      <c r="B4" s="60"/>
      <c r="C4" s="191" t="s">
        <v>447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5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ht="15" x14ac:dyDescent="0.25">
      <c r="A6" s="192" t="s">
        <v>360</v>
      </c>
      <c r="B6" s="192"/>
      <c r="C6" s="192"/>
      <c r="D6" s="192"/>
      <c r="E6" s="192"/>
      <c r="F6" s="192"/>
      <c r="G6" s="133">
        <f>'Расчет НМЦК'!G16</f>
        <v>21862690</v>
      </c>
      <c r="H6" s="61"/>
      <c r="I6" s="61"/>
      <c r="J6" s="61"/>
      <c r="K6" s="61"/>
      <c r="L6" s="61"/>
      <c r="M6" s="61"/>
      <c r="N6" s="61"/>
      <c r="O6" s="61"/>
    </row>
    <row r="7" spans="1:15" ht="15" x14ac:dyDescent="0.2">
      <c r="A7" s="193" t="s">
        <v>453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5" x14ac:dyDescent="0.25">
      <c r="A8" s="61" t="s">
        <v>361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5" x14ac:dyDescent="0.25">
      <c r="A9" s="103" t="s">
        <v>410</v>
      </c>
      <c r="B9" s="103"/>
      <c r="C9" s="103"/>
      <c r="D9" s="103"/>
      <c r="E9" s="103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36.75" customHeight="1" x14ac:dyDescent="0.25">
      <c r="A10" s="194" t="s">
        <v>362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</row>
    <row r="11" spans="1:15" ht="15" x14ac:dyDescent="0.25">
      <c r="A11" s="103" t="s">
        <v>363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61"/>
      <c r="M11" s="61"/>
      <c r="N11" s="61"/>
      <c r="O11" s="61"/>
    </row>
    <row r="12" spans="1:15" ht="15" x14ac:dyDescent="0.25">
      <c r="A12" s="103" t="s">
        <v>411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61"/>
      <c r="M12" s="61"/>
      <c r="N12" s="61"/>
      <c r="O12" s="61"/>
    </row>
    <row r="13" spans="1:15" ht="15" x14ac:dyDescent="0.2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61"/>
      <c r="M13" s="61"/>
      <c r="N13" s="61"/>
      <c r="O13" s="61"/>
    </row>
    <row r="14" spans="1:15" ht="15" x14ac:dyDescent="0.25">
      <c r="A14" s="103" t="s">
        <v>364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61"/>
      <c r="M14" s="61"/>
      <c r="N14" s="61"/>
      <c r="O14" s="61"/>
    </row>
    <row r="15" spans="1:15" ht="15" x14ac:dyDescent="0.25">
      <c r="A15" s="103" t="s">
        <v>365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61"/>
      <c r="M15" s="61"/>
      <c r="N15" s="61"/>
      <c r="O15" s="61"/>
    </row>
    <row r="16" spans="1:15" ht="15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61"/>
      <c r="M16" s="61"/>
      <c r="N16" s="61"/>
      <c r="O16" s="61"/>
    </row>
    <row r="17" spans="1:15" ht="15" x14ac:dyDescent="0.25">
      <c r="A17" s="61" t="s">
        <v>328</v>
      </c>
      <c r="B17" s="61"/>
      <c r="C17" s="61"/>
      <c r="D17" s="61"/>
      <c r="E17" s="61"/>
      <c r="F17" s="61"/>
      <c r="G17" s="103"/>
      <c r="H17" s="103"/>
      <c r="I17" s="103"/>
      <c r="J17" s="189"/>
      <c r="K17" s="189"/>
      <c r="L17" s="189"/>
      <c r="M17" s="189"/>
      <c r="N17" s="189"/>
      <c r="O17" s="189"/>
    </row>
    <row r="18" spans="1:15" ht="15" x14ac:dyDescent="0.25">
      <c r="A18" s="61"/>
      <c r="B18" s="60"/>
      <c r="C18" s="60"/>
      <c r="D18" s="60"/>
      <c r="E18" s="60"/>
      <c r="F18" s="60"/>
      <c r="G18" s="102"/>
      <c r="H18" s="102"/>
      <c r="I18" s="102"/>
      <c r="J18" s="104" t="s">
        <v>329</v>
      </c>
      <c r="K18" s="104"/>
      <c r="L18" s="104"/>
      <c r="M18" s="60"/>
      <c r="N18" s="60"/>
      <c r="O18" s="60"/>
    </row>
    <row r="19" spans="1:15" ht="15" x14ac:dyDescent="0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</sheetData>
  <mergeCells count="7">
    <mergeCell ref="J17:O17"/>
    <mergeCell ref="A1:O1"/>
    <mergeCell ref="A2:O2"/>
    <mergeCell ref="C4:O4"/>
    <mergeCell ref="A6:F6"/>
    <mergeCell ref="A7:O7"/>
    <mergeCell ref="A10:O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C20" sqref="C20"/>
    </sheetView>
  </sheetViews>
  <sheetFormatPr defaultRowHeight="12.75" outlineLevelCol="1" x14ac:dyDescent="0.2"/>
  <cols>
    <col min="1" max="1" width="6.28515625" customWidth="1"/>
    <col min="2" max="2" width="22" customWidth="1"/>
    <col min="3" max="3" width="35.28515625" customWidth="1"/>
    <col min="4" max="4" width="13.42578125" customWidth="1"/>
    <col min="5" max="5" width="13.28515625" customWidth="1"/>
    <col min="6" max="6" width="13.140625" hidden="1" customWidth="1" outlineLevel="1"/>
    <col min="7" max="7" width="11.7109375" hidden="1" customWidth="1" outlineLevel="1"/>
    <col min="8" max="8" width="12.140625" hidden="1" customWidth="1" outlineLevel="1"/>
    <col min="9" max="9" width="12.5703125" hidden="1" customWidth="1" outlineLevel="1"/>
    <col min="10" max="11" width="12" hidden="1" customWidth="1" outlineLevel="1"/>
    <col min="12" max="12" width="10.42578125" hidden="1" customWidth="1" outlineLevel="1"/>
    <col min="13" max="14" width="12.42578125" hidden="1" customWidth="1" outlineLevel="1"/>
    <col min="15" max="15" width="10.7109375" hidden="1" customWidth="1" outlineLevel="1"/>
    <col min="16" max="16" width="11.7109375" hidden="1" customWidth="1" outlineLevel="1"/>
    <col min="17" max="17" width="15.140625" hidden="1" customWidth="1" outlineLevel="1"/>
    <col min="18" max="18" width="13" hidden="1" customWidth="1" collapsed="1"/>
    <col min="19" max="19" width="12.42578125" hidden="1" customWidth="1"/>
    <col min="20" max="20" width="10.7109375" hidden="1" customWidth="1"/>
    <col min="21" max="21" width="11.85546875" hidden="1" customWidth="1"/>
  </cols>
  <sheetData>
    <row r="1" spans="1:22" x14ac:dyDescent="0.2">
      <c r="A1" s="195" t="s">
        <v>356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2" ht="33" customHeight="1" x14ac:dyDescent="0.2">
      <c r="A2" s="196" t="s">
        <v>446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1:22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2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2" x14ac:dyDescent="0.2">
      <c r="A5" s="197" t="s">
        <v>334</v>
      </c>
      <c r="B5" s="199" t="s">
        <v>335</v>
      </c>
      <c r="C5" s="199" t="s">
        <v>336</v>
      </c>
      <c r="D5" s="199" t="s">
        <v>337</v>
      </c>
      <c r="E5" s="199" t="s">
        <v>338</v>
      </c>
      <c r="F5" s="199" t="s">
        <v>352</v>
      </c>
      <c r="G5" s="199" t="s">
        <v>353</v>
      </c>
      <c r="H5" s="199" t="s">
        <v>330</v>
      </c>
      <c r="I5" s="199" t="s">
        <v>340</v>
      </c>
      <c r="J5" s="199" t="s">
        <v>341</v>
      </c>
      <c r="K5" s="199" t="s">
        <v>342</v>
      </c>
      <c r="L5" s="199" t="s">
        <v>343</v>
      </c>
      <c r="M5" s="199" t="s">
        <v>344</v>
      </c>
      <c r="N5" s="199" t="s">
        <v>345</v>
      </c>
      <c r="O5" s="201" t="s">
        <v>351</v>
      </c>
      <c r="P5" s="201"/>
      <c r="Q5" s="201"/>
      <c r="R5" s="199" t="s">
        <v>350</v>
      </c>
      <c r="S5" s="199" t="s">
        <v>349</v>
      </c>
      <c r="T5" s="202" t="s">
        <v>346</v>
      </c>
      <c r="U5" s="202"/>
    </row>
    <row r="6" spans="1:22" ht="85.9" customHeight="1" x14ac:dyDescent="0.2">
      <c r="A6" s="198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85" t="s">
        <v>339</v>
      </c>
      <c r="P6" s="85" t="s">
        <v>330</v>
      </c>
      <c r="Q6" s="85" t="s">
        <v>340</v>
      </c>
      <c r="R6" s="200"/>
      <c r="S6" s="200"/>
      <c r="T6" s="85" t="s">
        <v>347</v>
      </c>
      <c r="U6" s="78" t="s">
        <v>348</v>
      </c>
    </row>
    <row r="7" spans="1:22" x14ac:dyDescent="0.2">
      <c r="A7" s="86">
        <v>1</v>
      </c>
      <c r="B7" s="86"/>
      <c r="C7" s="86">
        <v>2</v>
      </c>
      <c r="D7" s="86">
        <v>3</v>
      </c>
      <c r="E7" s="86">
        <v>4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>
        <v>5</v>
      </c>
      <c r="U7" s="86">
        <v>6</v>
      </c>
    </row>
    <row r="8" spans="1:22" ht="24" x14ac:dyDescent="0.2">
      <c r="A8" s="120">
        <v>1</v>
      </c>
      <c r="B8" s="132" t="s">
        <v>23</v>
      </c>
      <c r="C8" s="89" t="s">
        <v>444</v>
      </c>
      <c r="D8" s="82" t="s">
        <v>382</v>
      </c>
      <c r="E8" s="79">
        <v>1</v>
      </c>
      <c r="F8" s="80"/>
      <c r="G8" s="80"/>
      <c r="H8" s="80"/>
      <c r="I8" s="81">
        <f>'Затраты Подрядчика по ССР'!H32</f>
        <v>4082.53</v>
      </c>
      <c r="J8" s="81"/>
      <c r="K8" s="81"/>
      <c r="L8" s="81"/>
      <c r="M8" s="81"/>
      <c r="N8" s="81"/>
      <c r="O8" s="81"/>
      <c r="P8" s="81"/>
      <c r="Q8" s="81">
        <f>'Затраты Подрядчика по ССР'!H182</f>
        <v>21862.69</v>
      </c>
      <c r="R8" s="81">
        <f>Q8</f>
        <v>21862.69</v>
      </c>
      <c r="S8" s="81"/>
      <c r="T8" s="81"/>
      <c r="U8" s="81"/>
      <c r="V8" s="131"/>
    </row>
    <row r="9" spans="1:22" x14ac:dyDescent="0.2">
      <c r="A9" s="93"/>
      <c r="B9" s="93"/>
      <c r="C9" s="94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5"/>
    </row>
    <row r="10" spans="1:22" ht="15" x14ac:dyDescent="0.25">
      <c r="A10" s="61"/>
      <c r="B10" s="61"/>
      <c r="C10" s="61"/>
      <c r="D10" s="60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2" ht="15" x14ac:dyDescent="0.25">
      <c r="A11" s="61"/>
      <c r="B11" s="61"/>
      <c r="C11" s="61"/>
      <c r="D11" s="60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</row>
    <row r="14" spans="1:22" x14ac:dyDescent="0.2">
      <c r="O14" s="100"/>
    </row>
  </sheetData>
  <mergeCells count="21">
    <mergeCell ref="E11:U11"/>
    <mergeCell ref="I5:I6"/>
    <mergeCell ref="J5:J6"/>
    <mergeCell ref="K5:K6"/>
    <mergeCell ref="L5:L6"/>
    <mergeCell ref="M5:M6"/>
    <mergeCell ref="N5:N6"/>
    <mergeCell ref="A1:U1"/>
    <mergeCell ref="A2:U2"/>
    <mergeCell ref="A5:A6"/>
    <mergeCell ref="B5:B6"/>
    <mergeCell ref="C5:C6"/>
    <mergeCell ref="D5:D6"/>
    <mergeCell ref="E5:E6"/>
    <mergeCell ref="F5:F6"/>
    <mergeCell ref="G5:G6"/>
    <mergeCell ref="H5:H6"/>
    <mergeCell ref="O5:Q5"/>
    <mergeCell ref="R5:R6"/>
    <mergeCell ref="S5:S6"/>
    <mergeCell ref="T5:U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85" zoomScaleNormal="85" workbookViewId="0">
      <selection activeCell="E29" sqref="E29"/>
    </sheetView>
  </sheetViews>
  <sheetFormatPr defaultRowHeight="12.75" outlineLevelCol="2" x14ac:dyDescent="0.2"/>
  <cols>
    <col min="1" max="1" width="6.28515625" customWidth="1"/>
    <col min="2" max="2" width="22" customWidth="1"/>
    <col min="3" max="3" width="35.28515625" customWidth="1"/>
    <col min="4" max="4" width="13.42578125" customWidth="1"/>
    <col min="5" max="5" width="13.28515625" customWidth="1"/>
    <col min="6" max="6" width="13.140625" hidden="1" customWidth="1" outlineLevel="2"/>
    <col min="7" max="7" width="11.7109375" hidden="1" customWidth="1" outlineLevel="2"/>
    <col min="8" max="8" width="12.140625" hidden="1" customWidth="1" outlineLevel="2"/>
    <col min="9" max="9" width="12.5703125" hidden="1" customWidth="1" outlineLevel="2"/>
    <col min="10" max="11" width="12" hidden="1" customWidth="1" outlineLevel="2"/>
    <col min="12" max="12" width="10.42578125" hidden="1" customWidth="1" outlineLevel="2"/>
    <col min="13" max="14" width="12.42578125" hidden="1" customWidth="1" outlineLevel="2"/>
    <col min="15" max="15" width="10.7109375" hidden="1" customWidth="1" outlineLevel="2"/>
    <col min="16" max="16" width="11.7109375" hidden="1" customWidth="1" outlineLevel="2"/>
    <col min="17" max="17" width="15.140625" hidden="1" customWidth="1" outlineLevel="2"/>
    <col min="18" max="18" width="13" hidden="1" customWidth="1" outlineLevel="1"/>
    <col min="19" max="19" width="12.42578125" hidden="1" customWidth="1" outlineLevel="1"/>
    <col min="20" max="20" width="10.7109375" customWidth="1" collapsed="1"/>
    <col min="21" max="21" width="11.85546875" customWidth="1"/>
  </cols>
  <sheetData>
    <row r="1" spans="1:21" x14ac:dyDescent="0.2">
      <c r="A1" s="195" t="s">
        <v>333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33" customHeight="1" x14ac:dyDescent="0.2">
      <c r="A2" s="196" t="s">
        <v>447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1:21" x14ac:dyDescent="0.2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x14ac:dyDescent="0.2">
      <c r="A5" s="197" t="s">
        <v>334</v>
      </c>
      <c r="B5" s="199" t="s">
        <v>335</v>
      </c>
      <c r="C5" s="199" t="s">
        <v>336</v>
      </c>
      <c r="D5" s="199" t="s">
        <v>337</v>
      </c>
      <c r="E5" s="199" t="s">
        <v>338</v>
      </c>
      <c r="F5" s="199" t="s">
        <v>352</v>
      </c>
      <c r="G5" s="199" t="s">
        <v>353</v>
      </c>
      <c r="H5" s="199" t="s">
        <v>330</v>
      </c>
      <c r="I5" s="199" t="s">
        <v>340</v>
      </c>
      <c r="J5" s="199" t="s">
        <v>341</v>
      </c>
      <c r="K5" s="199" t="s">
        <v>342</v>
      </c>
      <c r="L5" s="199" t="s">
        <v>343</v>
      </c>
      <c r="M5" s="199" t="s">
        <v>344</v>
      </c>
      <c r="N5" s="199" t="s">
        <v>345</v>
      </c>
      <c r="O5" s="201" t="s">
        <v>409</v>
      </c>
      <c r="P5" s="201"/>
      <c r="Q5" s="201"/>
      <c r="R5" s="199" t="s">
        <v>350</v>
      </c>
      <c r="S5" s="199" t="s">
        <v>349</v>
      </c>
      <c r="T5" s="202" t="s">
        <v>346</v>
      </c>
      <c r="U5" s="202"/>
    </row>
    <row r="6" spans="1:21" ht="85.9" customHeight="1" x14ac:dyDescent="0.2">
      <c r="A6" s="198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85" t="s">
        <v>339</v>
      </c>
      <c r="P6" s="85" t="s">
        <v>330</v>
      </c>
      <c r="Q6" s="85" t="s">
        <v>340</v>
      </c>
      <c r="R6" s="200"/>
      <c r="S6" s="200"/>
      <c r="T6" s="85" t="s">
        <v>347</v>
      </c>
      <c r="U6" s="78" t="s">
        <v>348</v>
      </c>
    </row>
    <row r="7" spans="1:21" x14ac:dyDescent="0.2">
      <c r="A7" s="86">
        <v>1</v>
      </c>
      <c r="B7" s="86"/>
      <c r="C7" s="86">
        <v>2</v>
      </c>
      <c r="D7" s="86">
        <v>3</v>
      </c>
      <c r="E7" s="86">
        <v>4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>
        <v>5</v>
      </c>
      <c r="U7" s="86">
        <v>6</v>
      </c>
    </row>
    <row r="8" spans="1:21" ht="27.75" customHeight="1" x14ac:dyDescent="0.2">
      <c r="A8" s="120">
        <v>1</v>
      </c>
      <c r="B8" s="127" t="s">
        <v>23</v>
      </c>
      <c r="C8" s="89" t="s">
        <v>444</v>
      </c>
      <c r="D8" s="79" t="s">
        <v>382</v>
      </c>
      <c r="E8" s="79">
        <v>1</v>
      </c>
      <c r="F8" s="120"/>
      <c r="G8" s="120"/>
      <c r="H8" s="120"/>
      <c r="I8" s="128"/>
      <c r="J8" s="128"/>
      <c r="K8" s="128"/>
      <c r="L8" s="128"/>
      <c r="M8" s="128"/>
      <c r="N8" s="128"/>
      <c r="O8" s="128"/>
      <c r="P8" s="128"/>
      <c r="Q8" s="128">
        <f>'Затраты Подрядчика по ССР'!G182*1000</f>
        <v>21862690</v>
      </c>
      <c r="R8" s="128">
        <f>Q8</f>
        <v>21862690</v>
      </c>
      <c r="S8" s="129">
        <f>R8*'Расчет НМЦК'!C13*'Расчет НМЦК'!E13*'Расчет НМЦК'!I13</f>
        <v>21862690</v>
      </c>
      <c r="T8" s="128">
        <f>S8/E8</f>
        <v>21862690</v>
      </c>
      <c r="U8" s="128">
        <f>E8*T8</f>
        <v>21862690</v>
      </c>
    </row>
    <row r="9" spans="1:21" ht="24" x14ac:dyDescent="0.2">
      <c r="A9" s="88"/>
      <c r="B9" s="97"/>
      <c r="C9" s="98" t="s">
        <v>354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83"/>
      <c r="P9" s="83"/>
      <c r="Q9" s="83" t="e">
        <f>Q8+#REF!</f>
        <v>#REF!</v>
      </c>
      <c r="R9" s="83" t="e">
        <f>R8+#REF!</f>
        <v>#REF!</v>
      </c>
      <c r="S9" s="129" t="e">
        <f>S8+#REF!</f>
        <v>#REF!</v>
      </c>
      <c r="T9" s="90"/>
      <c r="U9" s="130">
        <f>U8</f>
        <v>21862690</v>
      </c>
    </row>
    <row r="10" spans="1:21" x14ac:dyDescent="0.2">
      <c r="A10" s="90"/>
      <c r="B10" s="90"/>
      <c r="C10" s="90" t="s">
        <v>407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2"/>
      <c r="Q10" s="90"/>
      <c r="R10" s="99"/>
      <c r="S10" s="90"/>
      <c r="T10" s="90"/>
      <c r="U10" s="90"/>
    </row>
    <row r="11" spans="1:21" ht="24" x14ac:dyDescent="0.2">
      <c r="A11" s="90"/>
      <c r="B11" s="90"/>
      <c r="C11" s="89" t="s">
        <v>445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9" t="e">
        <f>R9+R10</f>
        <v>#REF!</v>
      </c>
      <c r="S11" s="90"/>
      <c r="T11" s="90"/>
      <c r="U11" s="130">
        <f>U9</f>
        <v>21862690</v>
      </c>
    </row>
    <row r="12" spans="1:21" x14ac:dyDescent="0.2">
      <c r="A12" s="93"/>
      <c r="B12" s="93"/>
      <c r="C12" s="94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5"/>
    </row>
    <row r="13" spans="1:21" ht="15" x14ac:dyDescent="0.25">
      <c r="A13" s="61" t="s">
        <v>328</v>
      </c>
      <c r="B13" s="61"/>
      <c r="C13" s="61"/>
      <c r="D13" s="60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118"/>
      <c r="S13" s="96"/>
      <c r="T13" s="96"/>
      <c r="U13" s="96"/>
    </row>
    <row r="14" spans="1:21" ht="15" x14ac:dyDescent="0.25">
      <c r="A14" s="61"/>
      <c r="B14" s="61"/>
      <c r="C14" s="104" t="s">
        <v>329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</row>
    <row r="17" spans="15:15" x14ac:dyDescent="0.2">
      <c r="O17" s="100"/>
    </row>
  </sheetData>
  <mergeCells count="20">
    <mergeCell ref="G5:G6"/>
    <mergeCell ref="A1:U1"/>
    <mergeCell ref="A2:U2"/>
    <mergeCell ref="A5:A6"/>
    <mergeCell ref="B5:B6"/>
    <mergeCell ref="C5:C6"/>
    <mergeCell ref="D5:D6"/>
    <mergeCell ref="E5:E6"/>
    <mergeCell ref="F5:F6"/>
    <mergeCell ref="H5:H6"/>
    <mergeCell ref="I5:I6"/>
    <mergeCell ref="R5:R6"/>
    <mergeCell ref="S5:S6"/>
    <mergeCell ref="T5:U5"/>
    <mergeCell ref="J5:J6"/>
    <mergeCell ref="K5:K6"/>
    <mergeCell ref="L5:L6"/>
    <mergeCell ref="M5:M6"/>
    <mergeCell ref="N5:N6"/>
    <mergeCell ref="O5:Q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workbookViewId="0">
      <selection activeCell="B16" sqref="B16"/>
    </sheetView>
  </sheetViews>
  <sheetFormatPr defaultRowHeight="12.75" x14ac:dyDescent="0.2"/>
  <cols>
    <col min="1" max="1" width="42.85546875" customWidth="1"/>
    <col min="2" max="2" width="30.7109375" customWidth="1"/>
    <col min="3" max="3" width="13.28515625" customWidth="1"/>
    <col min="4" max="4" width="14.42578125" customWidth="1"/>
    <col min="5" max="5" width="16.85546875" customWidth="1"/>
    <col min="6" max="6" width="15.5703125" customWidth="1"/>
    <col min="7" max="7" width="19.85546875" customWidth="1"/>
  </cols>
  <sheetData>
    <row r="1" spans="1:9" ht="55.5" customHeight="1" x14ac:dyDescent="0.2">
      <c r="A1" s="206" t="s">
        <v>448</v>
      </c>
      <c r="B1" s="206"/>
      <c r="C1" s="206"/>
      <c r="D1" s="206"/>
      <c r="E1" s="206"/>
      <c r="F1" s="206"/>
      <c r="G1" s="206"/>
    </row>
    <row r="2" spans="1:9" ht="15" x14ac:dyDescent="0.2">
      <c r="A2" s="122"/>
      <c r="B2" s="122"/>
      <c r="C2" s="122"/>
      <c r="D2" s="122"/>
      <c r="E2" s="122"/>
      <c r="F2" s="122"/>
      <c r="G2" s="122"/>
    </row>
    <row r="3" spans="1:9" ht="15" x14ac:dyDescent="0.25">
      <c r="A3" s="204"/>
      <c r="B3" s="204"/>
      <c r="C3" s="204"/>
      <c r="D3" s="204"/>
      <c r="E3" s="204"/>
      <c r="F3" s="204"/>
      <c r="G3" s="204"/>
    </row>
    <row r="4" spans="1:9" ht="33" customHeight="1" x14ac:dyDescent="0.25">
      <c r="A4" s="207" t="s">
        <v>442</v>
      </c>
      <c r="B4" s="207"/>
      <c r="C4" s="207"/>
      <c r="D4" s="207"/>
      <c r="E4" s="207"/>
      <c r="F4" s="207"/>
      <c r="G4" s="207"/>
    </row>
    <row r="5" spans="1:9" ht="15" x14ac:dyDescent="0.25">
      <c r="A5" s="60"/>
      <c r="B5" s="60"/>
      <c r="C5" s="60"/>
      <c r="D5" s="60"/>
      <c r="E5" s="60"/>
      <c r="F5" s="60"/>
      <c r="G5" s="60"/>
    </row>
    <row r="6" spans="1:9" ht="15" x14ac:dyDescent="0.25">
      <c r="A6" s="61" t="s">
        <v>312</v>
      </c>
      <c r="B6" s="60"/>
      <c r="C6" s="60"/>
      <c r="D6" s="60"/>
      <c r="E6" s="60"/>
      <c r="F6" s="60"/>
      <c r="G6" s="60"/>
    </row>
    <row r="7" spans="1:9" ht="36.6" customHeight="1" x14ac:dyDescent="0.2">
      <c r="A7" s="208" t="s">
        <v>404</v>
      </c>
      <c r="B7" s="208"/>
      <c r="C7" s="208"/>
      <c r="D7" s="208"/>
      <c r="E7" s="208"/>
      <c r="F7" s="208"/>
      <c r="G7" s="208"/>
    </row>
    <row r="8" spans="1:9" ht="39" customHeight="1" x14ac:dyDescent="0.2">
      <c r="A8" s="209" t="s">
        <v>331</v>
      </c>
      <c r="B8" s="209"/>
      <c r="C8" s="209"/>
      <c r="D8" s="209"/>
      <c r="E8" s="209"/>
      <c r="F8" s="209"/>
      <c r="G8" s="209"/>
    </row>
    <row r="9" spans="1:9" ht="53.45" customHeight="1" x14ac:dyDescent="0.2">
      <c r="A9" s="210" t="s">
        <v>332</v>
      </c>
      <c r="B9" s="210"/>
      <c r="C9" s="210"/>
      <c r="D9" s="210"/>
      <c r="E9" s="210"/>
      <c r="F9" s="210"/>
      <c r="G9" s="210"/>
    </row>
    <row r="10" spans="1:9" ht="15" x14ac:dyDescent="0.25">
      <c r="A10" s="60"/>
      <c r="B10" s="60"/>
      <c r="C10" s="60"/>
      <c r="D10" s="60"/>
      <c r="E10" s="60"/>
      <c r="F10" s="62" t="s">
        <v>313</v>
      </c>
      <c r="G10" s="60"/>
    </row>
    <row r="11" spans="1:9" ht="150" customHeight="1" x14ac:dyDescent="0.2">
      <c r="A11" s="75" t="s">
        <v>314</v>
      </c>
      <c r="B11" s="76" t="s">
        <v>315</v>
      </c>
      <c r="C11" s="76" t="s">
        <v>316</v>
      </c>
      <c r="D11" s="76" t="s">
        <v>317</v>
      </c>
      <c r="E11" s="76" t="s">
        <v>318</v>
      </c>
      <c r="F11" s="76" t="s">
        <v>319</v>
      </c>
      <c r="G11" s="76" t="s">
        <v>320</v>
      </c>
    </row>
    <row r="12" spans="1:9" ht="15" x14ac:dyDescent="0.25">
      <c r="A12" s="77">
        <v>1</v>
      </c>
      <c r="B12" s="77">
        <v>2</v>
      </c>
      <c r="C12" s="77">
        <v>3</v>
      </c>
      <c r="D12" s="77">
        <v>4</v>
      </c>
      <c r="E12" s="77">
        <v>5</v>
      </c>
      <c r="F12" s="77">
        <v>6</v>
      </c>
      <c r="G12" s="77">
        <v>7</v>
      </c>
    </row>
    <row r="13" spans="1:9" ht="25.5" x14ac:dyDescent="0.2">
      <c r="A13" s="63" t="s">
        <v>444</v>
      </c>
      <c r="B13" s="68">
        <f>'Затраты Подрядчика по ССР'!G182*1000</f>
        <v>21862690</v>
      </c>
      <c r="C13" s="123">
        <v>1</v>
      </c>
      <c r="D13" s="124">
        <f t="shared" ref="D13" si="0">B13*C13</f>
        <v>21862690</v>
      </c>
      <c r="E13" s="125">
        <v>1</v>
      </c>
      <c r="F13" s="126">
        <f>D13*E13</f>
        <v>21862690</v>
      </c>
      <c r="G13" s="124">
        <f>D13+(F13-D13)*(1-30/100)</f>
        <v>21862690</v>
      </c>
      <c r="I13">
        <f>G13/F13</f>
        <v>1</v>
      </c>
    </row>
    <row r="14" spans="1:9" ht="15" x14ac:dyDescent="0.25">
      <c r="A14" s="69" t="s">
        <v>321</v>
      </c>
      <c r="B14" s="70">
        <f>SUM(B13:B13)</f>
        <v>21862690</v>
      </c>
      <c r="C14" s="71"/>
      <c r="D14" s="70">
        <f>SUM(D13:D13)</f>
        <v>21862690</v>
      </c>
      <c r="E14" s="72"/>
      <c r="F14" s="70">
        <f>SUM(F13:F13)</f>
        <v>21862690</v>
      </c>
      <c r="G14" s="73">
        <f>SUM(G13:G13)</f>
        <v>21862690</v>
      </c>
    </row>
    <row r="15" spans="1:9" ht="15" x14ac:dyDescent="0.25">
      <c r="A15" s="69" t="s">
        <v>407</v>
      </c>
      <c r="B15" s="70"/>
      <c r="C15" s="71"/>
      <c r="D15" s="70"/>
      <c r="E15" s="74"/>
      <c r="F15" s="70"/>
      <c r="G15" s="73"/>
    </row>
    <row r="16" spans="1:9" ht="15" x14ac:dyDescent="0.25">
      <c r="A16" s="69" t="s">
        <v>408</v>
      </c>
      <c r="B16" s="70">
        <f>B14+B15</f>
        <v>21862690</v>
      </c>
      <c r="C16" s="71"/>
      <c r="D16" s="70">
        <f>D14+D15</f>
        <v>21862690</v>
      </c>
      <c r="E16" s="74"/>
      <c r="F16" s="70">
        <f>F14+F15</f>
        <v>21862690</v>
      </c>
      <c r="G16" s="73">
        <f>G14+G15</f>
        <v>21862690</v>
      </c>
    </row>
    <row r="17" spans="1:18" ht="15" x14ac:dyDescent="0.25">
      <c r="A17" s="64"/>
      <c r="B17" s="65"/>
      <c r="C17" s="65"/>
      <c r="D17" s="65"/>
      <c r="E17" s="65"/>
      <c r="F17" s="65"/>
      <c r="G17" s="60"/>
    </row>
    <row r="18" spans="1:18" ht="54" customHeight="1" x14ac:dyDescent="0.25">
      <c r="A18" s="204" t="s">
        <v>449</v>
      </c>
      <c r="B18" s="204"/>
      <c r="C18" s="166">
        <f>K21*L21*M21*N21*O21*P21*K24*L24*M24*N24*O24</f>
        <v>1.048</v>
      </c>
      <c r="D18" s="61"/>
      <c r="E18" s="61"/>
      <c r="F18" s="61"/>
      <c r="G18" s="66"/>
      <c r="H18" s="67"/>
    </row>
    <row r="19" spans="1:18" ht="15" x14ac:dyDescent="0.25">
      <c r="A19" s="61" t="s">
        <v>322</v>
      </c>
      <c r="B19" s="61"/>
      <c r="C19" s="61"/>
      <c r="D19" s="61"/>
      <c r="E19" s="61"/>
      <c r="F19" s="61"/>
      <c r="G19" s="66"/>
      <c r="H19" s="67"/>
      <c r="K19" t="s">
        <v>383</v>
      </c>
      <c r="L19" t="s">
        <v>384</v>
      </c>
      <c r="M19" t="s">
        <v>385</v>
      </c>
      <c r="N19" t="s">
        <v>386</v>
      </c>
      <c r="O19" t="s">
        <v>387</v>
      </c>
      <c r="P19" t="s">
        <v>388</v>
      </c>
      <c r="R19">
        <v>2019</v>
      </c>
    </row>
    <row r="20" spans="1:18" ht="15" x14ac:dyDescent="0.25">
      <c r="A20" s="204" t="s">
        <v>406</v>
      </c>
      <c r="B20" s="204"/>
      <c r="C20" s="204"/>
      <c r="D20" s="204"/>
      <c r="E20" s="204"/>
      <c r="F20" s="204"/>
      <c r="G20" s="66"/>
      <c r="H20" s="67"/>
      <c r="K20" s="110">
        <v>100.15</v>
      </c>
      <c r="L20" s="110">
        <v>101.67</v>
      </c>
      <c r="M20" s="111">
        <v>100</v>
      </c>
      <c r="N20" s="110">
        <v>100.26</v>
      </c>
      <c r="O20" s="110">
        <v>100.25</v>
      </c>
      <c r="P20" s="110">
        <v>99.91</v>
      </c>
      <c r="Q20" s="110"/>
      <c r="R20" s="110"/>
    </row>
    <row r="21" spans="1:18" ht="36" customHeight="1" x14ac:dyDescent="0.25">
      <c r="A21" s="204" t="s">
        <v>323</v>
      </c>
      <c r="B21" s="204"/>
      <c r="C21" s="204"/>
      <c r="D21" s="204"/>
      <c r="E21" s="204"/>
      <c r="F21" s="204"/>
      <c r="G21" s="66"/>
      <c r="H21" s="67"/>
      <c r="K21">
        <f>K20/100</f>
        <v>1.0015000000000001</v>
      </c>
      <c r="L21">
        <f t="shared" ref="L21:P21" si="1">L20/100</f>
        <v>1.0166999999999999</v>
      </c>
      <c r="M21">
        <f t="shared" si="1"/>
        <v>1</v>
      </c>
      <c r="N21">
        <f t="shared" si="1"/>
        <v>1.0025999999999999</v>
      </c>
      <c r="O21">
        <f t="shared" si="1"/>
        <v>1.0024999999999999</v>
      </c>
      <c r="P21">
        <f t="shared" si="1"/>
        <v>0.99909999999999999</v>
      </c>
    </row>
    <row r="22" spans="1:18" ht="15" x14ac:dyDescent="0.25">
      <c r="A22" s="61"/>
      <c r="B22" s="61"/>
      <c r="C22" s="61"/>
      <c r="D22" s="61"/>
      <c r="E22" s="61"/>
      <c r="F22" s="61"/>
      <c r="G22" s="66"/>
      <c r="H22" s="67"/>
      <c r="K22" t="s">
        <v>389</v>
      </c>
      <c r="L22" t="s">
        <v>390</v>
      </c>
      <c r="M22" t="s">
        <v>391</v>
      </c>
      <c r="N22" t="s">
        <v>392</v>
      </c>
      <c r="O22" t="s">
        <v>393</v>
      </c>
      <c r="R22">
        <v>2020</v>
      </c>
    </row>
    <row r="23" spans="1:18" ht="29.45" customHeight="1" x14ac:dyDescent="0.25">
      <c r="A23" s="167" t="s">
        <v>405</v>
      </c>
      <c r="B23" s="61"/>
      <c r="C23" s="61"/>
      <c r="D23" s="61"/>
      <c r="E23" s="61"/>
      <c r="F23" s="61"/>
      <c r="G23" s="66"/>
      <c r="H23" s="67"/>
      <c r="K23" s="110">
        <v>102.52</v>
      </c>
      <c r="L23" s="110">
        <v>98.55</v>
      </c>
      <c r="M23" s="110">
        <v>99.67</v>
      </c>
      <c r="N23" s="110">
        <v>100.78</v>
      </c>
      <c r="O23" s="110">
        <v>101.01</v>
      </c>
    </row>
    <row r="24" spans="1:18" ht="15" x14ac:dyDescent="0.25">
      <c r="A24" s="61" t="s">
        <v>399</v>
      </c>
      <c r="B24" s="62">
        <v>5</v>
      </c>
      <c r="C24" s="61" t="s">
        <v>324</v>
      </c>
      <c r="D24" s="61"/>
      <c r="E24" s="61"/>
      <c r="F24" s="61"/>
      <c r="G24" s="66"/>
      <c r="H24" s="67"/>
      <c r="K24">
        <f>K23/100</f>
        <v>1.0251999999999999</v>
      </c>
      <c r="L24">
        <f t="shared" ref="L24:O24" si="2">L23/100</f>
        <v>0.98550000000000004</v>
      </c>
      <c r="M24">
        <f t="shared" si="2"/>
        <v>0.99670000000000003</v>
      </c>
      <c r="N24">
        <f t="shared" si="2"/>
        <v>1.0078</v>
      </c>
      <c r="O24">
        <f t="shared" si="2"/>
        <v>1.0101</v>
      </c>
    </row>
    <row r="25" spans="1:18" ht="15" x14ac:dyDescent="0.25">
      <c r="A25" s="61" t="s">
        <v>325</v>
      </c>
      <c r="B25" s="134">
        <v>44075</v>
      </c>
      <c r="C25" s="61"/>
      <c r="D25" s="61"/>
      <c r="E25" s="61"/>
      <c r="F25" s="61"/>
      <c r="G25" s="66"/>
      <c r="H25" s="67"/>
    </row>
    <row r="26" spans="1:18" ht="15" x14ac:dyDescent="0.25">
      <c r="A26" s="61" t="s">
        <v>326</v>
      </c>
      <c r="B26" s="135">
        <v>44226</v>
      </c>
      <c r="C26" s="61"/>
      <c r="D26" s="61"/>
      <c r="E26" s="61"/>
      <c r="F26" s="61"/>
      <c r="G26" s="66"/>
      <c r="H26" s="67"/>
    </row>
    <row r="27" spans="1:18" ht="15" x14ac:dyDescent="0.25">
      <c r="A27" s="61" t="s">
        <v>327</v>
      </c>
      <c r="B27" s="61"/>
      <c r="C27" s="61"/>
      <c r="D27" s="61"/>
      <c r="E27" s="61"/>
      <c r="F27" s="61"/>
      <c r="G27" s="66"/>
      <c r="H27" s="67"/>
    </row>
    <row r="28" spans="1:18" ht="15" customHeight="1" x14ac:dyDescent="0.25">
      <c r="A28" s="211" t="s">
        <v>394</v>
      </c>
      <c r="B28" s="211"/>
      <c r="C28" s="211"/>
      <c r="D28" s="211"/>
      <c r="E28" s="112">
        <v>1.036</v>
      </c>
      <c r="F28" s="61"/>
      <c r="G28" s="66"/>
      <c r="H28" s="67"/>
    </row>
    <row r="29" spans="1:18" ht="15" x14ac:dyDescent="0.25">
      <c r="A29" s="113" t="s">
        <v>395</v>
      </c>
      <c r="B29" s="114"/>
      <c r="C29" s="115"/>
      <c r="D29" s="116"/>
      <c r="E29" s="117">
        <f>1.036^(1/12)</f>
        <v>1.00295</v>
      </c>
      <c r="F29" s="61"/>
      <c r="G29" s="119"/>
      <c r="H29" s="67"/>
    </row>
    <row r="30" spans="1:18" ht="15" customHeight="1" x14ac:dyDescent="0.25">
      <c r="A30" s="211" t="s">
        <v>398</v>
      </c>
      <c r="B30" s="211"/>
      <c r="C30" s="211"/>
      <c r="D30" s="211"/>
      <c r="E30" s="112">
        <v>1.0369999999999999</v>
      </c>
      <c r="F30" s="61"/>
      <c r="G30" s="66"/>
      <c r="H30" s="67"/>
    </row>
    <row r="31" spans="1:18" ht="15" x14ac:dyDescent="0.25">
      <c r="A31" s="113" t="s">
        <v>397</v>
      </c>
      <c r="B31" s="114"/>
      <c r="C31" s="115"/>
      <c r="D31" s="116"/>
      <c r="E31" s="117">
        <f>1.037^(1/12)</f>
        <v>1.0030300000000001</v>
      </c>
      <c r="F31" s="61"/>
      <c r="G31" s="119"/>
      <c r="H31" s="67"/>
    </row>
    <row r="32" spans="1:18" ht="15" x14ac:dyDescent="0.25">
      <c r="A32" s="113" t="s">
        <v>400</v>
      </c>
      <c r="B32" s="212" t="s">
        <v>450</v>
      </c>
      <c r="C32" s="212"/>
      <c r="D32" s="212"/>
      <c r="E32" s="117">
        <f>(1.00295+1.00295^5)/2</f>
        <v>1.0088900000000001</v>
      </c>
      <c r="F32" s="61"/>
      <c r="G32" s="66"/>
      <c r="H32" s="67"/>
    </row>
    <row r="33" spans="1:8" ht="15" x14ac:dyDescent="0.25">
      <c r="A33" s="113" t="s">
        <v>402</v>
      </c>
      <c r="B33" s="121"/>
      <c r="C33" s="121"/>
      <c r="D33" s="121"/>
      <c r="E33" s="117">
        <v>0.8</v>
      </c>
      <c r="F33" s="61"/>
      <c r="G33" s="66"/>
      <c r="H33" s="67"/>
    </row>
    <row r="34" spans="1:8" ht="15" x14ac:dyDescent="0.25">
      <c r="A34" s="113" t="s">
        <v>401</v>
      </c>
      <c r="B34" s="212" t="s">
        <v>451</v>
      </c>
      <c r="C34" s="212"/>
      <c r="D34" s="212"/>
      <c r="E34" s="117">
        <f>1.00295^5*(1.00303)</f>
        <v>1.0179100000000001</v>
      </c>
      <c r="F34" s="61"/>
      <c r="G34" s="66"/>
      <c r="H34" s="67"/>
    </row>
    <row r="35" spans="1:8" ht="15" x14ac:dyDescent="0.25">
      <c r="A35" s="113" t="s">
        <v>403</v>
      </c>
      <c r="B35" s="121"/>
      <c r="C35" s="121"/>
      <c r="D35" s="121"/>
      <c r="E35" s="117">
        <f>1-E33</f>
        <v>0.2</v>
      </c>
      <c r="F35" s="61"/>
      <c r="G35" s="66"/>
      <c r="H35" s="67"/>
    </row>
    <row r="36" spans="1:8" ht="31.9" customHeight="1" x14ac:dyDescent="0.25">
      <c r="A36" s="113" t="s">
        <v>396</v>
      </c>
      <c r="B36" s="212" t="s">
        <v>452</v>
      </c>
      <c r="C36" s="212"/>
      <c r="D36" s="212"/>
      <c r="E36" s="117">
        <f>E32*E33+E34*E35</f>
        <v>1.0106900000000001</v>
      </c>
      <c r="F36" s="61"/>
      <c r="G36" s="66"/>
      <c r="H36" s="67"/>
    </row>
    <row r="37" spans="1:8" ht="15" x14ac:dyDescent="0.25">
      <c r="A37" s="61"/>
      <c r="B37" s="61"/>
      <c r="C37" s="61"/>
      <c r="D37" s="61"/>
      <c r="E37" s="61"/>
      <c r="F37" s="61"/>
      <c r="G37" s="66"/>
      <c r="H37" s="67"/>
    </row>
    <row r="38" spans="1:8" ht="15" x14ac:dyDescent="0.25">
      <c r="A38" s="61" t="s">
        <v>328</v>
      </c>
      <c r="B38" s="61"/>
      <c r="C38" s="61"/>
      <c r="D38" s="168"/>
      <c r="E38" s="168"/>
      <c r="F38" s="168"/>
      <c r="G38" s="66"/>
      <c r="H38" s="67"/>
    </row>
    <row r="39" spans="1:8" ht="15" x14ac:dyDescent="0.25">
      <c r="A39" s="61"/>
      <c r="B39" s="61"/>
      <c r="C39" s="61"/>
      <c r="D39" s="205" t="s">
        <v>329</v>
      </c>
      <c r="E39" s="205"/>
      <c r="F39" s="205"/>
      <c r="G39" s="66"/>
      <c r="H39" s="67"/>
    </row>
    <row r="40" spans="1:8" x14ac:dyDescent="0.2">
      <c r="A40" s="131"/>
      <c r="B40" s="131"/>
      <c r="C40" s="131"/>
      <c r="D40" s="131"/>
      <c r="E40" s="131"/>
      <c r="F40" s="131"/>
      <c r="G40" s="67"/>
      <c r="H40" s="67"/>
    </row>
    <row r="53" spans="16:25" x14ac:dyDescent="0.2">
      <c r="P53" s="110"/>
      <c r="Q53" s="110"/>
      <c r="R53" s="110"/>
      <c r="S53" s="110"/>
      <c r="T53" s="110"/>
      <c r="U53" s="110"/>
      <c r="V53" s="111"/>
      <c r="W53" s="110"/>
      <c r="X53" s="110"/>
      <c r="Y53" s="110"/>
    </row>
  </sheetData>
  <mergeCells count="15">
    <mergeCell ref="A20:F20"/>
    <mergeCell ref="A21:F21"/>
    <mergeCell ref="D39:F39"/>
    <mergeCell ref="A1:G1"/>
    <mergeCell ref="A3:G3"/>
    <mergeCell ref="A4:G4"/>
    <mergeCell ref="A7:G7"/>
    <mergeCell ref="A8:G8"/>
    <mergeCell ref="A9:G9"/>
    <mergeCell ref="A28:D28"/>
    <mergeCell ref="A30:D30"/>
    <mergeCell ref="B34:D34"/>
    <mergeCell ref="B36:D36"/>
    <mergeCell ref="A18:B18"/>
    <mergeCell ref="B32:D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J188"/>
  <sheetViews>
    <sheetView showGridLines="0" topLeftCell="A172" zoomScaleNormal="100" workbookViewId="0">
      <selection activeCell="G32" sqref="G32"/>
    </sheetView>
  </sheetViews>
  <sheetFormatPr defaultColWidth="9.140625"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3" style="8" customWidth="1"/>
    <col min="6" max="6" width="13.42578125" style="8" customWidth="1"/>
    <col min="7" max="7" width="12.5703125" style="8" customWidth="1"/>
    <col min="8" max="8" width="13.85546875" style="8" customWidth="1"/>
    <col min="9" max="9" width="9.140625" style="5"/>
    <col min="10" max="10" width="11.140625" style="5" customWidth="1"/>
    <col min="11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13" t="s">
        <v>13</v>
      </c>
      <c r="D2" s="6"/>
      <c r="E2" s="6"/>
      <c r="F2" s="6"/>
      <c r="G2" s="6"/>
      <c r="H2" s="3"/>
    </row>
    <row r="3" spans="2:8" x14ac:dyDescent="0.2">
      <c r="D3" s="7" t="s">
        <v>8</v>
      </c>
      <c r="F3" s="3"/>
      <c r="G3" s="3"/>
      <c r="H3" s="3"/>
    </row>
    <row r="4" spans="2:8" x14ac:dyDescent="0.2">
      <c r="B4" s="2" t="s">
        <v>177</v>
      </c>
      <c r="C4" s="14"/>
      <c r="D4" s="3"/>
      <c r="E4" s="7"/>
      <c r="F4" s="3"/>
      <c r="G4" s="3"/>
      <c r="H4" s="3"/>
    </row>
    <row r="5" spans="2:8" x14ac:dyDescent="0.2">
      <c r="D5" s="3"/>
      <c r="E5" s="7"/>
      <c r="F5" s="3"/>
      <c r="G5" s="3"/>
      <c r="H5" s="3"/>
    </row>
    <row r="6" spans="2:8" x14ac:dyDescent="0.2">
      <c r="B6" s="2" t="s">
        <v>182</v>
      </c>
      <c r="D6" s="3"/>
      <c r="E6" s="7"/>
      <c r="F6" s="3"/>
      <c r="G6" s="3"/>
      <c r="H6" s="3"/>
    </row>
    <row r="7" spans="2:8" x14ac:dyDescent="0.2">
      <c r="B7" s="2" t="s">
        <v>181</v>
      </c>
      <c r="D7" s="3"/>
      <c r="E7" s="3"/>
      <c r="F7" s="3"/>
      <c r="G7" s="3"/>
      <c r="H7" s="3"/>
    </row>
    <row r="8" spans="2:8" x14ac:dyDescent="0.2">
      <c r="D8" s="3"/>
      <c r="E8" s="3"/>
      <c r="F8" s="3"/>
      <c r="G8" s="3"/>
      <c r="H8" s="3"/>
    </row>
    <row r="9" spans="2:8" x14ac:dyDescent="0.2">
      <c r="B9" s="26" t="s">
        <v>179</v>
      </c>
      <c r="D9" s="3"/>
      <c r="E9" s="3"/>
      <c r="F9" s="3"/>
      <c r="G9" s="3"/>
      <c r="H9" s="3"/>
    </row>
    <row r="10" spans="2:8" x14ac:dyDescent="0.2">
      <c r="B10" s="26" t="s">
        <v>180</v>
      </c>
      <c r="D10" s="3"/>
      <c r="E10" s="3"/>
      <c r="F10" s="3"/>
      <c r="G10" s="3"/>
      <c r="H10" s="3"/>
    </row>
    <row r="11" spans="2:8" x14ac:dyDescent="0.2">
      <c r="C11" s="13"/>
      <c r="D11" s="6"/>
      <c r="E11" s="9"/>
      <c r="F11" s="6"/>
      <c r="G11" s="6"/>
      <c r="H11" s="3"/>
    </row>
    <row r="12" spans="2:8" x14ac:dyDescent="0.2">
      <c r="D12" s="7" t="s">
        <v>9</v>
      </c>
      <c r="F12" s="3"/>
      <c r="G12" s="3"/>
      <c r="H12" s="3"/>
    </row>
    <row r="13" spans="2:8" x14ac:dyDescent="0.2">
      <c r="D13" s="3"/>
      <c r="E13" s="7"/>
      <c r="F13" s="3"/>
      <c r="G13" s="3"/>
      <c r="H13" s="3"/>
    </row>
    <row r="14" spans="2:8" x14ac:dyDescent="0.2">
      <c r="B14" s="2" t="s">
        <v>178</v>
      </c>
      <c r="H14" s="3"/>
    </row>
    <row r="15" spans="2:8" x14ac:dyDescent="0.2">
      <c r="G15" s="3"/>
      <c r="H15" s="3"/>
    </row>
    <row r="16" spans="2:8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ht="35.25" customHeight="1" x14ac:dyDescent="0.2">
      <c r="C18" s="220" t="s">
        <v>14</v>
      </c>
      <c r="D18" s="220"/>
      <c r="E18" s="220"/>
      <c r="F18" s="220"/>
      <c r="G18" s="220"/>
      <c r="H18" s="3"/>
    </row>
    <row r="19" spans="1:8" x14ac:dyDescent="0.2">
      <c r="D19" s="12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15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221" t="s">
        <v>1</v>
      </c>
      <c r="B24" s="222" t="s">
        <v>10</v>
      </c>
      <c r="C24" s="222" t="s">
        <v>11</v>
      </c>
      <c r="D24" s="223" t="s">
        <v>16</v>
      </c>
      <c r="E24" s="223"/>
      <c r="F24" s="223"/>
      <c r="G24" s="223"/>
      <c r="H24" s="221" t="s">
        <v>17</v>
      </c>
    </row>
    <row r="25" spans="1:8" x14ac:dyDescent="0.2">
      <c r="A25" s="221"/>
      <c r="B25" s="222"/>
      <c r="C25" s="222"/>
      <c r="D25" s="221" t="s">
        <v>12</v>
      </c>
      <c r="E25" s="221" t="s">
        <v>2</v>
      </c>
      <c r="F25" s="221" t="s">
        <v>3</v>
      </c>
      <c r="G25" s="221" t="s">
        <v>4</v>
      </c>
      <c r="H25" s="221"/>
    </row>
    <row r="26" spans="1:8" x14ac:dyDescent="0.2">
      <c r="A26" s="221"/>
      <c r="B26" s="222"/>
      <c r="C26" s="222"/>
      <c r="D26" s="221"/>
      <c r="E26" s="221"/>
      <c r="F26" s="221"/>
      <c r="G26" s="221"/>
      <c r="H26" s="221"/>
    </row>
    <row r="27" spans="1:8" x14ac:dyDescent="0.2">
      <c r="A27" s="221"/>
      <c r="B27" s="222"/>
      <c r="C27" s="222"/>
      <c r="D27" s="221"/>
      <c r="E27" s="221"/>
      <c r="F27" s="221"/>
      <c r="G27" s="221"/>
      <c r="H27" s="221"/>
    </row>
    <row r="28" spans="1:8" x14ac:dyDescent="0.2">
      <c r="A28" s="28">
        <v>1</v>
      </c>
      <c r="B28" s="29">
        <v>2</v>
      </c>
      <c r="C28" s="29">
        <v>3</v>
      </c>
      <c r="D28" s="28">
        <v>4</v>
      </c>
      <c r="E28" s="28">
        <v>5</v>
      </c>
      <c r="F28" s="28">
        <v>6</v>
      </c>
      <c r="G28" s="28">
        <v>7</v>
      </c>
      <c r="H28" s="28">
        <v>8</v>
      </c>
    </row>
    <row r="29" spans="1:8" x14ac:dyDescent="0.2">
      <c r="A29" s="213" t="s">
        <v>18</v>
      </c>
      <c r="B29" s="214"/>
      <c r="C29" s="214"/>
      <c r="D29" s="214"/>
      <c r="E29" s="214"/>
      <c r="F29" s="214"/>
      <c r="G29" s="214"/>
      <c r="H29" s="214"/>
    </row>
    <row r="30" spans="1:8" x14ac:dyDescent="0.2">
      <c r="A30" s="17">
        <v>1</v>
      </c>
      <c r="B30" s="18" t="s">
        <v>19</v>
      </c>
      <c r="C30" s="18" t="s">
        <v>20</v>
      </c>
      <c r="D30" s="19">
        <v>18.68</v>
      </c>
      <c r="E30" s="20"/>
      <c r="F30" s="20"/>
      <c r="G30" s="20"/>
      <c r="H30" s="19">
        <v>18.68</v>
      </c>
    </row>
    <row r="31" spans="1:8" ht="25.5" x14ac:dyDescent="0.2">
      <c r="A31" s="17">
        <v>2</v>
      </c>
      <c r="B31" s="18" t="s">
        <v>21</v>
      </c>
      <c r="C31" s="18" t="s">
        <v>22</v>
      </c>
      <c r="D31" s="20"/>
      <c r="E31" s="20"/>
      <c r="F31" s="20"/>
      <c r="G31" s="19">
        <v>177.15</v>
      </c>
      <c r="H31" s="19">
        <v>177.15</v>
      </c>
    </row>
    <row r="32" spans="1:8" x14ac:dyDescent="0.2">
      <c r="A32" s="17">
        <v>3</v>
      </c>
      <c r="B32" s="18" t="s">
        <v>23</v>
      </c>
      <c r="C32" s="18" t="s">
        <v>24</v>
      </c>
      <c r="D32" s="20"/>
      <c r="E32" s="20"/>
      <c r="F32" s="20"/>
      <c r="G32" s="19">
        <v>4082.53</v>
      </c>
      <c r="H32" s="19">
        <v>4082.53</v>
      </c>
    </row>
    <row r="33" spans="1:9" ht="38.25" x14ac:dyDescent="0.2">
      <c r="A33" s="17">
        <v>4</v>
      </c>
      <c r="B33" s="18" t="s">
        <v>25</v>
      </c>
      <c r="C33" s="18" t="s">
        <v>26</v>
      </c>
      <c r="D33" s="20"/>
      <c r="E33" s="20"/>
      <c r="F33" s="20"/>
      <c r="G33" s="19">
        <v>10.39</v>
      </c>
      <c r="H33" s="19">
        <v>10.39</v>
      </c>
      <c r="I33" s="87"/>
    </row>
    <row r="34" spans="1:9" ht="25.5" x14ac:dyDescent="0.2">
      <c r="A34" s="17">
        <v>5</v>
      </c>
      <c r="B34" s="18" t="s">
        <v>27</v>
      </c>
      <c r="C34" s="18" t="s">
        <v>28</v>
      </c>
      <c r="D34" s="19">
        <v>7.76</v>
      </c>
      <c r="E34" s="20"/>
      <c r="F34" s="20"/>
      <c r="G34" s="20"/>
      <c r="H34" s="19">
        <v>7.76</v>
      </c>
    </row>
    <row r="35" spans="1:9" x14ac:dyDescent="0.2">
      <c r="A35" s="21">
        <v>6</v>
      </c>
      <c r="B35" s="22"/>
      <c r="C35" s="23" t="s">
        <v>29</v>
      </c>
      <c r="D35" s="24">
        <v>307.89</v>
      </c>
      <c r="E35" s="20"/>
      <c r="F35" s="20"/>
      <c r="G35" s="20"/>
      <c r="H35" s="24">
        <v>307.89</v>
      </c>
    </row>
    <row r="36" spans="1:9" ht="27.95" customHeight="1" x14ac:dyDescent="0.2">
      <c r="A36" s="27"/>
      <c r="B36" s="215" t="s">
        <v>30</v>
      </c>
      <c r="C36" s="219"/>
      <c r="D36" s="30">
        <f>D30+D31+D32+D33+D34</f>
        <v>26.44</v>
      </c>
      <c r="E36" s="31"/>
      <c r="F36" s="31"/>
      <c r="G36" s="30">
        <f>G30+G31+G32+G33+G34</f>
        <v>4270.07</v>
      </c>
      <c r="H36" s="30">
        <f>H30+H31+H32+H33+H34</f>
        <v>4296.51</v>
      </c>
    </row>
    <row r="37" spans="1:9" x14ac:dyDescent="0.2">
      <c r="A37" s="213" t="s">
        <v>31</v>
      </c>
      <c r="B37" s="214"/>
      <c r="C37" s="214"/>
      <c r="D37" s="214"/>
      <c r="E37" s="214"/>
      <c r="F37" s="214"/>
      <c r="G37" s="214"/>
      <c r="H37" s="214"/>
    </row>
    <row r="38" spans="1:9" x14ac:dyDescent="0.2">
      <c r="A38" s="17">
        <v>7</v>
      </c>
      <c r="B38" s="18" t="s">
        <v>32</v>
      </c>
      <c r="C38" s="18" t="s">
        <v>33</v>
      </c>
      <c r="D38" s="19">
        <f>D39+D40+D41+D42+D43+D44</f>
        <v>28111.22</v>
      </c>
      <c r="E38" s="20"/>
      <c r="F38" s="20"/>
      <c r="G38" s="20"/>
      <c r="H38" s="19">
        <f>H39+H40+H41+H42+H43+H44</f>
        <v>28111.22</v>
      </c>
    </row>
    <row r="39" spans="1:9" x14ac:dyDescent="0.2">
      <c r="A39" s="17"/>
      <c r="B39" s="32" t="s">
        <v>185</v>
      </c>
      <c r="C39" s="32" t="s">
        <v>186</v>
      </c>
      <c r="D39" s="33">
        <v>6842.83</v>
      </c>
      <c r="E39" s="34"/>
      <c r="F39" s="34"/>
      <c r="G39" s="34"/>
      <c r="H39" s="33">
        <v>6842.83</v>
      </c>
    </row>
    <row r="40" spans="1:9" x14ac:dyDescent="0.2">
      <c r="A40" s="17"/>
      <c r="B40" s="32" t="s">
        <v>187</v>
      </c>
      <c r="C40" s="32" t="s">
        <v>188</v>
      </c>
      <c r="D40" s="33">
        <v>983</v>
      </c>
      <c r="E40" s="34"/>
      <c r="F40" s="34"/>
      <c r="G40" s="34"/>
      <c r="H40" s="33">
        <v>983</v>
      </c>
    </row>
    <row r="41" spans="1:9" x14ac:dyDescent="0.2">
      <c r="A41" s="17"/>
      <c r="B41" s="32" t="s">
        <v>189</v>
      </c>
      <c r="C41" s="32" t="s">
        <v>190</v>
      </c>
      <c r="D41" s="33">
        <v>6121.37</v>
      </c>
      <c r="E41" s="34"/>
      <c r="F41" s="34"/>
      <c r="G41" s="34"/>
      <c r="H41" s="33">
        <v>6121.37</v>
      </c>
    </row>
    <row r="42" spans="1:9" x14ac:dyDescent="0.2">
      <c r="A42" s="17"/>
      <c r="B42" s="32" t="s">
        <v>191</v>
      </c>
      <c r="C42" s="32" t="s">
        <v>192</v>
      </c>
      <c r="D42" s="33">
        <v>493.08</v>
      </c>
      <c r="E42" s="34"/>
      <c r="F42" s="34"/>
      <c r="G42" s="34"/>
      <c r="H42" s="33">
        <v>493.08</v>
      </c>
    </row>
    <row r="43" spans="1:9" x14ac:dyDescent="0.2">
      <c r="A43" s="17"/>
      <c r="B43" s="32" t="s">
        <v>193</v>
      </c>
      <c r="C43" s="32" t="s">
        <v>194</v>
      </c>
      <c r="D43" s="33">
        <v>11468.96</v>
      </c>
      <c r="E43" s="34"/>
      <c r="F43" s="34"/>
      <c r="G43" s="34"/>
      <c r="H43" s="33">
        <v>11468.96</v>
      </c>
    </row>
    <row r="44" spans="1:9" x14ac:dyDescent="0.2">
      <c r="A44" s="17"/>
      <c r="B44" s="32" t="s">
        <v>195</v>
      </c>
      <c r="C44" s="32" t="s">
        <v>196</v>
      </c>
      <c r="D44" s="33">
        <v>2201.98</v>
      </c>
      <c r="E44" s="34"/>
      <c r="F44" s="34"/>
      <c r="G44" s="34"/>
      <c r="H44" s="33">
        <v>2201.98</v>
      </c>
    </row>
    <row r="45" spans="1:9" ht="27.95" customHeight="1" x14ac:dyDescent="0.2">
      <c r="A45" s="35"/>
      <c r="B45" s="215" t="s">
        <v>34</v>
      </c>
      <c r="C45" s="216"/>
      <c r="D45" s="30">
        <f>D38</f>
        <v>28111.22</v>
      </c>
      <c r="E45" s="31"/>
      <c r="F45" s="31"/>
      <c r="G45" s="31"/>
      <c r="H45" s="30">
        <f>H38</f>
        <v>28111.22</v>
      </c>
    </row>
    <row r="46" spans="1:9" x14ac:dyDescent="0.2">
      <c r="A46" s="213" t="s">
        <v>35</v>
      </c>
      <c r="B46" s="214"/>
      <c r="C46" s="214"/>
      <c r="D46" s="214"/>
      <c r="E46" s="214"/>
      <c r="F46" s="214"/>
      <c r="G46" s="214"/>
      <c r="H46" s="214"/>
    </row>
    <row r="47" spans="1:9" x14ac:dyDescent="0.2">
      <c r="A47" s="17">
        <v>8</v>
      </c>
      <c r="B47" s="18" t="s">
        <v>36</v>
      </c>
      <c r="C47" s="18" t="s">
        <v>37</v>
      </c>
      <c r="D47" s="19">
        <f>D48+D49+D50</f>
        <v>54.07</v>
      </c>
      <c r="E47" s="19">
        <f>E48+E49+E50</f>
        <v>14.11</v>
      </c>
      <c r="F47" s="19">
        <f>F48+F49+F50</f>
        <v>2890.96</v>
      </c>
      <c r="G47" s="20"/>
      <c r="H47" s="19">
        <f>H48+H49+H50</f>
        <v>2959.14</v>
      </c>
    </row>
    <row r="48" spans="1:9" x14ac:dyDescent="0.2">
      <c r="A48" s="17"/>
      <c r="B48" s="32" t="s">
        <v>197</v>
      </c>
      <c r="C48" s="32" t="s">
        <v>198</v>
      </c>
      <c r="D48" s="33">
        <v>47.88</v>
      </c>
      <c r="E48" s="33"/>
      <c r="F48" s="33"/>
      <c r="G48" s="34"/>
      <c r="H48" s="33">
        <f>G48+F48+E48+D48</f>
        <v>47.88</v>
      </c>
    </row>
    <row r="49" spans="1:8" ht="25.5" x14ac:dyDescent="0.2">
      <c r="A49" s="17"/>
      <c r="B49" s="32" t="s">
        <v>199</v>
      </c>
      <c r="C49" s="32" t="s">
        <v>200</v>
      </c>
      <c r="D49" s="33">
        <v>5.87</v>
      </c>
      <c r="E49" s="36">
        <v>10.1</v>
      </c>
      <c r="F49" s="33">
        <v>2877.06</v>
      </c>
      <c r="G49" s="34"/>
      <c r="H49" s="33">
        <f>G49+F49+E49+D49</f>
        <v>2893.03</v>
      </c>
    </row>
    <row r="50" spans="1:8" ht="25.5" x14ac:dyDescent="0.2">
      <c r="A50" s="17"/>
      <c r="B50" s="32" t="s">
        <v>201</v>
      </c>
      <c r="C50" s="32" t="s">
        <v>202</v>
      </c>
      <c r="D50" s="33">
        <v>0.32</v>
      </c>
      <c r="E50" s="33">
        <v>4.01</v>
      </c>
      <c r="F50" s="33">
        <v>13.9</v>
      </c>
      <c r="G50" s="34"/>
      <c r="H50" s="33">
        <f>G50+F50+E50+D50</f>
        <v>18.23</v>
      </c>
    </row>
    <row r="51" spans="1:8" x14ac:dyDescent="0.2">
      <c r="A51" s="17">
        <v>9</v>
      </c>
      <c r="B51" s="18" t="s">
        <v>38</v>
      </c>
      <c r="C51" s="18" t="s">
        <v>39</v>
      </c>
      <c r="D51" s="19">
        <f>D52+D53+D54</f>
        <v>61.38</v>
      </c>
      <c r="E51" s="19">
        <f>E52+E53+E54</f>
        <v>15.42</v>
      </c>
      <c r="F51" s="37">
        <f>F52+F53+F54</f>
        <v>4113.1099999999997</v>
      </c>
      <c r="G51" s="20"/>
      <c r="H51" s="19">
        <f>H52+H53+H54</f>
        <v>4189.91</v>
      </c>
    </row>
    <row r="52" spans="1:8" x14ac:dyDescent="0.2">
      <c r="A52" s="17"/>
      <c r="B52" s="32" t="s">
        <v>203</v>
      </c>
      <c r="C52" s="32" t="s">
        <v>198</v>
      </c>
      <c r="D52" s="33">
        <v>55.15</v>
      </c>
      <c r="E52" s="33"/>
      <c r="F52" s="33"/>
      <c r="G52" s="34"/>
      <c r="H52" s="33">
        <f>G52+F52+E52+D52</f>
        <v>55.15</v>
      </c>
    </row>
    <row r="53" spans="1:8" ht="25.5" x14ac:dyDescent="0.2">
      <c r="A53" s="17"/>
      <c r="B53" s="32" t="s">
        <v>204</v>
      </c>
      <c r="C53" s="32" t="s">
        <v>205</v>
      </c>
      <c r="D53" s="33">
        <v>5.91</v>
      </c>
      <c r="E53" s="33">
        <v>11.41</v>
      </c>
      <c r="F53" s="33">
        <v>4099.21</v>
      </c>
      <c r="G53" s="34"/>
      <c r="H53" s="33">
        <f>G53+F53+E53+D53</f>
        <v>4116.53</v>
      </c>
    </row>
    <row r="54" spans="1:8" ht="25.5" x14ac:dyDescent="0.2">
      <c r="A54" s="17"/>
      <c r="B54" s="32" t="s">
        <v>206</v>
      </c>
      <c r="C54" s="32" t="s">
        <v>207</v>
      </c>
      <c r="D54" s="33">
        <v>0.32</v>
      </c>
      <c r="E54" s="33">
        <v>4.01</v>
      </c>
      <c r="F54" s="36">
        <v>13.9</v>
      </c>
      <c r="G54" s="34"/>
      <c r="H54" s="33">
        <f>G54+F54+E54+D54</f>
        <v>18.23</v>
      </c>
    </row>
    <row r="55" spans="1:8" x14ac:dyDescent="0.2">
      <c r="A55" s="17">
        <v>10</v>
      </c>
      <c r="B55" s="18" t="s">
        <v>40</v>
      </c>
      <c r="C55" s="18" t="s">
        <v>41</v>
      </c>
      <c r="D55" s="19">
        <f>D56+D57+D58</f>
        <v>61.5</v>
      </c>
      <c r="E55" s="19">
        <f>E56+E57+E58</f>
        <v>15.37</v>
      </c>
      <c r="F55" s="37">
        <f>F56+F57+F58</f>
        <v>3711.62</v>
      </c>
      <c r="G55" s="20"/>
      <c r="H55" s="19">
        <f>H56+H57+H58</f>
        <v>3788.49</v>
      </c>
    </row>
    <row r="56" spans="1:8" x14ac:dyDescent="0.2">
      <c r="A56" s="17"/>
      <c r="B56" s="32" t="s">
        <v>208</v>
      </c>
      <c r="C56" s="32" t="s">
        <v>198</v>
      </c>
      <c r="D56" s="33">
        <v>55.59</v>
      </c>
      <c r="E56" s="33"/>
      <c r="F56" s="33"/>
      <c r="G56" s="34"/>
      <c r="H56" s="33">
        <f>D56+E56+F56+G56</f>
        <v>55.59</v>
      </c>
    </row>
    <row r="57" spans="1:8" ht="25.5" x14ac:dyDescent="0.2">
      <c r="A57" s="17"/>
      <c r="B57" s="32" t="s">
        <v>209</v>
      </c>
      <c r="C57" s="32" t="s">
        <v>210</v>
      </c>
      <c r="D57" s="33">
        <v>5.91</v>
      </c>
      <c r="E57" s="33">
        <v>11.44</v>
      </c>
      <c r="F57" s="33">
        <v>3697.72</v>
      </c>
      <c r="G57" s="34"/>
      <c r="H57" s="33">
        <f>D57+E57+F57+G57</f>
        <v>3715.07</v>
      </c>
    </row>
    <row r="58" spans="1:8" ht="25.5" x14ac:dyDescent="0.2">
      <c r="A58" s="17"/>
      <c r="B58" s="32" t="s">
        <v>211</v>
      </c>
      <c r="C58" s="32" t="s">
        <v>212</v>
      </c>
      <c r="D58" s="33"/>
      <c r="E58" s="33">
        <v>3.93</v>
      </c>
      <c r="F58" s="36">
        <v>13.9</v>
      </c>
      <c r="G58" s="34"/>
      <c r="H58" s="33">
        <f>D58+E58+F58+G58</f>
        <v>17.829999999999998</v>
      </c>
    </row>
    <row r="59" spans="1:8" ht="25.5" x14ac:dyDescent="0.2">
      <c r="A59" s="17">
        <v>11</v>
      </c>
      <c r="B59" s="18" t="s">
        <v>42</v>
      </c>
      <c r="C59" s="18" t="s">
        <v>43</v>
      </c>
      <c r="D59" s="20"/>
      <c r="E59" s="19">
        <v>21.61</v>
      </c>
      <c r="F59" s="19">
        <v>2388.0300000000002</v>
      </c>
      <c r="G59" s="20"/>
      <c r="H59" s="19">
        <v>2409.64</v>
      </c>
    </row>
    <row r="60" spans="1:8" x14ac:dyDescent="0.2">
      <c r="A60" s="17">
        <v>12</v>
      </c>
      <c r="B60" s="18" t="s">
        <v>44</v>
      </c>
      <c r="C60" s="18" t="s">
        <v>45</v>
      </c>
      <c r="D60" s="19">
        <v>149.63999999999999</v>
      </c>
      <c r="E60" s="19">
        <v>1621.89</v>
      </c>
      <c r="F60" s="20"/>
      <c r="G60" s="20"/>
      <c r="H60" s="19">
        <v>1771.53</v>
      </c>
    </row>
    <row r="61" spans="1:8" x14ac:dyDescent="0.2">
      <c r="A61" s="17">
        <v>13</v>
      </c>
      <c r="B61" s="18" t="s">
        <v>46</v>
      </c>
      <c r="C61" s="18" t="s">
        <v>47</v>
      </c>
      <c r="D61" s="19">
        <v>519.47</v>
      </c>
      <c r="E61" s="20"/>
      <c r="F61" s="20"/>
      <c r="G61" s="20"/>
      <c r="H61" s="19">
        <v>519.47</v>
      </c>
    </row>
    <row r="62" spans="1:8" ht="25.5" x14ac:dyDescent="0.2">
      <c r="A62" s="17">
        <v>14</v>
      </c>
      <c r="B62" s="18" t="s">
        <v>48</v>
      </c>
      <c r="C62" s="18" t="s">
        <v>49</v>
      </c>
      <c r="D62" s="19">
        <v>44.07</v>
      </c>
      <c r="E62" s="19">
        <v>247.16</v>
      </c>
      <c r="F62" s="20"/>
      <c r="G62" s="20"/>
      <c r="H62" s="19">
        <v>291.23</v>
      </c>
    </row>
    <row r="63" spans="1:8" ht="25.5" x14ac:dyDescent="0.2">
      <c r="A63" s="17">
        <v>15</v>
      </c>
      <c r="B63" s="18" t="s">
        <v>50</v>
      </c>
      <c r="C63" s="18" t="s">
        <v>51</v>
      </c>
      <c r="D63" s="19">
        <v>3.6</v>
      </c>
      <c r="E63" s="19">
        <v>8.7200000000000006</v>
      </c>
      <c r="F63" s="20"/>
      <c r="G63" s="20"/>
      <c r="H63" s="19">
        <v>12.32</v>
      </c>
    </row>
    <row r="64" spans="1:8" ht="25.5" x14ac:dyDescent="0.2">
      <c r="A64" s="17">
        <v>16</v>
      </c>
      <c r="B64" s="18" t="s">
        <v>52</v>
      </c>
      <c r="C64" s="18" t="s">
        <v>53</v>
      </c>
      <c r="D64" s="19">
        <f>D65+D66+D67</f>
        <v>88.86</v>
      </c>
      <c r="E64" s="19">
        <f>E65+E66+E67</f>
        <v>16</v>
      </c>
      <c r="F64" s="19">
        <f>F65+F66+F67</f>
        <v>8196.7900000000009</v>
      </c>
      <c r="G64" s="20"/>
      <c r="H64" s="37">
        <f>H65+H66+H67</f>
        <v>8301.65</v>
      </c>
    </row>
    <row r="65" spans="1:8" x14ac:dyDescent="0.2">
      <c r="A65" s="17"/>
      <c r="B65" s="32" t="s">
        <v>213</v>
      </c>
      <c r="C65" s="32" t="s">
        <v>198</v>
      </c>
      <c r="D65" s="36">
        <v>82.6</v>
      </c>
      <c r="E65" s="33"/>
      <c r="F65" s="33"/>
      <c r="G65" s="34"/>
      <c r="H65" s="36">
        <f>D65+E65+F65+G65</f>
        <v>82.6</v>
      </c>
    </row>
    <row r="66" spans="1:8" ht="38.25" x14ac:dyDescent="0.2">
      <c r="A66" s="17"/>
      <c r="B66" s="32" t="s">
        <v>214</v>
      </c>
      <c r="C66" s="32" t="s">
        <v>215</v>
      </c>
      <c r="D66" s="33">
        <v>5.94</v>
      </c>
      <c r="E66" s="33">
        <v>11.72</v>
      </c>
      <c r="F66" s="33">
        <v>8182.44</v>
      </c>
      <c r="G66" s="34"/>
      <c r="H66" s="36">
        <f>D66+E66+F66+G66</f>
        <v>8200.1</v>
      </c>
    </row>
    <row r="67" spans="1:8" ht="25.5" x14ac:dyDescent="0.2">
      <c r="A67" s="17"/>
      <c r="B67" s="32" t="s">
        <v>216</v>
      </c>
      <c r="C67" s="32" t="s">
        <v>217</v>
      </c>
      <c r="D67" s="33">
        <v>0.32</v>
      </c>
      <c r="E67" s="33">
        <v>4.28</v>
      </c>
      <c r="F67" s="33">
        <v>14.35</v>
      </c>
      <c r="G67" s="34"/>
      <c r="H67" s="36">
        <f>D67+E67+F67+G67</f>
        <v>18.95</v>
      </c>
    </row>
    <row r="68" spans="1:8" ht="25.5" x14ac:dyDescent="0.2">
      <c r="A68" s="17">
        <v>17</v>
      </c>
      <c r="B68" s="18" t="s">
        <v>54</v>
      </c>
      <c r="C68" s="18" t="s">
        <v>55</v>
      </c>
      <c r="D68" s="19">
        <f>D69+D70+D71</f>
        <v>87.83</v>
      </c>
      <c r="E68" s="19">
        <f>E69+E70+E71</f>
        <v>16.54</v>
      </c>
      <c r="F68" s="19">
        <f>F69+F70+F71</f>
        <v>8673.34</v>
      </c>
      <c r="G68" s="20"/>
      <c r="H68" s="19">
        <f>H69+H70+H71</f>
        <v>8777.7099999999991</v>
      </c>
    </row>
    <row r="69" spans="1:8" x14ac:dyDescent="0.2">
      <c r="A69" s="17"/>
      <c r="B69" s="32" t="s">
        <v>218</v>
      </c>
      <c r="C69" s="32" t="s">
        <v>198</v>
      </c>
      <c r="D69" s="33">
        <v>81.56</v>
      </c>
      <c r="E69" s="33"/>
      <c r="F69" s="33"/>
      <c r="G69" s="34"/>
      <c r="H69" s="33">
        <f>G69+F69+E69+D69</f>
        <v>81.56</v>
      </c>
    </row>
    <row r="70" spans="1:8" ht="38.25" x14ac:dyDescent="0.2">
      <c r="A70" s="17"/>
      <c r="B70" s="32" t="s">
        <v>219</v>
      </c>
      <c r="C70" s="32" t="s">
        <v>220</v>
      </c>
      <c r="D70" s="33">
        <v>5.95</v>
      </c>
      <c r="E70" s="33">
        <v>12.3</v>
      </c>
      <c r="F70" s="33">
        <v>8665.0400000000009</v>
      </c>
      <c r="G70" s="34"/>
      <c r="H70" s="33">
        <f>G70+F70+E70+D70</f>
        <v>8683.2900000000009</v>
      </c>
    </row>
    <row r="71" spans="1:8" ht="25.5" x14ac:dyDescent="0.2">
      <c r="A71" s="17"/>
      <c r="B71" s="32" t="s">
        <v>221</v>
      </c>
      <c r="C71" s="32" t="s">
        <v>222</v>
      </c>
      <c r="D71" s="33">
        <v>0.32</v>
      </c>
      <c r="E71" s="33">
        <v>4.24</v>
      </c>
      <c r="F71" s="33">
        <v>8.3000000000000007</v>
      </c>
      <c r="G71" s="34"/>
      <c r="H71" s="33">
        <f>G71+F71+E71+D71</f>
        <v>12.86</v>
      </c>
    </row>
    <row r="72" spans="1:8" x14ac:dyDescent="0.2">
      <c r="A72" s="17">
        <v>18</v>
      </c>
      <c r="B72" s="18" t="s">
        <v>56</v>
      </c>
      <c r="C72" s="18" t="s">
        <v>57</v>
      </c>
      <c r="D72" s="19">
        <f>D73+D74+D75</f>
        <v>61.92</v>
      </c>
      <c r="E72" s="19">
        <f>E73+E74+E75</f>
        <v>15.36</v>
      </c>
      <c r="F72" s="19">
        <f>F73+F74+F75</f>
        <v>4135.75</v>
      </c>
      <c r="G72" s="20"/>
      <c r="H72" s="19">
        <f>H73+H74+H75</f>
        <v>4213.03</v>
      </c>
    </row>
    <row r="73" spans="1:8" x14ac:dyDescent="0.2">
      <c r="A73" s="17"/>
      <c r="B73" s="32" t="s">
        <v>223</v>
      </c>
      <c r="C73" s="32" t="s">
        <v>198</v>
      </c>
      <c r="D73" s="36">
        <v>56</v>
      </c>
      <c r="E73" s="33"/>
      <c r="F73" s="33"/>
      <c r="G73" s="34"/>
      <c r="H73" s="36">
        <f>G73+F73+E73+D73</f>
        <v>56</v>
      </c>
    </row>
    <row r="74" spans="1:8" ht="25.5" x14ac:dyDescent="0.2">
      <c r="A74" s="17"/>
      <c r="B74" s="32" t="s">
        <v>224</v>
      </c>
      <c r="C74" s="32" t="s">
        <v>225</v>
      </c>
      <c r="D74" s="33">
        <v>5.91</v>
      </c>
      <c r="E74" s="33">
        <v>11.41</v>
      </c>
      <c r="F74" s="33">
        <v>4121.8500000000004</v>
      </c>
      <c r="G74" s="34"/>
      <c r="H74" s="33">
        <f>G74+F74+E74+D74</f>
        <v>4139.17</v>
      </c>
    </row>
    <row r="75" spans="1:8" ht="25.5" x14ac:dyDescent="0.2">
      <c r="A75" s="17"/>
      <c r="B75" s="32" t="s">
        <v>226</v>
      </c>
      <c r="C75" s="32" t="s">
        <v>227</v>
      </c>
      <c r="D75" s="33">
        <v>0.01</v>
      </c>
      <c r="E75" s="33">
        <v>3.95</v>
      </c>
      <c r="F75" s="36">
        <v>13.9</v>
      </c>
      <c r="G75" s="34"/>
      <c r="H75" s="33">
        <f>G75+F75+E75+D75</f>
        <v>17.86</v>
      </c>
    </row>
    <row r="76" spans="1:8" x14ac:dyDescent="0.2">
      <c r="A76" s="17">
        <v>19</v>
      </c>
      <c r="B76" s="18" t="s">
        <v>58</v>
      </c>
      <c r="C76" s="18" t="s">
        <v>59</v>
      </c>
      <c r="D76" s="19">
        <f>D77+D78+D79</f>
        <v>53.88</v>
      </c>
      <c r="E76" s="19">
        <f>E77+E78+E79</f>
        <v>14.62</v>
      </c>
      <c r="F76" s="37">
        <f>F77+F78+F79</f>
        <v>3256.98</v>
      </c>
      <c r="G76" s="20"/>
      <c r="H76" s="19">
        <f>H77+H78+H79</f>
        <v>3325.48</v>
      </c>
    </row>
    <row r="77" spans="1:8" x14ac:dyDescent="0.2">
      <c r="A77" s="17"/>
      <c r="B77" s="32" t="s">
        <v>228</v>
      </c>
      <c r="C77" s="32" t="s">
        <v>198</v>
      </c>
      <c r="D77" s="33">
        <v>47.62</v>
      </c>
      <c r="E77" s="33"/>
      <c r="F77" s="33"/>
      <c r="G77" s="34"/>
      <c r="H77" s="33">
        <f>G77+F77+E77+D77</f>
        <v>47.62</v>
      </c>
    </row>
    <row r="78" spans="1:8" ht="25.5" x14ac:dyDescent="0.2">
      <c r="A78" s="17"/>
      <c r="B78" s="32" t="s">
        <v>229</v>
      </c>
      <c r="C78" s="32" t="s">
        <v>230</v>
      </c>
      <c r="D78" s="33">
        <v>5.94</v>
      </c>
      <c r="E78" s="33">
        <v>10.61</v>
      </c>
      <c r="F78" s="33">
        <v>3243.08</v>
      </c>
      <c r="G78" s="34"/>
      <c r="H78" s="33">
        <f>G78+F78+E78+D78</f>
        <v>3259.63</v>
      </c>
    </row>
    <row r="79" spans="1:8" ht="25.5" x14ac:dyDescent="0.2">
      <c r="A79" s="17"/>
      <c r="B79" s="32" t="s">
        <v>231</v>
      </c>
      <c r="C79" s="32" t="s">
        <v>232</v>
      </c>
      <c r="D79" s="33">
        <v>0.32</v>
      </c>
      <c r="E79" s="33">
        <v>4.01</v>
      </c>
      <c r="F79" s="36">
        <v>13.9</v>
      </c>
      <c r="G79" s="34"/>
      <c r="H79" s="33">
        <f>G79+F79+E79+D79</f>
        <v>18.23</v>
      </c>
    </row>
    <row r="80" spans="1:8" ht="27.95" customHeight="1" x14ac:dyDescent="0.2">
      <c r="A80" s="35"/>
      <c r="B80" s="215" t="s">
        <v>60</v>
      </c>
      <c r="C80" s="216"/>
      <c r="D80" s="30">
        <f>D47+D51+D55+D59+D60+D61+D62+D63+D64+D68+D72+D76</f>
        <v>1186.22</v>
      </c>
      <c r="E80" s="30">
        <f>E47+E51+E55+E59+E60+E61+E62+E63+E64+E68+E72+E76</f>
        <v>2006.8</v>
      </c>
      <c r="F80" s="30">
        <f>F47+F51+F55+F59+F60+F61+F62+F63+F64+F68+F72+F76</f>
        <v>37366.58</v>
      </c>
      <c r="G80" s="31"/>
      <c r="H80" s="38">
        <f>H47+H51+H55+H59+H60+H61+H62+H63+H64+H68+H72+H76</f>
        <v>40559.599999999999</v>
      </c>
    </row>
    <row r="81" spans="1:8" x14ac:dyDescent="0.2">
      <c r="A81" s="213" t="s">
        <v>61</v>
      </c>
      <c r="B81" s="214"/>
      <c r="C81" s="214"/>
      <c r="D81" s="214"/>
      <c r="E81" s="214"/>
      <c r="F81" s="214"/>
      <c r="G81" s="214"/>
      <c r="H81" s="214"/>
    </row>
    <row r="82" spans="1:8" x14ac:dyDescent="0.2">
      <c r="A82" s="17">
        <v>20</v>
      </c>
      <c r="B82" s="18" t="s">
        <v>62</v>
      </c>
      <c r="C82" s="18" t="s">
        <v>63</v>
      </c>
      <c r="D82" s="19">
        <v>66.47</v>
      </c>
      <c r="E82" s="19">
        <v>1320.15</v>
      </c>
      <c r="F82" s="20"/>
      <c r="G82" s="20"/>
      <c r="H82" s="19">
        <v>1386.62</v>
      </c>
    </row>
    <row r="83" spans="1:8" x14ac:dyDescent="0.2">
      <c r="A83" s="17">
        <v>21</v>
      </c>
      <c r="B83" s="18" t="s">
        <v>64</v>
      </c>
      <c r="C83" s="18" t="s">
        <v>65</v>
      </c>
      <c r="D83" s="19">
        <f>D84+D85+D86+D87+D88+D89+D90+D91+D92+D93+D94+D95+D96+D97+D98</f>
        <v>1378.81</v>
      </c>
      <c r="E83" s="19">
        <f>E84+E85+E86+E87+E88+E89+E90+E91+E92+E93+E94+E95+E96+E97+E98</f>
        <v>438.93</v>
      </c>
      <c r="F83" s="19">
        <f>F84+F85+F86+F87+F88+F89+F90+F91+F92+F93+F94+F95+F96+F97+F98</f>
        <v>643.45000000000005</v>
      </c>
      <c r="G83" s="20"/>
      <c r="H83" s="19">
        <f>H84+H85+H86+H87+H88+H89+H90+H91+H92+H93+H94+H95+H96+H97+H98</f>
        <v>2461.19</v>
      </c>
    </row>
    <row r="84" spans="1:8" ht="25.5" x14ac:dyDescent="0.2">
      <c r="A84" s="17"/>
      <c r="B84" s="32" t="s">
        <v>233</v>
      </c>
      <c r="C84" s="32" t="s">
        <v>234</v>
      </c>
      <c r="D84" s="33">
        <v>1347.6</v>
      </c>
      <c r="E84" s="33">
        <v>8.4600000000000009</v>
      </c>
      <c r="F84" s="33">
        <v>55.95</v>
      </c>
      <c r="G84" s="34"/>
      <c r="H84" s="33">
        <f>G84+F84+E84+D84</f>
        <v>1412.01</v>
      </c>
    </row>
    <row r="85" spans="1:8" ht="38.25" x14ac:dyDescent="0.2">
      <c r="A85" s="17"/>
      <c r="B85" s="32" t="s">
        <v>235</v>
      </c>
      <c r="C85" s="32" t="s">
        <v>236</v>
      </c>
      <c r="D85" s="33"/>
      <c r="E85" s="33">
        <v>0.16</v>
      </c>
      <c r="F85" s="33">
        <v>0.04</v>
      </c>
      <c r="G85" s="34"/>
      <c r="H85" s="33">
        <f t="shared" ref="H85:H98" si="0">G85+F85+E85+D85</f>
        <v>0.2</v>
      </c>
    </row>
    <row r="86" spans="1:8" ht="38.25" x14ac:dyDescent="0.2">
      <c r="A86" s="17"/>
      <c r="B86" s="32" t="s">
        <v>237</v>
      </c>
      <c r="C86" s="32" t="s">
        <v>238</v>
      </c>
      <c r="D86" s="33">
        <v>0.32</v>
      </c>
      <c r="E86" s="33">
        <v>42.05</v>
      </c>
      <c r="F86" s="33">
        <v>136.34</v>
      </c>
      <c r="G86" s="34"/>
      <c r="H86" s="33">
        <f t="shared" si="0"/>
        <v>178.71</v>
      </c>
    </row>
    <row r="87" spans="1:8" ht="38.25" x14ac:dyDescent="0.2">
      <c r="A87" s="17"/>
      <c r="B87" s="32" t="s">
        <v>239</v>
      </c>
      <c r="C87" s="32" t="s">
        <v>240</v>
      </c>
      <c r="D87" s="33">
        <v>0.46</v>
      </c>
      <c r="E87" s="33">
        <v>4.5199999999999996</v>
      </c>
      <c r="F87" s="33">
        <v>7.73</v>
      </c>
      <c r="G87" s="34"/>
      <c r="H87" s="33">
        <f t="shared" si="0"/>
        <v>12.71</v>
      </c>
    </row>
    <row r="88" spans="1:8" ht="38.25" x14ac:dyDescent="0.2">
      <c r="A88" s="17"/>
      <c r="B88" s="32" t="s">
        <v>241</v>
      </c>
      <c r="C88" s="32" t="s">
        <v>242</v>
      </c>
      <c r="D88" s="33">
        <v>0.61</v>
      </c>
      <c r="E88" s="33">
        <v>6.78</v>
      </c>
      <c r="F88" s="33">
        <v>7.73</v>
      </c>
      <c r="G88" s="34"/>
      <c r="H88" s="33">
        <f t="shared" si="0"/>
        <v>15.12</v>
      </c>
    </row>
    <row r="89" spans="1:8" ht="25.5" x14ac:dyDescent="0.2">
      <c r="A89" s="17"/>
      <c r="B89" s="32" t="s">
        <v>243</v>
      </c>
      <c r="C89" s="32" t="s">
        <v>244</v>
      </c>
      <c r="D89" s="33">
        <v>11.62</v>
      </c>
      <c r="E89" s="33">
        <v>98.64</v>
      </c>
      <c r="F89" s="33">
        <v>85.09</v>
      </c>
      <c r="G89" s="34"/>
      <c r="H89" s="33">
        <f t="shared" si="0"/>
        <v>195.35</v>
      </c>
    </row>
    <row r="90" spans="1:8" ht="38.25" x14ac:dyDescent="0.2">
      <c r="A90" s="17"/>
      <c r="B90" s="32" t="s">
        <v>245</v>
      </c>
      <c r="C90" s="32" t="s">
        <v>246</v>
      </c>
      <c r="D90" s="33">
        <v>2.0499999999999998</v>
      </c>
      <c r="E90" s="33">
        <v>8.32</v>
      </c>
      <c r="F90" s="33">
        <v>37.11</v>
      </c>
      <c r="G90" s="34"/>
      <c r="H90" s="33">
        <f t="shared" si="0"/>
        <v>47.48</v>
      </c>
    </row>
    <row r="91" spans="1:8" ht="38.25" x14ac:dyDescent="0.2">
      <c r="A91" s="17"/>
      <c r="B91" s="32" t="s">
        <v>247</v>
      </c>
      <c r="C91" s="32" t="s">
        <v>248</v>
      </c>
      <c r="D91" s="33">
        <v>2.06</v>
      </c>
      <c r="E91" s="33">
        <v>10.34</v>
      </c>
      <c r="F91" s="33">
        <v>45.96</v>
      </c>
      <c r="G91" s="34"/>
      <c r="H91" s="33">
        <f t="shared" si="0"/>
        <v>58.36</v>
      </c>
    </row>
    <row r="92" spans="1:8" ht="25.5" x14ac:dyDescent="0.2">
      <c r="A92" s="17"/>
      <c r="B92" s="32" t="s">
        <v>249</v>
      </c>
      <c r="C92" s="32" t="s">
        <v>250</v>
      </c>
      <c r="D92" s="33">
        <v>2.61</v>
      </c>
      <c r="E92" s="33">
        <v>17.420000000000002</v>
      </c>
      <c r="F92" s="33">
        <v>30.42</v>
      </c>
      <c r="G92" s="34"/>
      <c r="H92" s="33">
        <f t="shared" si="0"/>
        <v>50.45</v>
      </c>
    </row>
    <row r="93" spans="1:8" ht="38.25" x14ac:dyDescent="0.2">
      <c r="A93" s="17"/>
      <c r="B93" s="32" t="s">
        <v>251</v>
      </c>
      <c r="C93" s="32" t="s">
        <v>252</v>
      </c>
      <c r="D93" s="33">
        <v>2.12</v>
      </c>
      <c r="E93" s="33">
        <v>11.31</v>
      </c>
      <c r="F93" s="33">
        <v>45.96</v>
      </c>
      <c r="G93" s="34"/>
      <c r="H93" s="33">
        <f t="shared" si="0"/>
        <v>59.39</v>
      </c>
    </row>
    <row r="94" spans="1:8" ht="38.25" x14ac:dyDescent="0.2">
      <c r="A94" s="17"/>
      <c r="B94" s="32" t="s">
        <v>253</v>
      </c>
      <c r="C94" s="32" t="s">
        <v>254</v>
      </c>
      <c r="D94" s="33">
        <v>2.06</v>
      </c>
      <c r="E94" s="33">
        <v>8.9</v>
      </c>
      <c r="F94" s="33">
        <v>41.03</v>
      </c>
      <c r="G94" s="34"/>
      <c r="H94" s="33">
        <f t="shared" si="0"/>
        <v>51.99</v>
      </c>
    </row>
    <row r="95" spans="1:8" ht="38.25" x14ac:dyDescent="0.2">
      <c r="A95" s="17"/>
      <c r="B95" s="32" t="s">
        <v>255</v>
      </c>
      <c r="C95" s="32" t="s">
        <v>256</v>
      </c>
      <c r="D95" s="33">
        <v>2.0499999999999998</v>
      </c>
      <c r="E95" s="33">
        <v>8.5299999999999994</v>
      </c>
      <c r="F95" s="33">
        <v>37.17</v>
      </c>
      <c r="G95" s="34"/>
      <c r="H95" s="33">
        <f t="shared" si="0"/>
        <v>47.75</v>
      </c>
    </row>
    <row r="96" spans="1:8" ht="38.25" x14ac:dyDescent="0.2">
      <c r="A96" s="17"/>
      <c r="B96" s="32" t="s">
        <v>257</v>
      </c>
      <c r="C96" s="32" t="s">
        <v>258</v>
      </c>
      <c r="D96" s="33">
        <v>2.06</v>
      </c>
      <c r="E96" s="33">
        <v>8.9</v>
      </c>
      <c r="F96" s="33">
        <v>41.03</v>
      </c>
      <c r="G96" s="34"/>
      <c r="H96" s="33">
        <f t="shared" si="0"/>
        <v>51.99</v>
      </c>
    </row>
    <row r="97" spans="1:8" ht="38.25" x14ac:dyDescent="0.2">
      <c r="A97" s="17"/>
      <c r="B97" s="32" t="s">
        <v>259</v>
      </c>
      <c r="C97" s="32" t="s">
        <v>260</v>
      </c>
      <c r="D97" s="33">
        <v>2.04</v>
      </c>
      <c r="E97" s="33">
        <v>8.0500000000000007</v>
      </c>
      <c r="F97" s="33">
        <v>37.17</v>
      </c>
      <c r="G97" s="34"/>
      <c r="H97" s="33">
        <f t="shared" si="0"/>
        <v>47.26</v>
      </c>
    </row>
    <row r="98" spans="1:8" ht="25.5" x14ac:dyDescent="0.2">
      <c r="A98" s="17"/>
      <c r="B98" s="32" t="s">
        <v>261</v>
      </c>
      <c r="C98" s="32" t="s">
        <v>262</v>
      </c>
      <c r="D98" s="33">
        <v>1.1499999999999999</v>
      </c>
      <c r="E98" s="33">
        <v>196.55</v>
      </c>
      <c r="F98" s="33">
        <v>34.72</v>
      </c>
      <c r="G98" s="34"/>
      <c r="H98" s="33">
        <f t="shared" si="0"/>
        <v>232.42</v>
      </c>
    </row>
    <row r="99" spans="1:8" ht="27.95" customHeight="1" x14ac:dyDescent="0.2">
      <c r="A99" s="35"/>
      <c r="B99" s="215" t="s">
        <v>66</v>
      </c>
      <c r="C99" s="216"/>
      <c r="D99" s="30">
        <f>D82+D83</f>
        <v>1445.28</v>
      </c>
      <c r="E99" s="30">
        <f>E82+E83</f>
        <v>1759.08</v>
      </c>
      <c r="F99" s="30">
        <f>F82+F83</f>
        <v>643.45000000000005</v>
      </c>
      <c r="G99" s="31"/>
      <c r="H99" s="30">
        <f>H82+H83</f>
        <v>3847.81</v>
      </c>
    </row>
    <row r="100" spans="1:8" x14ac:dyDescent="0.2">
      <c r="A100" s="213" t="s">
        <v>67</v>
      </c>
      <c r="B100" s="214"/>
      <c r="C100" s="214"/>
      <c r="D100" s="214"/>
      <c r="E100" s="214"/>
      <c r="F100" s="214"/>
      <c r="G100" s="214"/>
      <c r="H100" s="214"/>
    </row>
    <row r="101" spans="1:8" x14ac:dyDescent="0.2">
      <c r="A101" s="17">
        <v>22</v>
      </c>
      <c r="B101" s="18" t="s">
        <v>68</v>
      </c>
      <c r="C101" s="18" t="s">
        <v>69</v>
      </c>
      <c r="D101" s="19">
        <f>D102+D103</f>
        <v>1670.74</v>
      </c>
      <c r="E101" s="19">
        <f>E102+E103</f>
        <v>8.6999999999999993</v>
      </c>
      <c r="F101" s="20"/>
      <c r="G101" s="20"/>
      <c r="H101" s="19">
        <f>H102+H103</f>
        <v>1679.44</v>
      </c>
    </row>
    <row r="102" spans="1:8" x14ac:dyDescent="0.2">
      <c r="A102" s="17"/>
      <c r="B102" s="32" t="s">
        <v>263</v>
      </c>
      <c r="C102" s="32" t="s">
        <v>198</v>
      </c>
      <c r="D102" s="33">
        <v>18.75</v>
      </c>
      <c r="E102" s="33"/>
      <c r="F102" s="34"/>
      <c r="G102" s="34"/>
      <c r="H102" s="33">
        <f t="shared" ref="H102:H107" si="1">G102+F102+E102+D102</f>
        <v>18.75</v>
      </c>
    </row>
    <row r="103" spans="1:8" x14ac:dyDescent="0.2">
      <c r="A103" s="17"/>
      <c r="B103" s="32" t="s">
        <v>264</v>
      </c>
      <c r="C103" s="32" t="s">
        <v>265</v>
      </c>
      <c r="D103" s="33">
        <v>1651.99</v>
      </c>
      <c r="E103" s="33">
        <v>8.6999999999999993</v>
      </c>
      <c r="F103" s="34"/>
      <c r="G103" s="34"/>
      <c r="H103" s="33">
        <f t="shared" si="1"/>
        <v>1660.69</v>
      </c>
    </row>
    <row r="104" spans="1:8" x14ac:dyDescent="0.2">
      <c r="A104" s="17">
        <v>23</v>
      </c>
      <c r="B104" s="18" t="s">
        <v>70</v>
      </c>
      <c r="C104" s="18" t="s">
        <v>71</v>
      </c>
      <c r="D104" s="37">
        <f>D105+D106+D107</f>
        <v>101</v>
      </c>
      <c r="E104" s="37">
        <f>E105+E106+E107</f>
        <v>5.7</v>
      </c>
      <c r="F104" s="19">
        <f>F105+F106+F107</f>
        <v>2394.85</v>
      </c>
      <c r="G104" s="20"/>
      <c r="H104" s="37">
        <f t="shared" si="1"/>
        <v>2501.5500000000002</v>
      </c>
    </row>
    <row r="105" spans="1:8" x14ac:dyDescent="0.2">
      <c r="A105" s="17"/>
      <c r="B105" s="32" t="s">
        <v>266</v>
      </c>
      <c r="C105" s="32" t="s">
        <v>198</v>
      </c>
      <c r="D105" s="33">
        <v>100.88</v>
      </c>
      <c r="E105" s="33"/>
      <c r="F105" s="33"/>
      <c r="G105" s="34"/>
      <c r="H105" s="33">
        <f t="shared" si="1"/>
        <v>100.88</v>
      </c>
    </row>
    <row r="106" spans="1:8" x14ac:dyDescent="0.2">
      <c r="A106" s="17"/>
      <c r="B106" s="32" t="s">
        <v>267</v>
      </c>
      <c r="C106" s="32" t="s">
        <v>268</v>
      </c>
      <c r="D106" s="33">
        <v>0.02</v>
      </c>
      <c r="E106" s="33">
        <v>5.03</v>
      </c>
      <c r="F106" s="33">
        <v>2243.11</v>
      </c>
      <c r="G106" s="34"/>
      <c r="H106" s="33">
        <f t="shared" si="1"/>
        <v>2248.16</v>
      </c>
    </row>
    <row r="107" spans="1:8" ht="40.15" customHeight="1" x14ac:dyDescent="0.2">
      <c r="A107" s="17"/>
      <c r="B107" s="32" t="s">
        <v>269</v>
      </c>
      <c r="C107" s="32" t="s">
        <v>270</v>
      </c>
      <c r="D107" s="36">
        <v>0.1</v>
      </c>
      <c r="E107" s="33">
        <v>0.67</v>
      </c>
      <c r="F107" s="33">
        <v>151.74</v>
      </c>
      <c r="G107" s="34"/>
      <c r="H107" s="33">
        <f t="shared" si="1"/>
        <v>152.51</v>
      </c>
    </row>
    <row r="108" spans="1:8" x14ac:dyDescent="0.2">
      <c r="A108" s="17">
        <v>24</v>
      </c>
      <c r="B108" s="18" t="s">
        <v>72</v>
      </c>
      <c r="C108" s="18" t="s">
        <v>73</v>
      </c>
      <c r="D108" s="19">
        <v>4311.2</v>
      </c>
      <c r="E108" s="20"/>
      <c r="F108" s="20"/>
      <c r="G108" s="20"/>
      <c r="H108" s="19">
        <v>4311.2</v>
      </c>
    </row>
    <row r="109" spans="1:8" x14ac:dyDescent="0.2">
      <c r="A109" s="17">
        <v>25</v>
      </c>
      <c r="B109" s="18" t="s">
        <v>74</v>
      </c>
      <c r="C109" s="18" t="s">
        <v>75</v>
      </c>
      <c r="D109" s="19">
        <f>D110+D111</f>
        <v>51.56</v>
      </c>
      <c r="E109" s="19">
        <f>E110+E111</f>
        <v>9.9499999999999993</v>
      </c>
      <c r="F109" s="19">
        <f>F110+F111</f>
        <v>1993.3</v>
      </c>
      <c r="G109" s="20"/>
      <c r="H109" s="19">
        <f>H110+H111</f>
        <v>2054.81</v>
      </c>
    </row>
    <row r="110" spans="1:8" ht="23.45" customHeight="1" x14ac:dyDescent="0.2">
      <c r="A110" s="17"/>
      <c r="B110" s="32" t="s">
        <v>271</v>
      </c>
      <c r="C110" s="32" t="s">
        <v>198</v>
      </c>
      <c r="D110" s="33">
        <v>51.54</v>
      </c>
      <c r="E110" s="33"/>
      <c r="F110" s="33"/>
      <c r="G110" s="34"/>
      <c r="H110" s="33">
        <f>G110+F110+E110+D110</f>
        <v>51.54</v>
      </c>
    </row>
    <row r="111" spans="1:8" ht="21.6" customHeight="1" x14ac:dyDescent="0.2">
      <c r="A111" s="17"/>
      <c r="B111" s="32" t="s">
        <v>272</v>
      </c>
      <c r="C111" s="32" t="s">
        <v>273</v>
      </c>
      <c r="D111" s="33">
        <v>0.02</v>
      </c>
      <c r="E111" s="33">
        <v>9.9499999999999993</v>
      </c>
      <c r="F111" s="33">
        <v>1993.3</v>
      </c>
      <c r="G111" s="34"/>
      <c r="H111" s="33">
        <f>G111+F111+E111+D111</f>
        <v>2003.27</v>
      </c>
    </row>
    <row r="112" spans="1:8" x14ac:dyDescent="0.2">
      <c r="A112" s="17">
        <v>26</v>
      </c>
      <c r="B112" s="18" t="s">
        <v>76</v>
      </c>
      <c r="C112" s="18" t="s">
        <v>77</v>
      </c>
      <c r="D112" s="19">
        <f>D113+D114</f>
        <v>1043.6600000000001</v>
      </c>
      <c r="E112" s="20"/>
      <c r="F112" s="19">
        <f>F113+F114</f>
        <v>14.92</v>
      </c>
      <c r="G112" s="20"/>
      <c r="H112" s="19">
        <f>H113+H114</f>
        <v>1058.58</v>
      </c>
    </row>
    <row r="113" spans="1:8" ht="21" customHeight="1" x14ac:dyDescent="0.2">
      <c r="A113" s="17"/>
      <c r="B113" s="32" t="s">
        <v>274</v>
      </c>
      <c r="C113" s="32" t="s">
        <v>275</v>
      </c>
      <c r="D113" s="33">
        <v>138.69</v>
      </c>
      <c r="E113" s="34"/>
      <c r="F113" s="33"/>
      <c r="G113" s="34"/>
      <c r="H113" s="33">
        <v>138.69</v>
      </c>
    </row>
    <row r="114" spans="1:8" ht="20.45" customHeight="1" x14ac:dyDescent="0.2">
      <c r="A114" s="17"/>
      <c r="B114" s="32" t="s">
        <v>276</v>
      </c>
      <c r="C114" s="32" t="s">
        <v>277</v>
      </c>
      <c r="D114" s="33">
        <v>904.97</v>
      </c>
      <c r="E114" s="34"/>
      <c r="F114" s="33">
        <v>14.92</v>
      </c>
      <c r="G114" s="34"/>
      <c r="H114" s="33">
        <v>919.89</v>
      </c>
    </row>
    <row r="115" spans="1:8" x14ac:dyDescent="0.2">
      <c r="A115" s="17">
        <v>27</v>
      </c>
      <c r="B115" s="18" t="s">
        <v>78</v>
      </c>
      <c r="C115" s="18" t="s">
        <v>79</v>
      </c>
      <c r="D115" s="19">
        <f>D116+D117</f>
        <v>1043.6600000000001</v>
      </c>
      <c r="E115" s="20"/>
      <c r="F115" s="19">
        <f>F117</f>
        <v>14.92</v>
      </c>
      <c r="G115" s="20"/>
      <c r="H115" s="19">
        <f>H116+H117</f>
        <v>1058.58</v>
      </c>
    </row>
    <row r="116" spans="1:8" ht="22.15" customHeight="1" x14ac:dyDescent="0.2">
      <c r="A116" s="17"/>
      <c r="B116" s="32" t="s">
        <v>278</v>
      </c>
      <c r="C116" s="32" t="s">
        <v>279</v>
      </c>
      <c r="D116" s="33">
        <v>138.69</v>
      </c>
      <c r="E116" s="34"/>
      <c r="F116" s="33"/>
      <c r="G116" s="34"/>
      <c r="H116" s="33">
        <f>G116+F116+E116+D116</f>
        <v>138.69</v>
      </c>
    </row>
    <row r="117" spans="1:8" ht="19.899999999999999" customHeight="1" x14ac:dyDescent="0.2">
      <c r="A117" s="17"/>
      <c r="B117" s="32" t="s">
        <v>280</v>
      </c>
      <c r="C117" s="32" t="s">
        <v>281</v>
      </c>
      <c r="D117" s="33">
        <v>904.97</v>
      </c>
      <c r="E117" s="34"/>
      <c r="F117" s="33">
        <v>14.92</v>
      </c>
      <c r="G117" s="34"/>
      <c r="H117" s="33">
        <f>G117+F117+E117+D117</f>
        <v>919.89</v>
      </c>
    </row>
    <row r="118" spans="1:8" x14ac:dyDescent="0.2">
      <c r="A118" s="17">
        <v>28</v>
      </c>
      <c r="B118" s="18" t="s">
        <v>80</v>
      </c>
      <c r="C118" s="18" t="s">
        <v>81</v>
      </c>
      <c r="D118" s="19">
        <f>D119+D120</f>
        <v>138.19</v>
      </c>
      <c r="E118" s="19">
        <f>E120</f>
        <v>5.03</v>
      </c>
      <c r="F118" s="19">
        <f>F120</f>
        <v>626.38</v>
      </c>
      <c r="G118" s="20"/>
      <c r="H118" s="19">
        <f>H119+H120</f>
        <v>769.6</v>
      </c>
    </row>
    <row r="119" spans="1:8" ht="23.45" customHeight="1" x14ac:dyDescent="0.2">
      <c r="A119" s="17"/>
      <c r="B119" s="32" t="s">
        <v>282</v>
      </c>
      <c r="C119" s="32" t="s">
        <v>283</v>
      </c>
      <c r="D119" s="33">
        <v>131.9</v>
      </c>
      <c r="E119" s="33"/>
      <c r="F119" s="33"/>
      <c r="G119" s="34"/>
      <c r="H119" s="33">
        <f>D119</f>
        <v>131.9</v>
      </c>
    </row>
    <row r="120" spans="1:8" ht="19.899999999999999" customHeight="1" x14ac:dyDescent="0.2">
      <c r="A120" s="17"/>
      <c r="B120" s="32" t="s">
        <v>284</v>
      </c>
      <c r="C120" s="32" t="s">
        <v>285</v>
      </c>
      <c r="D120" s="33">
        <v>6.29</v>
      </c>
      <c r="E120" s="33">
        <v>5.03</v>
      </c>
      <c r="F120" s="33">
        <v>626.38</v>
      </c>
      <c r="G120" s="34"/>
      <c r="H120" s="33">
        <f>F120+E120+D120</f>
        <v>637.70000000000005</v>
      </c>
    </row>
    <row r="121" spans="1:8" x14ac:dyDescent="0.2">
      <c r="A121" s="17">
        <v>29</v>
      </c>
      <c r="B121" s="18" t="s">
        <v>82</v>
      </c>
      <c r="C121" s="18" t="s">
        <v>83</v>
      </c>
      <c r="D121" s="19">
        <v>4572.75</v>
      </c>
      <c r="E121" s="19">
        <v>8.74</v>
      </c>
      <c r="F121" s="19">
        <v>587.35</v>
      </c>
      <c r="G121" s="20"/>
      <c r="H121" s="19">
        <v>5168.84</v>
      </c>
    </row>
    <row r="122" spans="1:8" x14ac:dyDescent="0.2">
      <c r="A122" s="17">
        <v>30</v>
      </c>
      <c r="B122" s="18" t="s">
        <v>84</v>
      </c>
      <c r="C122" s="18" t="s">
        <v>85</v>
      </c>
      <c r="D122" s="19">
        <v>4339.22</v>
      </c>
      <c r="E122" s="20"/>
      <c r="F122" s="20"/>
      <c r="G122" s="20"/>
      <c r="H122" s="19">
        <v>4339.22</v>
      </c>
    </row>
    <row r="123" spans="1:8" x14ac:dyDescent="0.2">
      <c r="A123" s="17">
        <v>31</v>
      </c>
      <c r="B123" s="18" t="s">
        <v>86</v>
      </c>
      <c r="C123" s="18" t="s">
        <v>87</v>
      </c>
      <c r="D123" s="19">
        <v>1512.67</v>
      </c>
      <c r="E123" s="19">
        <v>8.36</v>
      </c>
      <c r="F123" s="19">
        <v>116.76</v>
      </c>
      <c r="G123" s="20"/>
      <c r="H123" s="19">
        <v>1637.79</v>
      </c>
    </row>
    <row r="124" spans="1:8" ht="27.95" customHeight="1" x14ac:dyDescent="0.2">
      <c r="A124" s="35"/>
      <c r="B124" s="215" t="s">
        <v>88</v>
      </c>
      <c r="C124" s="216"/>
      <c r="D124" s="38">
        <f>D101+D104+D108+D109+D112+D115+D118+D121+D122+D123</f>
        <v>18784.650000000001</v>
      </c>
      <c r="E124" s="38">
        <f>E101+E104+E108+E109+E112+E115+E118+E121+E122+E123</f>
        <v>46.48</v>
      </c>
      <c r="F124" s="38">
        <f>F101+F104+F108+F109+F112+F115+F118+F121+F122+F123</f>
        <v>5748.48</v>
      </c>
      <c r="G124" s="31"/>
      <c r="H124" s="38">
        <f>H101+H104+H108+H109+H112+H115+H118+H121+H122+H123</f>
        <v>24579.61</v>
      </c>
    </row>
    <row r="125" spans="1:8" x14ac:dyDescent="0.2">
      <c r="A125" s="213" t="s">
        <v>89</v>
      </c>
      <c r="B125" s="214"/>
      <c r="C125" s="214"/>
      <c r="D125" s="214"/>
      <c r="E125" s="214"/>
      <c r="F125" s="214"/>
      <c r="G125" s="214"/>
      <c r="H125" s="214"/>
    </row>
    <row r="126" spans="1:8" x14ac:dyDescent="0.2">
      <c r="A126" s="17">
        <v>32</v>
      </c>
      <c r="B126" s="18" t="s">
        <v>90</v>
      </c>
      <c r="C126" s="18" t="s">
        <v>91</v>
      </c>
      <c r="D126" s="19">
        <v>260.93</v>
      </c>
      <c r="E126" s="19">
        <v>483.93</v>
      </c>
      <c r="F126" s="19">
        <v>64.38</v>
      </c>
      <c r="G126" s="20"/>
      <c r="H126" s="19">
        <v>809.24</v>
      </c>
    </row>
    <row r="127" spans="1:8" x14ac:dyDescent="0.2">
      <c r="A127" s="17">
        <v>33</v>
      </c>
      <c r="B127" s="18" t="s">
        <v>92</v>
      </c>
      <c r="C127" s="18" t="s">
        <v>93</v>
      </c>
      <c r="D127" s="19">
        <v>1146.3</v>
      </c>
      <c r="E127" s="20"/>
      <c r="F127" s="20"/>
      <c r="G127" s="20"/>
      <c r="H127" s="19">
        <v>1146.3</v>
      </c>
    </row>
    <row r="128" spans="1:8" ht="25.5" x14ac:dyDescent="0.2">
      <c r="A128" s="17">
        <v>34</v>
      </c>
      <c r="B128" s="18" t="s">
        <v>94</v>
      </c>
      <c r="C128" s="18" t="s">
        <v>95</v>
      </c>
      <c r="D128" s="19">
        <v>123.23</v>
      </c>
      <c r="E128" s="20"/>
      <c r="F128" s="20"/>
      <c r="G128" s="20"/>
      <c r="H128" s="19">
        <v>123.23</v>
      </c>
    </row>
    <row r="129" spans="1:8" ht="27.95" customHeight="1" x14ac:dyDescent="0.2">
      <c r="A129" s="35"/>
      <c r="B129" s="215" t="s">
        <v>96</v>
      </c>
      <c r="C129" s="216"/>
      <c r="D129" s="30">
        <f>D126+D127+D128</f>
        <v>1530.46</v>
      </c>
      <c r="E129" s="30">
        <f>E126+E127+E128</f>
        <v>483.93</v>
      </c>
      <c r="F129" s="30">
        <f>F126+F127+F128</f>
        <v>64.38</v>
      </c>
      <c r="G129" s="31"/>
      <c r="H129" s="30">
        <f>H126+H127+H128</f>
        <v>2078.77</v>
      </c>
    </row>
    <row r="130" spans="1:8" x14ac:dyDescent="0.2">
      <c r="A130" s="35"/>
      <c r="B130" s="215" t="s">
        <v>97</v>
      </c>
      <c r="C130" s="216"/>
      <c r="D130" s="38">
        <f>D36+D45+D80+D99+D124+D129</f>
        <v>51084.27</v>
      </c>
      <c r="E130" s="38">
        <f>E36+E45+E80+E99+E124+E129</f>
        <v>4296.29</v>
      </c>
      <c r="F130" s="38">
        <f>F36+F45+F80+F99+F124+F129</f>
        <v>43822.89</v>
      </c>
      <c r="G130" s="38">
        <f>G36+G45+G80+G99+G124+G129</f>
        <v>4270.07</v>
      </c>
      <c r="H130" s="38">
        <f>H36+H45+H80+H99+H124+H129</f>
        <v>103473.52</v>
      </c>
    </row>
    <row r="131" spans="1:8" x14ac:dyDescent="0.2">
      <c r="A131" s="213" t="s">
        <v>98</v>
      </c>
      <c r="B131" s="214"/>
      <c r="C131" s="214"/>
      <c r="D131" s="214"/>
      <c r="E131" s="214"/>
      <c r="F131" s="214"/>
      <c r="G131" s="214"/>
      <c r="H131" s="214"/>
    </row>
    <row r="132" spans="1:8" ht="38.25" x14ac:dyDescent="0.2">
      <c r="A132" s="17">
        <v>35</v>
      </c>
      <c r="B132" s="18" t="s">
        <v>99</v>
      </c>
      <c r="C132" s="18" t="s">
        <v>100</v>
      </c>
      <c r="D132" s="37">
        <f>D130*0.023</f>
        <v>1174.94</v>
      </c>
      <c r="E132" s="37">
        <f>E130*0.023</f>
        <v>98.81</v>
      </c>
      <c r="F132" s="20"/>
      <c r="G132" s="20"/>
      <c r="H132" s="37">
        <f>E132+D132</f>
        <v>1273.75</v>
      </c>
    </row>
    <row r="133" spans="1:8" x14ac:dyDescent="0.2">
      <c r="A133" s="21">
        <v>36</v>
      </c>
      <c r="B133" s="22"/>
      <c r="C133" s="23" t="s">
        <v>101</v>
      </c>
      <c r="D133" s="24">
        <v>176.24</v>
      </c>
      <c r="E133" s="24">
        <v>14.82</v>
      </c>
      <c r="F133" s="20"/>
      <c r="G133" s="20"/>
      <c r="H133" s="24">
        <v>191.06</v>
      </c>
    </row>
    <row r="134" spans="1:8" x14ac:dyDescent="0.2">
      <c r="A134" s="35"/>
      <c r="B134" s="215" t="s">
        <v>102</v>
      </c>
      <c r="C134" s="216"/>
      <c r="D134" s="38">
        <f>D132</f>
        <v>1174.94</v>
      </c>
      <c r="E134" s="38">
        <f>E132</f>
        <v>98.81</v>
      </c>
      <c r="F134" s="31"/>
      <c r="G134" s="31"/>
      <c r="H134" s="38">
        <f>H132</f>
        <v>1273.75</v>
      </c>
    </row>
    <row r="135" spans="1:8" x14ac:dyDescent="0.2">
      <c r="A135" s="35"/>
      <c r="B135" s="215" t="s">
        <v>103</v>
      </c>
      <c r="C135" s="216"/>
      <c r="D135" s="38">
        <f>D130+D134</f>
        <v>52259.21</v>
      </c>
      <c r="E135" s="38">
        <f>E130+E134</f>
        <v>4395.1000000000004</v>
      </c>
      <c r="F135" s="38">
        <f>F130+F134</f>
        <v>43822.89</v>
      </c>
      <c r="G135" s="38">
        <f>G130+G134</f>
        <v>4270.07</v>
      </c>
      <c r="H135" s="38">
        <f>H130+H134</f>
        <v>104747.27</v>
      </c>
    </row>
    <row r="136" spans="1:8" x14ac:dyDescent="0.2">
      <c r="A136" s="213" t="s">
        <v>104</v>
      </c>
      <c r="B136" s="214"/>
      <c r="C136" s="214"/>
      <c r="D136" s="214"/>
      <c r="E136" s="214"/>
      <c r="F136" s="214"/>
      <c r="G136" s="214"/>
      <c r="H136" s="214"/>
    </row>
    <row r="137" spans="1:8" ht="63.75" x14ac:dyDescent="0.2">
      <c r="A137" s="17">
        <v>37</v>
      </c>
      <c r="B137" s="18" t="s">
        <v>105</v>
      </c>
      <c r="C137" s="18" t="s">
        <v>106</v>
      </c>
      <c r="D137" s="37">
        <f>D135*0.0055</f>
        <v>287.43</v>
      </c>
      <c r="E137" s="37">
        <f>E135*0.0055</f>
        <v>24.17</v>
      </c>
      <c r="F137" s="20"/>
      <c r="G137" s="20"/>
      <c r="H137" s="37">
        <f>G137+F137+E137+D137</f>
        <v>311.60000000000002</v>
      </c>
    </row>
    <row r="138" spans="1:8" x14ac:dyDescent="0.2">
      <c r="A138" s="17">
        <v>38</v>
      </c>
      <c r="B138" s="18" t="s">
        <v>107</v>
      </c>
      <c r="C138" s="18" t="s">
        <v>108</v>
      </c>
      <c r="D138" s="20"/>
      <c r="E138" s="20"/>
      <c r="F138" s="20"/>
      <c r="G138" s="37">
        <f>G139+G140+G141+G142+G143+G144+G145+G146+G147</f>
        <v>418.08</v>
      </c>
      <c r="H138" s="37">
        <f>H139+H140+H141+H142+H143+H144+H145+H146+H147</f>
        <v>418.08</v>
      </c>
    </row>
    <row r="139" spans="1:8" ht="38.25" x14ac:dyDescent="0.2">
      <c r="A139" s="17"/>
      <c r="B139" s="32" t="s">
        <v>286</v>
      </c>
      <c r="C139" s="32" t="s">
        <v>287</v>
      </c>
      <c r="D139" s="34"/>
      <c r="E139" s="34"/>
      <c r="F139" s="34"/>
      <c r="G139" s="33">
        <f>73.18-0.02</f>
        <v>73.16</v>
      </c>
      <c r="H139" s="33">
        <f t="shared" ref="H139:H147" si="2">G139</f>
        <v>73.16</v>
      </c>
    </row>
    <row r="140" spans="1:8" ht="38.25" x14ac:dyDescent="0.2">
      <c r="A140" s="17"/>
      <c r="B140" s="32" t="s">
        <v>288</v>
      </c>
      <c r="C140" s="32" t="s">
        <v>289</v>
      </c>
      <c r="D140" s="34"/>
      <c r="E140" s="34"/>
      <c r="F140" s="34"/>
      <c r="G140" s="33">
        <v>78.819999999999993</v>
      </c>
      <c r="H140" s="33">
        <f t="shared" si="2"/>
        <v>78.819999999999993</v>
      </c>
    </row>
    <row r="141" spans="1:8" ht="25.5" x14ac:dyDescent="0.2">
      <c r="A141" s="17"/>
      <c r="B141" s="32" t="s">
        <v>290</v>
      </c>
      <c r="C141" s="32" t="s">
        <v>291</v>
      </c>
      <c r="D141" s="34"/>
      <c r="E141" s="34"/>
      <c r="F141" s="34"/>
      <c r="G141" s="33">
        <v>42.84</v>
      </c>
      <c r="H141" s="33">
        <f t="shared" si="2"/>
        <v>42.84</v>
      </c>
    </row>
    <row r="142" spans="1:8" ht="25.5" x14ac:dyDescent="0.2">
      <c r="A142" s="17"/>
      <c r="B142" s="32" t="s">
        <v>292</v>
      </c>
      <c r="C142" s="32" t="s">
        <v>293</v>
      </c>
      <c r="D142" s="34"/>
      <c r="E142" s="34"/>
      <c r="F142" s="34"/>
      <c r="G142" s="33">
        <v>36.99</v>
      </c>
      <c r="H142" s="33">
        <f t="shared" si="2"/>
        <v>36.99</v>
      </c>
    </row>
    <row r="143" spans="1:8" ht="25.5" x14ac:dyDescent="0.2">
      <c r="A143" s="17"/>
      <c r="B143" s="32" t="s">
        <v>294</v>
      </c>
      <c r="C143" s="32" t="s">
        <v>295</v>
      </c>
      <c r="D143" s="34"/>
      <c r="E143" s="34"/>
      <c r="F143" s="34"/>
      <c r="G143" s="33">
        <v>36.49</v>
      </c>
      <c r="H143" s="33">
        <f t="shared" si="2"/>
        <v>36.49</v>
      </c>
    </row>
    <row r="144" spans="1:8" ht="25.5" x14ac:dyDescent="0.2">
      <c r="A144" s="17"/>
      <c r="B144" s="32" t="s">
        <v>296</v>
      </c>
      <c r="C144" s="32" t="s">
        <v>297</v>
      </c>
      <c r="D144" s="34"/>
      <c r="E144" s="34"/>
      <c r="F144" s="34"/>
      <c r="G144" s="33">
        <v>41.33</v>
      </c>
      <c r="H144" s="33">
        <f t="shared" si="2"/>
        <v>41.33</v>
      </c>
    </row>
    <row r="145" spans="1:8" ht="25.5" x14ac:dyDescent="0.2">
      <c r="A145" s="17"/>
      <c r="B145" s="32" t="s">
        <v>298</v>
      </c>
      <c r="C145" s="32" t="s">
        <v>299</v>
      </c>
      <c r="D145" s="34"/>
      <c r="E145" s="34"/>
      <c r="F145" s="34"/>
      <c r="G145" s="33">
        <v>40.22</v>
      </c>
      <c r="H145" s="33">
        <f t="shared" si="2"/>
        <v>40.22</v>
      </c>
    </row>
    <row r="146" spans="1:8" ht="38.25" x14ac:dyDescent="0.2">
      <c r="A146" s="17"/>
      <c r="B146" s="32" t="s">
        <v>300</v>
      </c>
      <c r="C146" s="32" t="s">
        <v>301</v>
      </c>
      <c r="D146" s="34"/>
      <c r="E146" s="34"/>
      <c r="F146" s="34"/>
      <c r="G146" s="33">
        <v>44.89</v>
      </c>
      <c r="H146" s="33">
        <f t="shared" si="2"/>
        <v>44.89</v>
      </c>
    </row>
    <row r="147" spans="1:8" x14ac:dyDescent="0.2">
      <c r="A147" s="17"/>
      <c r="B147" s="32" t="s">
        <v>302</v>
      </c>
      <c r="C147" s="32" t="s">
        <v>303</v>
      </c>
      <c r="D147" s="34"/>
      <c r="E147" s="34"/>
      <c r="F147" s="34"/>
      <c r="G147" s="33">
        <v>23.34</v>
      </c>
      <c r="H147" s="33">
        <f t="shared" si="2"/>
        <v>23.34</v>
      </c>
    </row>
    <row r="148" spans="1:8" ht="38.25" x14ac:dyDescent="0.2">
      <c r="A148" s="17">
        <v>39</v>
      </c>
      <c r="B148" s="18" t="s">
        <v>109</v>
      </c>
      <c r="C148" s="18" t="s">
        <v>110</v>
      </c>
      <c r="D148" s="20"/>
      <c r="E148" s="20"/>
      <c r="F148" s="20"/>
      <c r="G148" s="19">
        <v>2619.23</v>
      </c>
      <c r="H148" s="19">
        <v>2619.23</v>
      </c>
    </row>
    <row r="149" spans="1:8" ht="38.25" x14ac:dyDescent="0.2">
      <c r="A149" s="17">
        <v>40</v>
      </c>
      <c r="B149" s="18" t="s">
        <v>111</v>
      </c>
      <c r="C149" s="18" t="s">
        <v>112</v>
      </c>
      <c r="D149" s="20"/>
      <c r="E149" s="20"/>
      <c r="F149" s="20"/>
      <c r="G149" s="19">
        <v>0.03</v>
      </c>
      <c r="H149" s="19">
        <v>0.03</v>
      </c>
    </row>
    <row r="150" spans="1:8" ht="25.5" x14ac:dyDescent="0.2">
      <c r="A150" s="17">
        <v>41</v>
      </c>
      <c r="B150" s="18" t="s">
        <v>113</v>
      </c>
      <c r="C150" s="18" t="s">
        <v>114</v>
      </c>
      <c r="D150" s="20"/>
      <c r="E150" s="20"/>
      <c r="F150" s="20"/>
      <c r="G150" s="19">
        <v>22.53</v>
      </c>
      <c r="H150" s="19">
        <v>22.53</v>
      </c>
    </row>
    <row r="151" spans="1:8" x14ac:dyDescent="0.2">
      <c r="A151" s="17">
        <v>42</v>
      </c>
      <c r="B151" s="18" t="s">
        <v>115</v>
      </c>
      <c r="C151" s="18" t="s">
        <v>116</v>
      </c>
      <c r="D151" s="20"/>
      <c r="E151" s="20"/>
      <c r="F151" s="20"/>
      <c r="G151" s="19">
        <v>67.48</v>
      </c>
      <c r="H151" s="19">
        <v>67.48</v>
      </c>
    </row>
    <row r="152" spans="1:8" ht="25.5" x14ac:dyDescent="0.2">
      <c r="A152" s="17">
        <v>43</v>
      </c>
      <c r="B152" s="18" t="s">
        <v>117</v>
      </c>
      <c r="C152" s="18" t="s">
        <v>118</v>
      </c>
      <c r="D152" s="20"/>
      <c r="E152" s="20"/>
      <c r="F152" s="20"/>
      <c r="G152" s="19">
        <v>53.5</v>
      </c>
      <c r="H152" s="19">
        <v>53.5</v>
      </c>
    </row>
    <row r="153" spans="1:8" x14ac:dyDescent="0.2">
      <c r="A153" s="35"/>
      <c r="B153" s="215" t="s">
        <v>119</v>
      </c>
      <c r="C153" s="216"/>
      <c r="D153" s="38">
        <f>D137</f>
        <v>287.43</v>
      </c>
      <c r="E153" s="38">
        <f>E137</f>
        <v>24.17</v>
      </c>
      <c r="F153" s="31"/>
      <c r="G153" s="38">
        <f>G138+G148+G149+G150+G151+G152</f>
        <v>3180.85</v>
      </c>
      <c r="H153" s="38">
        <f>H137+H138+H148+H149+H150+H151+H152</f>
        <v>3492.45</v>
      </c>
    </row>
    <row r="154" spans="1:8" x14ac:dyDescent="0.2">
      <c r="A154" s="35"/>
      <c r="B154" s="215" t="s">
        <v>120</v>
      </c>
      <c r="C154" s="216"/>
      <c r="D154" s="38">
        <f>D135+D153</f>
        <v>52546.64</v>
      </c>
      <c r="E154" s="38">
        <f>E135+E153</f>
        <v>4419.2700000000004</v>
      </c>
      <c r="F154" s="38">
        <f>F135+F153</f>
        <v>43822.89</v>
      </c>
      <c r="G154" s="38">
        <f>G135+G153</f>
        <v>7450.92</v>
      </c>
      <c r="H154" s="38">
        <f>H135+H153</f>
        <v>108239.72</v>
      </c>
    </row>
    <row r="155" spans="1:8" x14ac:dyDescent="0.2">
      <c r="A155" s="213" t="s">
        <v>121</v>
      </c>
      <c r="B155" s="214"/>
      <c r="C155" s="214"/>
      <c r="D155" s="214"/>
      <c r="E155" s="214"/>
      <c r="F155" s="214"/>
      <c r="G155" s="214"/>
      <c r="H155" s="214"/>
    </row>
    <row r="156" spans="1:8" ht="51" x14ac:dyDescent="0.2">
      <c r="A156" s="17">
        <v>44</v>
      </c>
      <c r="B156" s="18" t="s">
        <v>122</v>
      </c>
      <c r="C156" s="18" t="s">
        <v>123</v>
      </c>
      <c r="D156" s="20"/>
      <c r="E156" s="20"/>
      <c r="F156" s="20"/>
      <c r="G156" s="19"/>
      <c r="H156" s="19"/>
    </row>
    <row r="157" spans="1:8" ht="27.95" customHeight="1" x14ac:dyDescent="0.2">
      <c r="A157" s="25"/>
      <c r="B157" s="217" t="s">
        <v>124</v>
      </c>
      <c r="C157" s="218"/>
      <c r="D157" s="20"/>
      <c r="E157" s="20"/>
      <c r="F157" s="20"/>
      <c r="G157" s="19"/>
      <c r="H157" s="19"/>
    </row>
    <row r="158" spans="1:8" x14ac:dyDescent="0.2">
      <c r="A158" s="213" t="s">
        <v>125</v>
      </c>
      <c r="B158" s="214"/>
      <c r="C158" s="214"/>
      <c r="D158" s="214"/>
      <c r="E158" s="214"/>
      <c r="F158" s="214"/>
      <c r="G158" s="214"/>
      <c r="H158" s="214"/>
    </row>
    <row r="159" spans="1:8" ht="63.75" x14ac:dyDescent="0.2">
      <c r="A159" s="17">
        <v>45</v>
      </c>
      <c r="B159" s="18" t="s">
        <v>126</v>
      </c>
      <c r="C159" s="18" t="s">
        <v>127</v>
      </c>
      <c r="D159" s="20"/>
      <c r="E159" s="20"/>
      <c r="F159" s="20"/>
      <c r="G159" s="19"/>
      <c r="H159" s="19"/>
    </row>
    <row r="160" spans="1:8" ht="63.75" x14ac:dyDescent="0.2">
      <c r="A160" s="17">
        <v>46</v>
      </c>
      <c r="B160" s="18" t="s">
        <v>128</v>
      </c>
      <c r="C160" s="18" t="s">
        <v>129</v>
      </c>
      <c r="D160" s="20"/>
      <c r="E160" s="20"/>
      <c r="F160" s="20"/>
      <c r="G160" s="19"/>
      <c r="H160" s="19"/>
    </row>
    <row r="161" spans="1:9" ht="63.75" x14ac:dyDescent="0.2">
      <c r="A161" s="17">
        <v>47</v>
      </c>
      <c r="B161" s="18" t="s">
        <v>130</v>
      </c>
      <c r="C161" s="18" t="s">
        <v>131</v>
      </c>
      <c r="D161" s="20"/>
      <c r="E161" s="20"/>
      <c r="F161" s="20"/>
      <c r="G161" s="19"/>
      <c r="H161" s="19"/>
    </row>
    <row r="162" spans="1:9" ht="63.75" x14ac:dyDescent="0.2">
      <c r="A162" s="17">
        <v>48</v>
      </c>
      <c r="B162" s="18" t="s">
        <v>132</v>
      </c>
      <c r="C162" s="18" t="s">
        <v>133</v>
      </c>
      <c r="D162" s="20"/>
      <c r="E162" s="20"/>
      <c r="F162" s="20"/>
      <c r="G162" s="19">
        <v>5937.8</v>
      </c>
      <c r="H162" s="19">
        <v>5937.8</v>
      </c>
    </row>
    <row r="163" spans="1:9" ht="38.25" x14ac:dyDescent="0.2">
      <c r="A163" s="17">
        <v>49</v>
      </c>
      <c r="B163" s="18" t="s">
        <v>134</v>
      </c>
      <c r="C163" s="18" t="s">
        <v>135</v>
      </c>
      <c r="D163" s="20"/>
      <c r="E163" s="20"/>
      <c r="F163" s="20"/>
      <c r="G163" s="19"/>
      <c r="H163" s="19"/>
    </row>
    <row r="164" spans="1:9" ht="76.5" x14ac:dyDescent="0.2">
      <c r="A164" s="17">
        <v>50</v>
      </c>
      <c r="B164" s="18" t="s">
        <v>136</v>
      </c>
      <c r="C164" s="18" t="s">
        <v>137</v>
      </c>
      <c r="D164" s="20"/>
      <c r="E164" s="20"/>
      <c r="F164" s="20"/>
      <c r="G164" s="19"/>
      <c r="H164" s="19"/>
    </row>
    <row r="165" spans="1:9" ht="27.95" customHeight="1" x14ac:dyDescent="0.2">
      <c r="A165" s="35"/>
      <c r="B165" s="215" t="s">
        <v>138</v>
      </c>
      <c r="C165" s="216"/>
      <c r="D165" s="31"/>
      <c r="E165" s="31"/>
      <c r="F165" s="31"/>
      <c r="G165" s="30">
        <f>G162</f>
        <v>5937.8</v>
      </c>
      <c r="H165" s="30">
        <f>H162</f>
        <v>5937.8</v>
      </c>
    </row>
    <row r="166" spans="1:9" x14ac:dyDescent="0.2">
      <c r="A166" s="35"/>
      <c r="B166" s="215" t="s">
        <v>139</v>
      </c>
      <c r="C166" s="216"/>
      <c r="D166" s="38">
        <f>D154</f>
        <v>52546.64</v>
      </c>
      <c r="E166" s="38">
        <f>E154</f>
        <v>4419.2700000000004</v>
      </c>
      <c r="F166" s="38">
        <f>F154</f>
        <v>43822.89</v>
      </c>
      <c r="G166" s="38">
        <f>G154+G165</f>
        <v>13388.72</v>
      </c>
      <c r="H166" s="38">
        <f>H154+H165</f>
        <v>114177.52</v>
      </c>
      <c r="I166" s="39"/>
    </row>
    <row r="167" spans="1:9" x14ac:dyDescent="0.2">
      <c r="A167" s="213" t="s">
        <v>140</v>
      </c>
      <c r="B167" s="214"/>
      <c r="C167" s="214"/>
      <c r="D167" s="214"/>
      <c r="E167" s="214"/>
      <c r="F167" s="214"/>
      <c r="G167" s="214"/>
      <c r="H167" s="214"/>
    </row>
    <row r="168" spans="1:9" ht="25.5" x14ac:dyDescent="0.2">
      <c r="A168" s="17">
        <v>51</v>
      </c>
      <c r="B168" s="18" t="s">
        <v>141</v>
      </c>
      <c r="C168" s="18" t="s">
        <v>142</v>
      </c>
      <c r="D168" s="37">
        <f>D166*0.02</f>
        <v>1050.93</v>
      </c>
      <c r="E168" s="37">
        <f>E166*0.02</f>
        <v>88.39</v>
      </c>
      <c r="F168" s="37">
        <f>F166*0.02</f>
        <v>876.46</v>
      </c>
      <c r="G168" s="37">
        <f>G166*0.02</f>
        <v>267.77</v>
      </c>
      <c r="H168" s="37">
        <f>H166*0.02</f>
        <v>2283.5500000000002</v>
      </c>
    </row>
    <row r="169" spans="1:9" x14ac:dyDescent="0.2">
      <c r="A169" s="35"/>
      <c r="B169" s="215" t="s">
        <v>143</v>
      </c>
      <c r="C169" s="216"/>
      <c r="D169" s="38">
        <f>D168</f>
        <v>1050.93</v>
      </c>
      <c r="E169" s="38">
        <f>E168</f>
        <v>88.39</v>
      </c>
      <c r="F169" s="38">
        <f>F168</f>
        <v>876.46</v>
      </c>
      <c r="G169" s="38">
        <f>G168</f>
        <v>267.77</v>
      </c>
      <c r="H169" s="38">
        <f>H168</f>
        <v>2283.5500000000002</v>
      </c>
    </row>
    <row r="170" spans="1:9" x14ac:dyDescent="0.2">
      <c r="A170" s="35"/>
      <c r="B170" s="215" t="s">
        <v>144</v>
      </c>
      <c r="C170" s="216"/>
      <c r="D170" s="38">
        <f>D166+D169</f>
        <v>53597.57</v>
      </c>
      <c r="E170" s="38">
        <f>E166+E169</f>
        <v>4507.66</v>
      </c>
      <c r="F170" s="38">
        <f>F166+F169</f>
        <v>44699.35</v>
      </c>
      <c r="G170" s="38">
        <f>G166+G169</f>
        <v>13656.49</v>
      </c>
      <c r="H170" s="38">
        <f>H166+H169</f>
        <v>116461.07</v>
      </c>
      <c r="I170" s="39"/>
    </row>
    <row r="171" spans="1:9" x14ac:dyDescent="0.2">
      <c r="A171" s="213" t="s">
        <v>145</v>
      </c>
      <c r="B171" s="214"/>
      <c r="C171" s="214"/>
      <c r="D171" s="214"/>
      <c r="E171" s="214"/>
      <c r="F171" s="214"/>
      <c r="G171" s="214"/>
      <c r="H171" s="214"/>
    </row>
    <row r="172" spans="1:9" x14ac:dyDescent="0.2">
      <c r="A172" s="25"/>
      <c r="B172" s="217" t="s">
        <v>146</v>
      </c>
      <c r="C172" s="218"/>
      <c r="D172" s="37">
        <f>D170</f>
        <v>53597.57</v>
      </c>
      <c r="E172" s="37">
        <f>E170</f>
        <v>4507.66</v>
      </c>
      <c r="F172" s="37">
        <f>F170</f>
        <v>44699.35</v>
      </c>
      <c r="G172" s="37">
        <f>G170</f>
        <v>13656.49</v>
      </c>
      <c r="H172" s="37">
        <f>H170</f>
        <v>116461.07</v>
      </c>
    </row>
    <row r="173" spans="1:9" x14ac:dyDescent="0.2">
      <c r="A173" s="213" t="s">
        <v>147</v>
      </c>
      <c r="B173" s="214"/>
      <c r="C173" s="214"/>
      <c r="D173" s="214"/>
      <c r="E173" s="214"/>
      <c r="F173" s="214"/>
      <c r="G173" s="214"/>
      <c r="H173" s="214"/>
    </row>
    <row r="174" spans="1:9" x14ac:dyDescent="0.2">
      <c r="A174" s="21">
        <v>52</v>
      </c>
      <c r="B174" s="22"/>
      <c r="C174" s="23" t="s">
        <v>148</v>
      </c>
      <c r="D174" s="24">
        <v>484.13</v>
      </c>
      <c r="E174" s="24">
        <v>14.82</v>
      </c>
      <c r="F174" s="20"/>
      <c r="G174" s="20"/>
      <c r="H174" s="24">
        <v>498.95</v>
      </c>
    </row>
    <row r="175" spans="1:9" x14ac:dyDescent="0.2">
      <c r="A175" s="40">
        <v>53</v>
      </c>
      <c r="B175" s="41"/>
      <c r="C175" s="42" t="s">
        <v>149</v>
      </c>
      <c r="D175" s="31"/>
      <c r="E175" s="31"/>
      <c r="F175" s="31"/>
      <c r="G175" s="31"/>
      <c r="H175" s="31"/>
    </row>
    <row r="176" spans="1:9" ht="51" x14ac:dyDescent="0.2">
      <c r="A176" s="17">
        <v>54</v>
      </c>
      <c r="B176" s="18" t="s">
        <v>150</v>
      </c>
      <c r="C176" s="18" t="s">
        <v>151</v>
      </c>
      <c r="D176" s="53">
        <f>D170/1.02*7</f>
        <v>367826.46</v>
      </c>
      <c r="E176" s="53">
        <f>E170/1.02*7</f>
        <v>30934.92</v>
      </c>
      <c r="F176" s="54"/>
      <c r="G176" s="54"/>
      <c r="H176" s="53">
        <f>G176+F176+E176+D176</f>
        <v>398761.38</v>
      </c>
    </row>
    <row r="177" spans="1:10" ht="51" x14ac:dyDescent="0.2">
      <c r="A177" s="17">
        <v>55</v>
      </c>
      <c r="B177" s="18" t="s">
        <v>152</v>
      </c>
      <c r="C177" s="18" t="s">
        <v>153</v>
      </c>
      <c r="D177" s="54"/>
      <c r="E177" s="54"/>
      <c r="F177" s="53">
        <f>F170/1.02*3.98</f>
        <v>174415.11</v>
      </c>
      <c r="G177" s="54"/>
      <c r="H177" s="53">
        <f>F177</f>
        <v>174415.11</v>
      </c>
    </row>
    <row r="178" spans="1:10" ht="51" x14ac:dyDescent="0.2">
      <c r="A178" s="17">
        <v>56</v>
      </c>
      <c r="B178" s="18" t="s">
        <v>150</v>
      </c>
      <c r="C178" s="18" t="s">
        <v>307</v>
      </c>
      <c r="D178" s="54"/>
      <c r="E178" s="54"/>
      <c r="F178" s="54"/>
      <c r="G178" s="53">
        <f>6460.59/1.02</f>
        <v>6333.91</v>
      </c>
      <c r="H178" s="53">
        <f>G178</f>
        <v>6333.91</v>
      </c>
    </row>
    <row r="179" spans="1:10" ht="51" x14ac:dyDescent="0.2">
      <c r="A179" s="17">
        <v>57</v>
      </c>
      <c r="B179" s="18" t="s">
        <v>155</v>
      </c>
      <c r="C179" s="18" t="s">
        <v>308</v>
      </c>
      <c r="D179" s="54"/>
      <c r="E179" s="54"/>
      <c r="F179" s="54"/>
      <c r="G179" s="53">
        <f>29728.83/1.02</f>
        <v>29145.91</v>
      </c>
      <c r="H179" s="53">
        <f>G179</f>
        <v>29145.91</v>
      </c>
    </row>
    <row r="180" spans="1:10" ht="25.5" x14ac:dyDescent="0.2">
      <c r="A180" s="17">
        <v>58</v>
      </c>
      <c r="B180" s="18" t="s">
        <v>157</v>
      </c>
      <c r="C180" s="18" t="s">
        <v>309</v>
      </c>
      <c r="D180" s="54"/>
      <c r="E180" s="54"/>
      <c r="F180" s="54"/>
      <c r="G180" s="53">
        <f>967.64/1.02</f>
        <v>948.67</v>
      </c>
      <c r="H180" s="53">
        <f>G180</f>
        <v>948.67</v>
      </c>
    </row>
    <row r="181" spans="1:10" ht="63.75" x14ac:dyDescent="0.2">
      <c r="A181" s="43">
        <v>62</v>
      </c>
      <c r="B181" s="44" t="s">
        <v>132</v>
      </c>
      <c r="C181" s="44" t="s">
        <v>310</v>
      </c>
      <c r="D181" s="55"/>
      <c r="E181" s="55"/>
      <c r="F181" s="55"/>
      <c r="G181" s="56">
        <f>29910.3/1.02</f>
        <v>29323.82</v>
      </c>
      <c r="H181" s="56">
        <f>G181</f>
        <v>29323.82</v>
      </c>
    </row>
    <row r="182" spans="1:10" ht="25.5" x14ac:dyDescent="0.2">
      <c r="A182" s="43">
        <v>65</v>
      </c>
      <c r="B182" s="44" t="s">
        <v>23</v>
      </c>
      <c r="C182" s="44" t="s">
        <v>311</v>
      </c>
      <c r="D182" s="55"/>
      <c r="E182" s="55"/>
      <c r="F182" s="55"/>
      <c r="G182" s="56">
        <f>22299.94/1.02</f>
        <v>21862.69</v>
      </c>
      <c r="H182" s="56">
        <f>G182</f>
        <v>21862.69</v>
      </c>
    </row>
    <row r="183" spans="1:10" x14ac:dyDescent="0.2">
      <c r="A183" s="17"/>
      <c r="B183" s="18"/>
      <c r="C183" s="18" t="s">
        <v>306</v>
      </c>
      <c r="D183" s="54">
        <f>(D176+D177+D178+D179+D180+D181+D182)*0.02</f>
        <v>7356.53</v>
      </c>
      <c r="E183" s="54">
        <f>(E176+E177+E178+E179+E180+E181+E182)*0.02</f>
        <v>618.70000000000005</v>
      </c>
      <c r="F183" s="54">
        <f>(F176+F177+F178+F179+F180+F181+F182)*0.02</f>
        <v>3488.3</v>
      </c>
      <c r="G183" s="54">
        <f>(G176+G177+G178+G179+G180+G181+G182)*0.02</f>
        <v>1752.3</v>
      </c>
      <c r="H183" s="54">
        <f>(H176+H177+H178+H179+H180+H181+H182)*0.02</f>
        <v>13215.83</v>
      </c>
      <c r="J183" s="39">
        <f>(H176+H177+H178+H179+H180+H181)*0.02</f>
        <v>12778.58</v>
      </c>
    </row>
    <row r="184" spans="1:10" x14ac:dyDescent="0.2">
      <c r="A184" s="40">
        <v>67</v>
      </c>
      <c r="B184" s="41"/>
      <c r="C184" s="42" t="s">
        <v>167</v>
      </c>
      <c r="D184" s="47">
        <f>D176+D177+D178+D179+D180+D181+D182+D183</f>
        <v>375182.99</v>
      </c>
      <c r="E184" s="47">
        <f>E176+E177+E178+E179+E180+E181+E182+E183</f>
        <v>31553.62</v>
      </c>
      <c r="F184" s="47">
        <f>F176+F177+F178+F179+F180+F181+F182+F183</f>
        <v>177903.41</v>
      </c>
      <c r="G184" s="47">
        <f>G176+G177+G178+G179+G180+G181+G182+G183</f>
        <v>89367.3</v>
      </c>
      <c r="H184" s="47">
        <f>H176+H177+H178+H179+H180+H181+H182+H183</f>
        <v>674007.32</v>
      </c>
      <c r="I184" s="57"/>
    </row>
    <row r="185" spans="1:10" x14ac:dyDescent="0.2">
      <c r="A185" s="49"/>
      <c r="B185" s="50"/>
      <c r="C185" s="18" t="s">
        <v>304</v>
      </c>
      <c r="D185" s="48">
        <f>-D133*7</f>
        <v>-1233.68</v>
      </c>
      <c r="E185" s="48">
        <f>-E133*7</f>
        <v>-103.74</v>
      </c>
      <c r="F185" s="48"/>
      <c r="G185" s="48"/>
      <c r="H185" s="48">
        <f>G185+F185+E185+D185</f>
        <v>-1337.42</v>
      </c>
    </row>
    <row r="186" spans="1:10" ht="25.5" x14ac:dyDescent="0.2">
      <c r="A186" s="51"/>
      <c r="B186" s="52"/>
      <c r="C186" s="59" t="s">
        <v>305</v>
      </c>
      <c r="D186" s="58">
        <f>D184+D185</f>
        <v>373949.31</v>
      </c>
      <c r="E186" s="58">
        <f>E184+E185</f>
        <v>31449.88</v>
      </c>
      <c r="F186" s="58">
        <f>F184</f>
        <v>177903.41</v>
      </c>
      <c r="G186" s="58">
        <f>G184</f>
        <v>89367.3</v>
      </c>
      <c r="H186" s="58">
        <f>H184+H185</f>
        <v>672669.9</v>
      </c>
      <c r="I186" s="57"/>
    </row>
    <row r="187" spans="1:10" ht="38.25" x14ac:dyDescent="0.2">
      <c r="A187" s="45">
        <v>68</v>
      </c>
      <c r="B187" s="46" t="s">
        <v>168</v>
      </c>
      <c r="C187" s="46" t="s">
        <v>169</v>
      </c>
      <c r="D187" s="48">
        <f>D186*0.2</f>
        <v>74789.86</v>
      </c>
      <c r="E187" s="48">
        <f>E186*0.2</f>
        <v>6289.98</v>
      </c>
      <c r="F187" s="48">
        <f>F186*0.2</f>
        <v>35580.68</v>
      </c>
      <c r="G187" s="48">
        <f>G186*0.2</f>
        <v>17873.46</v>
      </c>
      <c r="H187" s="48">
        <f>H186*0.2</f>
        <v>134533.98000000001</v>
      </c>
    </row>
    <row r="188" spans="1:10" ht="25.5" x14ac:dyDescent="0.2">
      <c r="A188" s="40">
        <v>69</v>
      </c>
      <c r="B188" s="41"/>
      <c r="C188" s="42" t="s">
        <v>170</v>
      </c>
      <c r="D188" s="47">
        <f>D186+D187</f>
        <v>448739.17</v>
      </c>
      <c r="E188" s="47">
        <f>E186+E187</f>
        <v>37739.86</v>
      </c>
      <c r="F188" s="47">
        <f>F186+F187</f>
        <v>213484.09</v>
      </c>
      <c r="G188" s="47">
        <f>G186+G187</f>
        <v>107240.76</v>
      </c>
      <c r="H188" s="47">
        <f>H186+H187</f>
        <v>807203.88</v>
      </c>
      <c r="I188" s="57"/>
    </row>
  </sheetData>
  <mergeCells count="40">
    <mergeCell ref="H24:H27"/>
    <mergeCell ref="D25:D27"/>
    <mergeCell ref="E25:E27"/>
    <mergeCell ref="F25:F27"/>
    <mergeCell ref="G25:G27"/>
    <mergeCell ref="C18:G18"/>
    <mergeCell ref="A24:A27"/>
    <mergeCell ref="B24:B27"/>
    <mergeCell ref="C24:C27"/>
    <mergeCell ref="D24:G24"/>
    <mergeCell ref="B129:C129"/>
    <mergeCell ref="A29:H29"/>
    <mergeCell ref="B36:C36"/>
    <mergeCell ref="A37:H37"/>
    <mergeCell ref="B45:C45"/>
    <mergeCell ref="A46:H46"/>
    <mergeCell ref="B80:C80"/>
    <mergeCell ref="A81:H81"/>
    <mergeCell ref="B99:C99"/>
    <mergeCell ref="A100:H100"/>
    <mergeCell ref="B124:C124"/>
    <mergeCell ref="A125:H125"/>
    <mergeCell ref="B166:C166"/>
    <mergeCell ref="B130:C130"/>
    <mergeCell ref="A131:H131"/>
    <mergeCell ref="B134:C134"/>
    <mergeCell ref="B135:C135"/>
    <mergeCell ref="A136:H136"/>
    <mergeCell ref="B153:C153"/>
    <mergeCell ref="B154:C154"/>
    <mergeCell ref="A155:H155"/>
    <mergeCell ref="B157:C157"/>
    <mergeCell ref="A158:H158"/>
    <mergeCell ref="B165:C165"/>
    <mergeCell ref="A173:H173"/>
    <mergeCell ref="A167:H167"/>
    <mergeCell ref="B169:C169"/>
    <mergeCell ref="B170:C170"/>
    <mergeCell ref="A171:H171"/>
    <mergeCell ref="B172:C17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rstPageNumber="6" fitToHeight="10000" orientation="landscape" useFirstPageNumber="1" r:id="rId1"/>
  <headerFooter alignWithMargins="0">
    <oddFooter>&amp;R&amp;P</oddFooter>
  </headerFooter>
  <rowBreaks count="1" manualBreakCount="1">
    <brk id="183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52"/>
  <sheetViews>
    <sheetView showGridLines="0" topLeftCell="A109" zoomScaleNormal="100" workbookViewId="0">
      <selection activeCell="C123" sqref="C123"/>
    </sheetView>
  </sheetViews>
  <sheetFormatPr defaultColWidth="9.140625" defaultRowHeight="12.75" x14ac:dyDescent="0.2"/>
  <cols>
    <col min="1" max="1" width="5" style="1" customWidth="1"/>
    <col min="2" max="2" width="19.28515625" style="2" customWidth="1"/>
    <col min="3" max="3" width="51.28515625" style="2" customWidth="1"/>
    <col min="4" max="4" width="13.140625" style="8" customWidth="1"/>
    <col min="5" max="5" width="13" style="8" customWidth="1"/>
    <col min="6" max="6" width="13.42578125" style="8" customWidth="1"/>
    <col min="7" max="7" width="12.5703125" style="8" customWidth="1"/>
    <col min="8" max="8" width="13.85546875" style="8" customWidth="1"/>
    <col min="9" max="16384" width="9.140625" style="5"/>
  </cols>
  <sheetData>
    <row r="1" spans="2:8" x14ac:dyDescent="0.2">
      <c r="D1" s="3"/>
      <c r="E1" s="3"/>
      <c r="F1" s="3"/>
      <c r="G1" s="3"/>
      <c r="H1" s="4" t="s">
        <v>5</v>
      </c>
    </row>
    <row r="2" spans="2:8" x14ac:dyDescent="0.2">
      <c r="B2" s="2" t="s">
        <v>7</v>
      </c>
      <c r="C2" s="13" t="s">
        <v>13</v>
      </c>
      <c r="D2" s="6"/>
      <c r="E2" s="6"/>
      <c r="F2" s="6"/>
      <c r="G2" s="6"/>
      <c r="H2" s="3"/>
    </row>
    <row r="3" spans="2:8" x14ac:dyDescent="0.2">
      <c r="D3" s="7" t="s">
        <v>8</v>
      </c>
      <c r="F3" s="3"/>
      <c r="G3" s="3"/>
      <c r="H3" s="3"/>
    </row>
    <row r="4" spans="2:8" x14ac:dyDescent="0.2">
      <c r="B4" s="2" t="s">
        <v>177</v>
      </c>
      <c r="C4" s="14"/>
      <c r="D4" s="3"/>
      <c r="E4" s="7"/>
      <c r="F4" s="3"/>
      <c r="G4" s="3"/>
      <c r="H4" s="3"/>
    </row>
    <row r="5" spans="2:8" x14ac:dyDescent="0.2">
      <c r="D5" s="3"/>
      <c r="E5" s="7"/>
      <c r="F5" s="3"/>
      <c r="G5" s="3"/>
      <c r="H5" s="3"/>
    </row>
    <row r="6" spans="2:8" x14ac:dyDescent="0.2">
      <c r="B6" s="2" t="s">
        <v>182</v>
      </c>
      <c r="D6" s="3"/>
      <c r="E6" s="7"/>
      <c r="F6" s="3"/>
      <c r="G6" s="3"/>
      <c r="H6" s="3"/>
    </row>
    <row r="7" spans="2:8" x14ac:dyDescent="0.2">
      <c r="B7" s="2" t="s">
        <v>181</v>
      </c>
      <c r="D7" s="3"/>
      <c r="E7" s="3"/>
      <c r="F7" s="3"/>
      <c r="G7" s="3"/>
      <c r="H7" s="3"/>
    </row>
    <row r="8" spans="2:8" x14ac:dyDescent="0.2">
      <c r="D8" s="3"/>
      <c r="E8" s="3"/>
      <c r="F8" s="3"/>
      <c r="G8" s="3"/>
      <c r="H8" s="3"/>
    </row>
    <row r="9" spans="2:8" x14ac:dyDescent="0.2">
      <c r="B9" s="26" t="s">
        <v>179</v>
      </c>
      <c r="D9" s="3"/>
      <c r="E9" s="3"/>
      <c r="F9" s="3"/>
      <c r="G9" s="3"/>
      <c r="H9" s="3"/>
    </row>
    <row r="10" spans="2:8" x14ac:dyDescent="0.2">
      <c r="B10" s="26" t="s">
        <v>180</v>
      </c>
      <c r="D10" s="3"/>
      <c r="E10" s="3"/>
      <c r="F10" s="3"/>
      <c r="G10" s="3"/>
      <c r="H10" s="3"/>
    </row>
    <row r="11" spans="2:8" x14ac:dyDescent="0.2">
      <c r="C11" s="13"/>
      <c r="D11" s="6"/>
      <c r="E11" s="9"/>
      <c r="F11" s="6"/>
      <c r="G11" s="6"/>
      <c r="H11" s="3"/>
    </row>
    <row r="12" spans="2:8" x14ac:dyDescent="0.2">
      <c r="D12" s="7" t="s">
        <v>9</v>
      </c>
      <c r="F12" s="3"/>
      <c r="G12" s="3"/>
      <c r="H12" s="3"/>
    </row>
    <row r="13" spans="2:8" x14ac:dyDescent="0.2">
      <c r="D13" s="3"/>
      <c r="E13" s="7"/>
      <c r="F13" s="3"/>
      <c r="G13" s="3"/>
      <c r="H13" s="3"/>
    </row>
    <row r="14" spans="2:8" x14ac:dyDescent="0.2">
      <c r="B14" s="2" t="s">
        <v>178</v>
      </c>
      <c r="H14" s="3"/>
    </row>
    <row r="15" spans="2:8" x14ac:dyDescent="0.2">
      <c r="G15" s="3"/>
      <c r="H15" s="3"/>
    </row>
    <row r="16" spans="2:8" x14ac:dyDescent="0.2">
      <c r="D16" s="10" t="s">
        <v>6</v>
      </c>
      <c r="F16" s="3"/>
      <c r="G16" s="3"/>
      <c r="H16" s="3"/>
    </row>
    <row r="17" spans="1:8" x14ac:dyDescent="0.2">
      <c r="D17" s="11"/>
      <c r="F17" s="3"/>
      <c r="G17" s="3"/>
      <c r="H17" s="3"/>
    </row>
    <row r="18" spans="1:8" ht="35.25" customHeight="1" x14ac:dyDescent="0.2">
      <c r="C18" s="220" t="s">
        <v>14</v>
      </c>
      <c r="D18" s="220"/>
      <c r="E18" s="220"/>
      <c r="F18" s="220"/>
      <c r="G18" s="220"/>
      <c r="H18" s="3"/>
    </row>
    <row r="19" spans="1:8" x14ac:dyDescent="0.2">
      <c r="D19" s="12" t="s">
        <v>0</v>
      </c>
      <c r="F19" s="3"/>
      <c r="G19" s="3"/>
      <c r="H19" s="3"/>
    </row>
    <row r="20" spans="1:8" x14ac:dyDescent="0.2">
      <c r="H20" s="3"/>
    </row>
    <row r="21" spans="1:8" x14ac:dyDescent="0.2">
      <c r="B21" s="2" t="s">
        <v>15</v>
      </c>
      <c r="D21" s="11"/>
      <c r="E21" s="3"/>
      <c r="F21" s="3"/>
      <c r="G21" s="3"/>
      <c r="H21" s="3"/>
    </row>
    <row r="22" spans="1:8" x14ac:dyDescent="0.2">
      <c r="D22" s="11"/>
      <c r="E22" s="3"/>
      <c r="F22" s="3"/>
      <c r="G22" s="3"/>
      <c r="H22" s="3"/>
    </row>
    <row r="23" spans="1:8" x14ac:dyDescent="0.2">
      <c r="D23" s="3"/>
      <c r="E23" s="3"/>
      <c r="F23" s="3"/>
      <c r="G23" s="3"/>
      <c r="H23" s="3"/>
    </row>
    <row r="24" spans="1:8" ht="12.75" customHeight="1" x14ac:dyDescent="0.2">
      <c r="A24" s="227" t="s">
        <v>1</v>
      </c>
      <c r="B24" s="228" t="s">
        <v>10</v>
      </c>
      <c r="C24" s="228" t="s">
        <v>11</v>
      </c>
      <c r="D24" s="229" t="s">
        <v>16</v>
      </c>
      <c r="E24" s="229"/>
      <c r="F24" s="229"/>
      <c r="G24" s="229"/>
      <c r="H24" s="227" t="s">
        <v>17</v>
      </c>
    </row>
    <row r="25" spans="1:8" x14ac:dyDescent="0.2">
      <c r="A25" s="227"/>
      <c r="B25" s="228"/>
      <c r="C25" s="228"/>
      <c r="D25" s="227" t="s">
        <v>12</v>
      </c>
      <c r="E25" s="227" t="s">
        <v>2</v>
      </c>
      <c r="F25" s="227" t="s">
        <v>3</v>
      </c>
      <c r="G25" s="227" t="s">
        <v>4</v>
      </c>
      <c r="H25" s="227"/>
    </row>
    <row r="26" spans="1:8" x14ac:dyDescent="0.2">
      <c r="A26" s="227"/>
      <c r="B26" s="228"/>
      <c r="C26" s="228"/>
      <c r="D26" s="227"/>
      <c r="E26" s="227"/>
      <c r="F26" s="227"/>
      <c r="G26" s="227"/>
      <c r="H26" s="227"/>
    </row>
    <row r="27" spans="1:8" x14ac:dyDescent="0.2">
      <c r="A27" s="227"/>
      <c r="B27" s="228"/>
      <c r="C27" s="228"/>
      <c r="D27" s="227"/>
      <c r="E27" s="227"/>
      <c r="F27" s="227"/>
      <c r="G27" s="227"/>
      <c r="H27" s="227"/>
    </row>
    <row r="28" spans="1:8" x14ac:dyDescent="0.2">
      <c r="A28" s="15">
        <v>1</v>
      </c>
      <c r="B28" s="16">
        <v>2</v>
      </c>
      <c r="C28" s="16">
        <v>3</v>
      </c>
      <c r="D28" s="15">
        <v>4</v>
      </c>
      <c r="E28" s="15">
        <v>5</v>
      </c>
      <c r="F28" s="15">
        <v>6</v>
      </c>
      <c r="G28" s="15">
        <v>7</v>
      </c>
      <c r="H28" s="15">
        <v>8</v>
      </c>
    </row>
    <row r="29" spans="1:8" x14ac:dyDescent="0.2">
      <c r="A29" s="213" t="s">
        <v>18</v>
      </c>
      <c r="B29" s="214"/>
      <c r="C29" s="214"/>
      <c r="D29" s="214"/>
      <c r="E29" s="214"/>
      <c r="F29" s="214"/>
      <c r="G29" s="214"/>
      <c r="H29" s="214"/>
    </row>
    <row r="30" spans="1:8" x14ac:dyDescent="0.2">
      <c r="A30" s="17">
        <v>1</v>
      </c>
      <c r="B30" s="18" t="s">
        <v>19</v>
      </c>
      <c r="C30" s="18" t="s">
        <v>20</v>
      </c>
      <c r="D30" s="19">
        <v>18.68</v>
      </c>
      <c r="E30" s="20"/>
      <c r="F30" s="20"/>
      <c r="G30" s="20"/>
      <c r="H30" s="19">
        <v>18.68</v>
      </c>
    </row>
    <row r="31" spans="1:8" ht="25.5" x14ac:dyDescent="0.2">
      <c r="A31" s="17">
        <v>2</v>
      </c>
      <c r="B31" s="18" t="s">
        <v>21</v>
      </c>
      <c r="C31" s="18" t="s">
        <v>22</v>
      </c>
      <c r="D31" s="20"/>
      <c r="E31" s="20"/>
      <c r="F31" s="20"/>
      <c r="G31" s="19">
        <v>177.15</v>
      </c>
      <c r="H31" s="19">
        <v>177.15</v>
      </c>
    </row>
    <row r="32" spans="1:8" x14ac:dyDescent="0.2">
      <c r="A32" s="17">
        <v>3</v>
      </c>
      <c r="B32" s="18" t="s">
        <v>23</v>
      </c>
      <c r="C32" s="18" t="s">
        <v>24</v>
      </c>
      <c r="D32" s="20"/>
      <c r="E32" s="20"/>
      <c r="F32" s="20"/>
      <c r="G32" s="19">
        <v>4082.53</v>
      </c>
      <c r="H32" s="19">
        <v>4082.53</v>
      </c>
    </row>
    <row r="33" spans="1:8" ht="38.25" x14ac:dyDescent="0.2">
      <c r="A33" s="17">
        <v>4</v>
      </c>
      <c r="B33" s="18" t="s">
        <v>25</v>
      </c>
      <c r="C33" s="18" t="s">
        <v>26</v>
      </c>
      <c r="D33" s="20"/>
      <c r="E33" s="20"/>
      <c r="F33" s="20"/>
      <c r="G33" s="19">
        <v>10.39</v>
      </c>
      <c r="H33" s="19">
        <v>10.39</v>
      </c>
    </row>
    <row r="34" spans="1:8" ht="25.5" x14ac:dyDescent="0.2">
      <c r="A34" s="17">
        <v>5</v>
      </c>
      <c r="B34" s="18" t="s">
        <v>27</v>
      </c>
      <c r="C34" s="18" t="s">
        <v>28</v>
      </c>
      <c r="D34" s="19">
        <v>7.76</v>
      </c>
      <c r="E34" s="20"/>
      <c r="F34" s="20"/>
      <c r="G34" s="20"/>
      <c r="H34" s="19">
        <v>7.76</v>
      </c>
    </row>
    <row r="35" spans="1:8" x14ac:dyDescent="0.2">
      <c r="A35" s="21">
        <v>6</v>
      </c>
      <c r="B35" s="22"/>
      <c r="C35" s="23" t="s">
        <v>29</v>
      </c>
      <c r="D35" s="24">
        <v>307.89</v>
      </c>
      <c r="E35" s="20"/>
      <c r="F35" s="20"/>
      <c r="G35" s="20"/>
      <c r="H35" s="24">
        <v>307.89</v>
      </c>
    </row>
    <row r="36" spans="1:8" ht="27.95" customHeight="1" x14ac:dyDescent="0.2">
      <c r="A36" s="25"/>
      <c r="B36" s="217" t="s">
        <v>30</v>
      </c>
      <c r="C36" s="218"/>
      <c r="D36" s="19">
        <v>26.44</v>
      </c>
      <c r="E36" s="20"/>
      <c r="F36" s="20"/>
      <c r="G36" s="19">
        <v>4270.07</v>
      </c>
      <c r="H36" s="19">
        <v>4296.51</v>
      </c>
    </row>
    <row r="37" spans="1:8" x14ac:dyDescent="0.2">
      <c r="A37" s="213" t="s">
        <v>31</v>
      </c>
      <c r="B37" s="214"/>
      <c r="C37" s="214"/>
      <c r="D37" s="214"/>
      <c r="E37" s="214"/>
      <c r="F37" s="214"/>
      <c r="G37" s="214"/>
      <c r="H37" s="214"/>
    </row>
    <row r="38" spans="1:8" x14ac:dyDescent="0.2">
      <c r="A38" s="17">
        <v>7</v>
      </c>
      <c r="B38" s="18" t="s">
        <v>32</v>
      </c>
      <c r="C38" s="18" t="s">
        <v>33</v>
      </c>
      <c r="D38" s="19">
        <v>28111.22</v>
      </c>
      <c r="E38" s="20"/>
      <c r="F38" s="20"/>
      <c r="G38" s="20"/>
      <c r="H38" s="19">
        <v>28111.22</v>
      </c>
    </row>
    <row r="39" spans="1:8" ht="27.95" customHeight="1" x14ac:dyDescent="0.2">
      <c r="A39" s="25"/>
      <c r="B39" s="217" t="s">
        <v>34</v>
      </c>
      <c r="C39" s="218"/>
      <c r="D39" s="19">
        <v>28111.22</v>
      </c>
      <c r="E39" s="20"/>
      <c r="F39" s="20"/>
      <c r="G39" s="20"/>
      <c r="H39" s="19">
        <v>28111.22</v>
      </c>
    </row>
    <row r="40" spans="1:8" x14ac:dyDescent="0.2">
      <c r="A40" s="213" t="s">
        <v>35</v>
      </c>
      <c r="B40" s="214"/>
      <c r="C40" s="214"/>
      <c r="D40" s="214"/>
      <c r="E40" s="214"/>
      <c r="F40" s="214"/>
      <c r="G40" s="214"/>
      <c r="H40" s="214"/>
    </row>
    <row r="41" spans="1:8" x14ac:dyDescent="0.2">
      <c r="A41" s="17">
        <v>8</v>
      </c>
      <c r="B41" s="18" t="s">
        <v>36</v>
      </c>
      <c r="C41" s="18" t="s">
        <v>37</v>
      </c>
      <c r="D41" s="19">
        <v>54.07</v>
      </c>
      <c r="E41" s="19">
        <v>14.11</v>
      </c>
      <c r="F41" s="19">
        <v>2890.96</v>
      </c>
      <c r="G41" s="20"/>
      <c r="H41" s="19">
        <v>2959.14</v>
      </c>
    </row>
    <row r="42" spans="1:8" x14ac:dyDescent="0.2">
      <c r="A42" s="17">
        <v>9</v>
      </c>
      <c r="B42" s="18" t="s">
        <v>38</v>
      </c>
      <c r="C42" s="18" t="s">
        <v>39</v>
      </c>
      <c r="D42" s="19">
        <v>61.38</v>
      </c>
      <c r="E42" s="19">
        <v>15.42</v>
      </c>
      <c r="F42" s="19">
        <v>4113.1099999999997</v>
      </c>
      <c r="G42" s="20"/>
      <c r="H42" s="19">
        <v>4189.91</v>
      </c>
    </row>
    <row r="43" spans="1:8" x14ac:dyDescent="0.2">
      <c r="A43" s="17">
        <v>10</v>
      </c>
      <c r="B43" s="18" t="s">
        <v>40</v>
      </c>
      <c r="C43" s="18" t="s">
        <v>41</v>
      </c>
      <c r="D43" s="19">
        <v>61.5</v>
      </c>
      <c r="E43" s="19">
        <v>15.37</v>
      </c>
      <c r="F43" s="19">
        <v>3711.62</v>
      </c>
      <c r="G43" s="20"/>
      <c r="H43" s="19">
        <v>3788.49</v>
      </c>
    </row>
    <row r="44" spans="1:8" ht="25.5" x14ac:dyDescent="0.2">
      <c r="A44" s="17">
        <v>11</v>
      </c>
      <c r="B44" s="18" t="s">
        <v>42</v>
      </c>
      <c r="C44" s="18" t="s">
        <v>43</v>
      </c>
      <c r="D44" s="20"/>
      <c r="E44" s="19">
        <v>21.61</v>
      </c>
      <c r="F44" s="19">
        <v>2388.0300000000002</v>
      </c>
      <c r="G44" s="20"/>
      <c r="H44" s="19">
        <v>2409.64</v>
      </c>
    </row>
    <row r="45" spans="1:8" x14ac:dyDescent="0.2">
      <c r="A45" s="17">
        <v>12</v>
      </c>
      <c r="B45" s="18" t="s">
        <v>44</v>
      </c>
      <c r="C45" s="18" t="s">
        <v>45</v>
      </c>
      <c r="D45" s="19">
        <v>149.63999999999999</v>
      </c>
      <c r="E45" s="19">
        <v>1621.89</v>
      </c>
      <c r="F45" s="20"/>
      <c r="G45" s="20"/>
      <c r="H45" s="19">
        <v>1771.53</v>
      </c>
    </row>
    <row r="46" spans="1:8" x14ac:dyDescent="0.2">
      <c r="A46" s="17">
        <v>13</v>
      </c>
      <c r="B46" s="18" t="s">
        <v>46</v>
      </c>
      <c r="C46" s="18" t="s">
        <v>47</v>
      </c>
      <c r="D46" s="19">
        <v>519.47</v>
      </c>
      <c r="E46" s="20"/>
      <c r="F46" s="20"/>
      <c r="G46" s="20"/>
      <c r="H46" s="19">
        <v>519.47</v>
      </c>
    </row>
    <row r="47" spans="1:8" ht="25.5" x14ac:dyDescent="0.2">
      <c r="A47" s="17">
        <v>14</v>
      </c>
      <c r="B47" s="18" t="s">
        <v>48</v>
      </c>
      <c r="C47" s="18" t="s">
        <v>49</v>
      </c>
      <c r="D47" s="19">
        <v>44.07</v>
      </c>
      <c r="E47" s="19">
        <v>247.16</v>
      </c>
      <c r="F47" s="20"/>
      <c r="G47" s="20"/>
      <c r="H47" s="19">
        <v>291.23</v>
      </c>
    </row>
    <row r="48" spans="1:8" ht="25.5" x14ac:dyDescent="0.2">
      <c r="A48" s="17">
        <v>15</v>
      </c>
      <c r="B48" s="18" t="s">
        <v>50</v>
      </c>
      <c r="C48" s="18" t="s">
        <v>51</v>
      </c>
      <c r="D48" s="19">
        <v>3.6</v>
      </c>
      <c r="E48" s="19">
        <v>8.7200000000000006</v>
      </c>
      <c r="F48" s="20"/>
      <c r="G48" s="20"/>
      <c r="H48" s="19">
        <v>12.32</v>
      </c>
    </row>
    <row r="49" spans="1:8" ht="25.5" x14ac:dyDescent="0.2">
      <c r="A49" s="17">
        <v>16</v>
      </c>
      <c r="B49" s="18" t="s">
        <v>52</v>
      </c>
      <c r="C49" s="18" t="s">
        <v>53</v>
      </c>
      <c r="D49" s="19">
        <v>88.86</v>
      </c>
      <c r="E49" s="19">
        <v>16</v>
      </c>
      <c r="F49" s="19">
        <v>8196.7900000000009</v>
      </c>
      <c r="G49" s="20"/>
      <c r="H49" s="19">
        <v>8301.65</v>
      </c>
    </row>
    <row r="50" spans="1:8" ht="25.5" x14ac:dyDescent="0.2">
      <c r="A50" s="17">
        <v>17</v>
      </c>
      <c r="B50" s="18" t="s">
        <v>54</v>
      </c>
      <c r="C50" s="18" t="s">
        <v>55</v>
      </c>
      <c r="D50" s="19">
        <v>87.83</v>
      </c>
      <c r="E50" s="19">
        <v>16.54</v>
      </c>
      <c r="F50" s="19">
        <v>8673.34</v>
      </c>
      <c r="G50" s="20"/>
      <c r="H50" s="19">
        <v>8777.7099999999991</v>
      </c>
    </row>
    <row r="51" spans="1:8" x14ac:dyDescent="0.2">
      <c r="A51" s="17">
        <v>18</v>
      </c>
      <c r="B51" s="18" t="s">
        <v>56</v>
      </c>
      <c r="C51" s="18" t="s">
        <v>57</v>
      </c>
      <c r="D51" s="19">
        <v>61.92</v>
      </c>
      <c r="E51" s="19">
        <v>15.36</v>
      </c>
      <c r="F51" s="19">
        <v>4135.75</v>
      </c>
      <c r="G51" s="20"/>
      <c r="H51" s="19">
        <v>4213.03</v>
      </c>
    </row>
    <row r="52" spans="1:8" x14ac:dyDescent="0.2">
      <c r="A52" s="17">
        <v>19</v>
      </c>
      <c r="B52" s="18" t="s">
        <v>58</v>
      </c>
      <c r="C52" s="18" t="s">
        <v>59</v>
      </c>
      <c r="D52" s="19">
        <v>53.88</v>
      </c>
      <c r="E52" s="19">
        <v>14.62</v>
      </c>
      <c r="F52" s="19">
        <v>3256.98</v>
      </c>
      <c r="G52" s="20"/>
      <c r="H52" s="19">
        <v>3325.48</v>
      </c>
    </row>
    <row r="53" spans="1:8" ht="27.95" customHeight="1" x14ac:dyDescent="0.2">
      <c r="A53" s="25"/>
      <c r="B53" s="217" t="s">
        <v>60</v>
      </c>
      <c r="C53" s="218"/>
      <c r="D53" s="19">
        <v>1186.22</v>
      </c>
      <c r="E53" s="19">
        <v>2006.8</v>
      </c>
      <c r="F53" s="19">
        <v>37366.58</v>
      </c>
      <c r="G53" s="20"/>
      <c r="H53" s="19">
        <v>40559.599999999999</v>
      </c>
    </row>
    <row r="54" spans="1:8" x14ac:dyDescent="0.2">
      <c r="A54" s="213" t="s">
        <v>61</v>
      </c>
      <c r="B54" s="214"/>
      <c r="C54" s="214"/>
      <c r="D54" s="214"/>
      <c r="E54" s="214"/>
      <c r="F54" s="214"/>
      <c r="G54" s="214"/>
      <c r="H54" s="214"/>
    </row>
    <row r="55" spans="1:8" x14ac:dyDescent="0.2">
      <c r="A55" s="17">
        <v>20</v>
      </c>
      <c r="B55" s="18" t="s">
        <v>62</v>
      </c>
      <c r="C55" s="18" t="s">
        <v>63</v>
      </c>
      <c r="D55" s="19">
        <v>66.47</v>
      </c>
      <c r="E55" s="19">
        <v>1320.15</v>
      </c>
      <c r="F55" s="20"/>
      <c r="G55" s="20"/>
      <c r="H55" s="19">
        <v>1386.62</v>
      </c>
    </row>
    <row r="56" spans="1:8" x14ac:dyDescent="0.2">
      <c r="A56" s="17">
        <v>21</v>
      </c>
      <c r="B56" s="18" t="s">
        <v>64</v>
      </c>
      <c r="C56" s="18" t="s">
        <v>65</v>
      </c>
      <c r="D56" s="19">
        <v>1378.81</v>
      </c>
      <c r="E56" s="19">
        <v>438.93</v>
      </c>
      <c r="F56" s="19">
        <v>643.45000000000005</v>
      </c>
      <c r="G56" s="20"/>
      <c r="H56" s="19">
        <v>2461.19</v>
      </c>
    </row>
    <row r="57" spans="1:8" ht="27.95" customHeight="1" x14ac:dyDescent="0.2">
      <c r="A57" s="25"/>
      <c r="B57" s="217" t="s">
        <v>66</v>
      </c>
      <c r="C57" s="218"/>
      <c r="D57" s="19">
        <v>1445.28</v>
      </c>
      <c r="E57" s="19">
        <v>1759.08</v>
      </c>
      <c r="F57" s="19">
        <v>643.45000000000005</v>
      </c>
      <c r="G57" s="20"/>
      <c r="H57" s="19">
        <v>3847.81</v>
      </c>
    </row>
    <row r="58" spans="1:8" x14ac:dyDescent="0.2">
      <c r="A58" s="213" t="s">
        <v>67</v>
      </c>
      <c r="B58" s="214"/>
      <c r="C58" s="214"/>
      <c r="D58" s="214"/>
      <c r="E58" s="214"/>
      <c r="F58" s="214"/>
      <c r="G58" s="214"/>
      <c r="H58" s="214"/>
    </row>
    <row r="59" spans="1:8" x14ac:dyDescent="0.2">
      <c r="A59" s="17">
        <v>22</v>
      </c>
      <c r="B59" s="18" t="s">
        <v>68</v>
      </c>
      <c r="C59" s="18" t="s">
        <v>69</v>
      </c>
      <c r="D59" s="19">
        <v>1670.74</v>
      </c>
      <c r="E59" s="19">
        <v>8.6999999999999993</v>
      </c>
      <c r="F59" s="20"/>
      <c r="G59" s="20"/>
      <c r="H59" s="19">
        <v>1679.44</v>
      </c>
    </row>
    <row r="60" spans="1:8" x14ac:dyDescent="0.2">
      <c r="A60" s="17">
        <v>23</v>
      </c>
      <c r="B60" s="18" t="s">
        <v>70</v>
      </c>
      <c r="C60" s="18" t="s">
        <v>71</v>
      </c>
      <c r="D60" s="19">
        <v>101</v>
      </c>
      <c r="E60" s="19">
        <v>5.7</v>
      </c>
      <c r="F60" s="19">
        <v>2394.85</v>
      </c>
      <c r="G60" s="20"/>
      <c r="H60" s="19">
        <v>2501.5500000000002</v>
      </c>
    </row>
    <row r="61" spans="1:8" x14ac:dyDescent="0.2">
      <c r="A61" s="17">
        <v>24</v>
      </c>
      <c r="B61" s="18" t="s">
        <v>72</v>
      </c>
      <c r="C61" s="18" t="s">
        <v>73</v>
      </c>
      <c r="D61" s="19">
        <v>4311.2</v>
      </c>
      <c r="E61" s="20"/>
      <c r="F61" s="20"/>
      <c r="G61" s="20"/>
      <c r="H61" s="19">
        <v>4311.2</v>
      </c>
    </row>
    <row r="62" spans="1:8" x14ac:dyDescent="0.2">
      <c r="A62" s="17">
        <v>25</v>
      </c>
      <c r="B62" s="18" t="s">
        <v>74</v>
      </c>
      <c r="C62" s="18" t="s">
        <v>75</v>
      </c>
      <c r="D62" s="19">
        <v>51.56</v>
      </c>
      <c r="E62" s="19">
        <v>9.9499999999999993</v>
      </c>
      <c r="F62" s="19">
        <v>1993.3</v>
      </c>
      <c r="G62" s="20"/>
      <c r="H62" s="19">
        <v>2054.81</v>
      </c>
    </row>
    <row r="63" spans="1:8" x14ac:dyDescent="0.2">
      <c r="A63" s="17">
        <v>26</v>
      </c>
      <c r="B63" s="18" t="s">
        <v>76</v>
      </c>
      <c r="C63" s="18" t="s">
        <v>77</v>
      </c>
      <c r="D63" s="19">
        <v>1043.6600000000001</v>
      </c>
      <c r="E63" s="20"/>
      <c r="F63" s="19">
        <v>14.92</v>
      </c>
      <c r="G63" s="20"/>
      <c r="H63" s="19">
        <v>1058.58</v>
      </c>
    </row>
    <row r="64" spans="1:8" x14ac:dyDescent="0.2">
      <c r="A64" s="17">
        <v>27</v>
      </c>
      <c r="B64" s="18" t="s">
        <v>78</v>
      </c>
      <c r="C64" s="18" t="s">
        <v>79</v>
      </c>
      <c r="D64" s="19">
        <v>1043.6600000000001</v>
      </c>
      <c r="E64" s="20"/>
      <c r="F64" s="19">
        <v>14.92</v>
      </c>
      <c r="G64" s="20"/>
      <c r="H64" s="19">
        <v>1058.58</v>
      </c>
    </row>
    <row r="65" spans="1:8" x14ac:dyDescent="0.2">
      <c r="A65" s="17">
        <v>28</v>
      </c>
      <c r="B65" s="18" t="s">
        <v>80</v>
      </c>
      <c r="C65" s="18" t="s">
        <v>81</v>
      </c>
      <c r="D65" s="19">
        <v>138.19</v>
      </c>
      <c r="E65" s="19">
        <v>5.03</v>
      </c>
      <c r="F65" s="19">
        <v>626.38</v>
      </c>
      <c r="G65" s="20"/>
      <c r="H65" s="19">
        <v>769.6</v>
      </c>
    </row>
    <row r="66" spans="1:8" x14ac:dyDescent="0.2">
      <c r="A66" s="17">
        <v>29</v>
      </c>
      <c r="B66" s="18" t="s">
        <v>82</v>
      </c>
      <c r="C66" s="18" t="s">
        <v>83</v>
      </c>
      <c r="D66" s="19">
        <v>4572.75</v>
      </c>
      <c r="E66" s="19">
        <v>8.74</v>
      </c>
      <c r="F66" s="19">
        <v>587.35</v>
      </c>
      <c r="G66" s="20"/>
      <c r="H66" s="19">
        <v>5168.84</v>
      </c>
    </row>
    <row r="67" spans="1:8" x14ac:dyDescent="0.2">
      <c r="A67" s="17">
        <v>30</v>
      </c>
      <c r="B67" s="18" t="s">
        <v>84</v>
      </c>
      <c r="C67" s="18" t="s">
        <v>85</v>
      </c>
      <c r="D67" s="19">
        <v>4339.22</v>
      </c>
      <c r="E67" s="20"/>
      <c r="F67" s="20"/>
      <c r="G67" s="20"/>
      <c r="H67" s="19">
        <v>4339.22</v>
      </c>
    </row>
    <row r="68" spans="1:8" x14ac:dyDescent="0.2">
      <c r="A68" s="17">
        <v>31</v>
      </c>
      <c r="B68" s="18" t="s">
        <v>86</v>
      </c>
      <c r="C68" s="18" t="s">
        <v>87</v>
      </c>
      <c r="D68" s="19">
        <v>1512.67</v>
      </c>
      <c r="E68" s="19">
        <v>8.36</v>
      </c>
      <c r="F68" s="19">
        <v>116.76</v>
      </c>
      <c r="G68" s="20"/>
      <c r="H68" s="19">
        <v>1637.79</v>
      </c>
    </row>
    <row r="69" spans="1:8" ht="27.95" customHeight="1" x14ac:dyDescent="0.2">
      <c r="A69" s="25"/>
      <c r="B69" s="217" t="s">
        <v>88</v>
      </c>
      <c r="C69" s="218"/>
      <c r="D69" s="19">
        <v>18784.650000000001</v>
      </c>
      <c r="E69" s="19">
        <v>46.48</v>
      </c>
      <c r="F69" s="19">
        <v>5748.48</v>
      </c>
      <c r="G69" s="20"/>
      <c r="H69" s="19">
        <v>24579.61</v>
      </c>
    </row>
    <row r="70" spans="1:8" x14ac:dyDescent="0.2">
      <c r="A70" s="213" t="s">
        <v>89</v>
      </c>
      <c r="B70" s="214"/>
      <c r="C70" s="214"/>
      <c r="D70" s="214"/>
      <c r="E70" s="214"/>
      <c r="F70" s="214"/>
      <c r="G70" s="214"/>
      <c r="H70" s="214"/>
    </row>
    <row r="71" spans="1:8" x14ac:dyDescent="0.2">
      <c r="A71" s="17">
        <v>32</v>
      </c>
      <c r="B71" s="18" t="s">
        <v>90</v>
      </c>
      <c r="C71" s="18" t="s">
        <v>91</v>
      </c>
      <c r="D71" s="19">
        <v>260.93</v>
      </c>
      <c r="E71" s="19">
        <v>483.93</v>
      </c>
      <c r="F71" s="19">
        <v>64.38</v>
      </c>
      <c r="G71" s="20"/>
      <c r="H71" s="19">
        <v>809.24</v>
      </c>
    </row>
    <row r="72" spans="1:8" x14ac:dyDescent="0.2">
      <c r="A72" s="17">
        <v>33</v>
      </c>
      <c r="B72" s="18" t="s">
        <v>92</v>
      </c>
      <c r="C72" s="18" t="s">
        <v>93</v>
      </c>
      <c r="D72" s="19">
        <v>1146.3</v>
      </c>
      <c r="E72" s="20"/>
      <c r="F72" s="20"/>
      <c r="G72" s="20"/>
      <c r="H72" s="19">
        <v>1146.3</v>
      </c>
    </row>
    <row r="73" spans="1:8" ht="25.5" x14ac:dyDescent="0.2">
      <c r="A73" s="17">
        <v>34</v>
      </c>
      <c r="B73" s="18" t="s">
        <v>94</v>
      </c>
      <c r="C73" s="18" t="s">
        <v>95</v>
      </c>
      <c r="D73" s="19">
        <v>123.23</v>
      </c>
      <c r="E73" s="20"/>
      <c r="F73" s="20"/>
      <c r="G73" s="20"/>
      <c r="H73" s="19">
        <v>123.23</v>
      </c>
    </row>
    <row r="74" spans="1:8" ht="27.95" customHeight="1" x14ac:dyDescent="0.2">
      <c r="A74" s="25"/>
      <c r="B74" s="217" t="s">
        <v>96</v>
      </c>
      <c r="C74" s="218"/>
      <c r="D74" s="19">
        <v>1530.46</v>
      </c>
      <c r="E74" s="19">
        <v>483.93</v>
      </c>
      <c r="F74" s="19">
        <v>64.38</v>
      </c>
      <c r="G74" s="20"/>
      <c r="H74" s="19">
        <v>2078.77</v>
      </c>
    </row>
    <row r="75" spans="1:8" x14ac:dyDescent="0.2">
      <c r="A75" s="25"/>
      <c r="B75" s="217" t="s">
        <v>97</v>
      </c>
      <c r="C75" s="218"/>
      <c r="D75" s="19">
        <v>51084.27</v>
      </c>
      <c r="E75" s="19">
        <v>4296.29</v>
      </c>
      <c r="F75" s="19">
        <v>43822.89</v>
      </c>
      <c r="G75" s="19">
        <v>4270.07</v>
      </c>
      <c r="H75" s="19">
        <v>103473.52</v>
      </c>
    </row>
    <row r="76" spans="1:8" x14ac:dyDescent="0.2">
      <c r="A76" s="213" t="s">
        <v>98</v>
      </c>
      <c r="B76" s="214"/>
      <c r="C76" s="214"/>
      <c r="D76" s="214"/>
      <c r="E76" s="214"/>
      <c r="F76" s="214"/>
      <c r="G76" s="214"/>
      <c r="H76" s="214"/>
    </row>
    <row r="77" spans="1:8" ht="38.25" x14ac:dyDescent="0.2">
      <c r="A77" s="17">
        <v>35</v>
      </c>
      <c r="B77" s="18" t="s">
        <v>99</v>
      </c>
      <c r="C77" s="18" t="s">
        <v>100</v>
      </c>
      <c r="D77" s="19">
        <v>1174.94</v>
      </c>
      <c r="E77" s="19">
        <v>98.81</v>
      </c>
      <c r="F77" s="20"/>
      <c r="G77" s="20"/>
      <c r="H77" s="19">
        <v>1273.75</v>
      </c>
    </row>
    <row r="78" spans="1:8" x14ac:dyDescent="0.2">
      <c r="A78" s="21">
        <v>36</v>
      </c>
      <c r="B78" s="22"/>
      <c r="C78" s="23" t="s">
        <v>101</v>
      </c>
      <c r="D78" s="24">
        <v>176.24</v>
      </c>
      <c r="E78" s="24">
        <v>14.82</v>
      </c>
      <c r="F78" s="20"/>
      <c r="G78" s="20"/>
      <c r="H78" s="24">
        <v>191.06</v>
      </c>
    </row>
    <row r="79" spans="1:8" x14ac:dyDescent="0.2">
      <c r="A79" s="25"/>
      <c r="B79" s="217" t="s">
        <v>102</v>
      </c>
      <c r="C79" s="218"/>
      <c r="D79" s="19">
        <v>1174.94</v>
      </c>
      <c r="E79" s="19">
        <v>98.81</v>
      </c>
      <c r="F79" s="20"/>
      <c r="G79" s="20"/>
      <c r="H79" s="19">
        <v>1273.75</v>
      </c>
    </row>
    <row r="80" spans="1:8" x14ac:dyDescent="0.2">
      <c r="A80" s="25"/>
      <c r="B80" s="217" t="s">
        <v>103</v>
      </c>
      <c r="C80" s="218"/>
      <c r="D80" s="19">
        <v>52259.21</v>
      </c>
      <c r="E80" s="19">
        <v>4395.1000000000004</v>
      </c>
      <c r="F80" s="19">
        <v>43822.89</v>
      </c>
      <c r="G80" s="19">
        <v>4270.07</v>
      </c>
      <c r="H80" s="19">
        <v>104747.27</v>
      </c>
    </row>
    <row r="81" spans="1:8" x14ac:dyDescent="0.2">
      <c r="A81" s="213" t="s">
        <v>104</v>
      </c>
      <c r="B81" s="214"/>
      <c r="C81" s="214"/>
      <c r="D81" s="214"/>
      <c r="E81" s="214"/>
      <c r="F81" s="214"/>
      <c r="G81" s="214"/>
      <c r="H81" s="214"/>
    </row>
    <row r="82" spans="1:8" ht="63.75" x14ac:dyDescent="0.2">
      <c r="A82" s="17">
        <v>37</v>
      </c>
      <c r="B82" s="18" t="s">
        <v>105</v>
      </c>
      <c r="C82" s="18" t="s">
        <v>106</v>
      </c>
      <c r="D82" s="19">
        <v>287.43</v>
      </c>
      <c r="E82" s="19">
        <v>24.17</v>
      </c>
      <c r="F82" s="20"/>
      <c r="G82" s="20"/>
      <c r="H82" s="19">
        <v>311.60000000000002</v>
      </c>
    </row>
    <row r="83" spans="1:8" x14ac:dyDescent="0.2">
      <c r="A83" s="17">
        <v>38</v>
      </c>
      <c r="B83" s="18" t="s">
        <v>107</v>
      </c>
      <c r="C83" s="18" t="s">
        <v>108</v>
      </c>
      <c r="D83" s="20"/>
      <c r="E83" s="20"/>
      <c r="F83" s="20"/>
      <c r="G83" s="19">
        <v>418.08</v>
      </c>
      <c r="H83" s="19">
        <v>418.08</v>
      </c>
    </row>
    <row r="84" spans="1:8" ht="38.25" x14ac:dyDescent="0.2">
      <c r="A84" s="17">
        <v>39</v>
      </c>
      <c r="B84" s="18" t="s">
        <v>109</v>
      </c>
      <c r="C84" s="18" t="s">
        <v>110</v>
      </c>
      <c r="D84" s="20"/>
      <c r="E84" s="20"/>
      <c r="F84" s="20"/>
      <c r="G84" s="19">
        <v>2619.23</v>
      </c>
      <c r="H84" s="19">
        <v>2619.23</v>
      </c>
    </row>
    <row r="85" spans="1:8" ht="38.25" x14ac:dyDescent="0.2">
      <c r="A85" s="17">
        <v>40</v>
      </c>
      <c r="B85" s="18" t="s">
        <v>111</v>
      </c>
      <c r="C85" s="18" t="s">
        <v>112</v>
      </c>
      <c r="D85" s="20"/>
      <c r="E85" s="20"/>
      <c r="F85" s="20"/>
      <c r="G85" s="19">
        <v>0.03</v>
      </c>
      <c r="H85" s="19">
        <v>0.03</v>
      </c>
    </row>
    <row r="86" spans="1:8" ht="25.5" x14ac:dyDescent="0.2">
      <c r="A86" s="17">
        <v>41</v>
      </c>
      <c r="B86" s="18" t="s">
        <v>113</v>
      </c>
      <c r="C86" s="18" t="s">
        <v>114</v>
      </c>
      <c r="D86" s="20"/>
      <c r="E86" s="20"/>
      <c r="F86" s="20"/>
      <c r="G86" s="19">
        <v>22.53</v>
      </c>
      <c r="H86" s="19">
        <v>22.53</v>
      </c>
    </row>
    <row r="87" spans="1:8" x14ac:dyDescent="0.2">
      <c r="A87" s="17">
        <v>42</v>
      </c>
      <c r="B87" s="18" t="s">
        <v>115</v>
      </c>
      <c r="C87" s="18" t="s">
        <v>116</v>
      </c>
      <c r="D87" s="20"/>
      <c r="E87" s="20"/>
      <c r="F87" s="20"/>
      <c r="G87" s="19">
        <v>67.48</v>
      </c>
      <c r="H87" s="19">
        <v>67.48</v>
      </c>
    </row>
    <row r="88" spans="1:8" ht="25.5" x14ac:dyDescent="0.2">
      <c r="A88" s="17">
        <v>43</v>
      </c>
      <c r="B88" s="18" t="s">
        <v>117</v>
      </c>
      <c r="C88" s="18" t="s">
        <v>118</v>
      </c>
      <c r="D88" s="20"/>
      <c r="E88" s="20"/>
      <c r="F88" s="20"/>
      <c r="G88" s="19">
        <v>53.5</v>
      </c>
      <c r="H88" s="19">
        <v>53.5</v>
      </c>
    </row>
    <row r="89" spans="1:8" x14ac:dyDescent="0.2">
      <c r="A89" s="25"/>
      <c r="B89" s="217" t="s">
        <v>119</v>
      </c>
      <c r="C89" s="218"/>
      <c r="D89" s="19">
        <v>287.43</v>
      </c>
      <c r="E89" s="19">
        <v>24.17</v>
      </c>
      <c r="F89" s="20"/>
      <c r="G89" s="19">
        <v>3180.85</v>
      </c>
      <c r="H89" s="19">
        <v>3492.45</v>
      </c>
    </row>
    <row r="90" spans="1:8" x14ac:dyDescent="0.2">
      <c r="A90" s="25"/>
      <c r="B90" s="217" t="s">
        <v>120</v>
      </c>
      <c r="C90" s="218"/>
      <c r="D90" s="19">
        <v>52546.64</v>
      </c>
      <c r="E90" s="19">
        <v>4419.2700000000004</v>
      </c>
      <c r="F90" s="19">
        <v>43822.89</v>
      </c>
      <c r="G90" s="19">
        <v>7450.92</v>
      </c>
      <c r="H90" s="19">
        <v>108239.72</v>
      </c>
    </row>
    <row r="91" spans="1:8" x14ac:dyDescent="0.2">
      <c r="A91" s="213" t="s">
        <v>121</v>
      </c>
      <c r="B91" s="214"/>
      <c r="C91" s="214"/>
      <c r="D91" s="214"/>
      <c r="E91" s="214"/>
      <c r="F91" s="214"/>
      <c r="G91" s="214"/>
      <c r="H91" s="214"/>
    </row>
    <row r="92" spans="1:8" ht="51" x14ac:dyDescent="0.2">
      <c r="A92" s="17">
        <v>44</v>
      </c>
      <c r="B92" s="18" t="s">
        <v>122</v>
      </c>
      <c r="C92" s="18" t="s">
        <v>123</v>
      </c>
      <c r="D92" s="20"/>
      <c r="E92" s="20"/>
      <c r="F92" s="20"/>
      <c r="G92" s="19">
        <v>2004.7</v>
      </c>
      <c r="H92" s="19">
        <v>2004.7</v>
      </c>
    </row>
    <row r="93" spans="1:8" ht="27.95" customHeight="1" x14ac:dyDescent="0.2">
      <c r="A93" s="25"/>
      <c r="B93" s="217" t="s">
        <v>124</v>
      </c>
      <c r="C93" s="218"/>
      <c r="D93" s="20"/>
      <c r="E93" s="20"/>
      <c r="F93" s="20"/>
      <c r="G93" s="19">
        <v>2004.7</v>
      </c>
      <c r="H93" s="19">
        <v>2004.7</v>
      </c>
    </row>
    <row r="94" spans="1:8" x14ac:dyDescent="0.2">
      <c r="A94" s="213" t="s">
        <v>125</v>
      </c>
      <c r="B94" s="214"/>
      <c r="C94" s="214"/>
      <c r="D94" s="214"/>
      <c r="E94" s="214"/>
      <c r="F94" s="214"/>
      <c r="G94" s="214"/>
      <c r="H94" s="214"/>
    </row>
    <row r="95" spans="1:8" ht="63.75" x14ac:dyDescent="0.2">
      <c r="A95" s="17">
        <v>45</v>
      </c>
      <c r="B95" s="18" t="s">
        <v>126</v>
      </c>
      <c r="C95" s="18" t="s">
        <v>127</v>
      </c>
      <c r="D95" s="20"/>
      <c r="E95" s="20"/>
      <c r="F95" s="20"/>
      <c r="G95" s="19">
        <v>1549.37</v>
      </c>
      <c r="H95" s="19">
        <v>1549.37</v>
      </c>
    </row>
    <row r="96" spans="1:8" ht="63.75" x14ac:dyDescent="0.2">
      <c r="A96" s="17">
        <v>46</v>
      </c>
      <c r="B96" s="18" t="s">
        <v>128</v>
      </c>
      <c r="C96" s="18" t="s">
        <v>129</v>
      </c>
      <c r="D96" s="20"/>
      <c r="E96" s="20"/>
      <c r="F96" s="20"/>
      <c r="G96" s="19">
        <v>1324.34</v>
      </c>
      <c r="H96" s="19">
        <v>1324.34</v>
      </c>
    </row>
    <row r="97" spans="1:8" ht="63.75" x14ac:dyDescent="0.2">
      <c r="A97" s="17">
        <v>47</v>
      </c>
      <c r="B97" s="18" t="s">
        <v>130</v>
      </c>
      <c r="C97" s="18" t="s">
        <v>131</v>
      </c>
      <c r="D97" s="20"/>
      <c r="E97" s="20"/>
      <c r="F97" s="20"/>
      <c r="G97" s="19">
        <v>6722.87</v>
      </c>
      <c r="H97" s="19">
        <v>6722.87</v>
      </c>
    </row>
    <row r="98" spans="1:8" ht="63.75" x14ac:dyDescent="0.2">
      <c r="A98" s="17">
        <v>48</v>
      </c>
      <c r="B98" s="18" t="s">
        <v>132</v>
      </c>
      <c r="C98" s="18" t="s">
        <v>133</v>
      </c>
      <c r="D98" s="20"/>
      <c r="E98" s="20"/>
      <c r="F98" s="20"/>
      <c r="G98" s="19">
        <v>5937.8</v>
      </c>
      <c r="H98" s="19">
        <v>5937.8</v>
      </c>
    </row>
    <row r="99" spans="1:8" ht="38.25" x14ac:dyDescent="0.2">
      <c r="A99" s="17">
        <v>49</v>
      </c>
      <c r="B99" s="18" t="s">
        <v>134</v>
      </c>
      <c r="C99" s="18" t="s">
        <v>135</v>
      </c>
      <c r="D99" s="20"/>
      <c r="E99" s="20"/>
      <c r="F99" s="20"/>
      <c r="G99" s="19">
        <v>715.76</v>
      </c>
      <c r="H99" s="19">
        <v>715.76</v>
      </c>
    </row>
    <row r="100" spans="1:8" ht="76.5" x14ac:dyDescent="0.2">
      <c r="A100" s="17">
        <v>50</v>
      </c>
      <c r="B100" s="18" t="s">
        <v>136</v>
      </c>
      <c r="C100" s="18" t="s">
        <v>137</v>
      </c>
      <c r="D100" s="20"/>
      <c r="E100" s="20"/>
      <c r="F100" s="20"/>
      <c r="G100" s="19">
        <v>25.45</v>
      </c>
      <c r="H100" s="19">
        <v>25.45</v>
      </c>
    </row>
    <row r="101" spans="1:8" ht="27.95" customHeight="1" x14ac:dyDescent="0.2">
      <c r="A101" s="25"/>
      <c r="B101" s="217" t="s">
        <v>138</v>
      </c>
      <c r="C101" s="218"/>
      <c r="D101" s="20"/>
      <c r="E101" s="20"/>
      <c r="F101" s="20"/>
      <c r="G101" s="19">
        <v>16275.59</v>
      </c>
      <c r="H101" s="19">
        <v>16275.59</v>
      </c>
    </row>
    <row r="102" spans="1:8" x14ac:dyDescent="0.2">
      <c r="A102" s="25"/>
      <c r="B102" s="217" t="s">
        <v>139</v>
      </c>
      <c r="C102" s="218"/>
      <c r="D102" s="19">
        <v>52546.64</v>
      </c>
      <c r="E102" s="19">
        <v>4419.2700000000004</v>
      </c>
      <c r="F102" s="19">
        <v>43822.89</v>
      </c>
      <c r="G102" s="19">
        <v>25731.21</v>
      </c>
      <c r="H102" s="19">
        <v>126520.01</v>
      </c>
    </row>
    <row r="103" spans="1:8" x14ac:dyDescent="0.2">
      <c r="A103" s="213" t="s">
        <v>140</v>
      </c>
      <c r="B103" s="214"/>
      <c r="C103" s="214"/>
      <c r="D103" s="214"/>
      <c r="E103" s="214"/>
      <c r="F103" s="214"/>
      <c r="G103" s="214"/>
      <c r="H103" s="214"/>
    </row>
    <row r="104" spans="1:8" ht="25.5" x14ac:dyDescent="0.2">
      <c r="A104" s="17">
        <v>51</v>
      </c>
      <c r="B104" s="18" t="s">
        <v>141</v>
      </c>
      <c r="C104" s="18" t="s">
        <v>142</v>
      </c>
      <c r="D104" s="19">
        <v>1050.93</v>
      </c>
      <c r="E104" s="19">
        <v>88.39</v>
      </c>
      <c r="F104" s="19">
        <v>876.46</v>
      </c>
      <c r="G104" s="19">
        <v>514.62</v>
      </c>
      <c r="H104" s="19">
        <v>2530.4</v>
      </c>
    </row>
    <row r="105" spans="1:8" x14ac:dyDescent="0.2">
      <c r="A105" s="25"/>
      <c r="B105" s="217" t="s">
        <v>143</v>
      </c>
      <c r="C105" s="218"/>
      <c r="D105" s="19">
        <v>1050.93</v>
      </c>
      <c r="E105" s="19">
        <v>88.39</v>
      </c>
      <c r="F105" s="19">
        <v>876.46</v>
      </c>
      <c r="G105" s="19">
        <v>514.62</v>
      </c>
      <c r="H105" s="19">
        <v>2530.4</v>
      </c>
    </row>
    <row r="106" spans="1:8" x14ac:dyDescent="0.2">
      <c r="A106" s="25"/>
      <c r="B106" s="217" t="s">
        <v>144</v>
      </c>
      <c r="C106" s="218"/>
      <c r="D106" s="19">
        <v>53597.57</v>
      </c>
      <c r="E106" s="19">
        <v>4507.66</v>
      </c>
      <c r="F106" s="19">
        <v>44699.35</v>
      </c>
      <c r="G106" s="19">
        <v>26245.83</v>
      </c>
      <c r="H106" s="19">
        <v>129050.41</v>
      </c>
    </row>
    <row r="107" spans="1:8" x14ac:dyDescent="0.2">
      <c r="A107" s="213" t="s">
        <v>145</v>
      </c>
      <c r="B107" s="214"/>
      <c r="C107" s="214"/>
      <c r="D107" s="214"/>
      <c r="E107" s="214"/>
      <c r="F107" s="214"/>
      <c r="G107" s="214"/>
      <c r="H107" s="214"/>
    </row>
    <row r="108" spans="1:8" x14ac:dyDescent="0.2">
      <c r="A108" s="25"/>
      <c r="B108" s="217" t="s">
        <v>146</v>
      </c>
      <c r="C108" s="218"/>
      <c r="D108" s="19">
        <v>53597.57</v>
      </c>
      <c r="E108" s="19">
        <v>4507.66</v>
      </c>
      <c r="F108" s="19">
        <v>44699.35</v>
      </c>
      <c r="G108" s="19">
        <v>26245.83</v>
      </c>
      <c r="H108" s="19">
        <v>129050.41</v>
      </c>
    </row>
    <row r="109" spans="1:8" x14ac:dyDescent="0.2">
      <c r="A109" s="213" t="s">
        <v>147</v>
      </c>
      <c r="B109" s="214"/>
      <c r="C109" s="214"/>
      <c r="D109" s="214"/>
      <c r="E109" s="214"/>
      <c r="F109" s="214"/>
      <c r="G109" s="214"/>
      <c r="H109" s="214"/>
    </row>
    <row r="110" spans="1:8" x14ac:dyDescent="0.2">
      <c r="A110" s="21">
        <v>52</v>
      </c>
      <c r="B110" s="22"/>
      <c r="C110" s="23" t="s">
        <v>148</v>
      </c>
      <c r="D110" s="24">
        <v>484.13</v>
      </c>
      <c r="E110" s="24">
        <v>14.82</v>
      </c>
      <c r="F110" s="20"/>
      <c r="G110" s="20"/>
      <c r="H110" s="24">
        <v>498.95</v>
      </c>
    </row>
    <row r="111" spans="1:8" x14ac:dyDescent="0.2">
      <c r="A111" s="17">
        <v>53</v>
      </c>
      <c r="B111" s="22"/>
      <c r="C111" s="18" t="s">
        <v>149</v>
      </c>
      <c r="D111" s="20"/>
      <c r="E111" s="20"/>
      <c r="F111" s="20"/>
      <c r="G111" s="20"/>
      <c r="H111" s="20"/>
    </row>
    <row r="112" spans="1:8" ht="51" x14ac:dyDescent="0.2">
      <c r="A112" s="17">
        <v>54</v>
      </c>
      <c r="B112" s="18" t="s">
        <v>150</v>
      </c>
      <c r="C112" s="18" t="s">
        <v>151</v>
      </c>
      <c r="D112" s="19">
        <v>375182.99</v>
      </c>
      <c r="E112" s="19">
        <v>31553.62</v>
      </c>
      <c r="F112" s="20"/>
      <c r="G112" s="20"/>
      <c r="H112" s="19">
        <v>406736.61</v>
      </c>
    </row>
    <row r="113" spans="1:8" ht="51" x14ac:dyDescent="0.2">
      <c r="A113" s="17">
        <v>55</v>
      </c>
      <c r="B113" s="18" t="s">
        <v>152</v>
      </c>
      <c r="C113" s="18" t="s">
        <v>153</v>
      </c>
      <c r="D113" s="20"/>
      <c r="E113" s="20"/>
      <c r="F113" s="19">
        <v>177903.41</v>
      </c>
      <c r="G113" s="20"/>
      <c r="H113" s="19">
        <v>177903.41</v>
      </c>
    </row>
    <row r="114" spans="1:8" ht="51" x14ac:dyDescent="0.2">
      <c r="A114" s="17">
        <v>56</v>
      </c>
      <c r="B114" s="18" t="s">
        <v>150</v>
      </c>
      <c r="C114" s="18" t="s">
        <v>154</v>
      </c>
      <c r="D114" s="20"/>
      <c r="E114" s="20"/>
      <c r="F114" s="20"/>
      <c r="G114" s="19">
        <v>6460.59</v>
      </c>
      <c r="H114" s="19">
        <v>6460.59</v>
      </c>
    </row>
    <row r="115" spans="1:8" ht="51" x14ac:dyDescent="0.2">
      <c r="A115" s="17">
        <v>57</v>
      </c>
      <c r="B115" s="18" t="s">
        <v>155</v>
      </c>
      <c r="C115" s="18" t="s">
        <v>156</v>
      </c>
      <c r="D115" s="20"/>
      <c r="E115" s="20"/>
      <c r="F115" s="20"/>
      <c r="G115" s="19">
        <v>29728.83</v>
      </c>
      <c r="H115" s="19">
        <v>29728.83</v>
      </c>
    </row>
    <row r="116" spans="1:8" ht="38.25" x14ac:dyDescent="0.2">
      <c r="A116" s="17">
        <v>58</v>
      </c>
      <c r="B116" s="18" t="s">
        <v>157</v>
      </c>
      <c r="C116" s="18" t="s">
        <v>158</v>
      </c>
      <c r="D116" s="20"/>
      <c r="E116" s="20"/>
      <c r="F116" s="20"/>
      <c r="G116" s="19">
        <v>967.64</v>
      </c>
      <c r="H116" s="19">
        <v>967.64</v>
      </c>
    </row>
    <row r="117" spans="1:8" ht="63.75" x14ac:dyDescent="0.2">
      <c r="A117" s="17">
        <v>59</v>
      </c>
      <c r="B117" s="18" t="s">
        <v>126</v>
      </c>
      <c r="C117" s="18" t="s">
        <v>159</v>
      </c>
      <c r="D117" s="20"/>
      <c r="E117" s="20"/>
      <c r="F117" s="20"/>
      <c r="G117" s="19">
        <v>8463.1</v>
      </c>
      <c r="H117" s="19">
        <v>8463.1</v>
      </c>
    </row>
    <row r="118" spans="1:8" ht="63.75" x14ac:dyDescent="0.2">
      <c r="A118" s="17">
        <v>60</v>
      </c>
      <c r="B118" s="18" t="s">
        <v>128</v>
      </c>
      <c r="C118" s="18" t="s">
        <v>160</v>
      </c>
      <c r="D118" s="20"/>
      <c r="E118" s="20"/>
      <c r="F118" s="20"/>
      <c r="G118" s="19">
        <v>7233.92</v>
      </c>
      <c r="H118" s="19">
        <v>7233.92</v>
      </c>
    </row>
    <row r="119" spans="1:8" ht="63.75" x14ac:dyDescent="0.2">
      <c r="A119" s="17">
        <v>61</v>
      </c>
      <c r="B119" s="18" t="s">
        <v>130</v>
      </c>
      <c r="C119" s="18" t="s">
        <v>161</v>
      </c>
      <c r="D119" s="20"/>
      <c r="E119" s="20"/>
      <c r="F119" s="20"/>
      <c r="G119" s="19">
        <v>33864.910000000003</v>
      </c>
      <c r="H119" s="19">
        <v>33864.910000000003</v>
      </c>
    </row>
    <row r="120" spans="1:8" ht="63.75" x14ac:dyDescent="0.2">
      <c r="A120" s="17">
        <v>62</v>
      </c>
      <c r="B120" s="18" t="s">
        <v>132</v>
      </c>
      <c r="C120" s="18" t="s">
        <v>162</v>
      </c>
      <c r="D120" s="20"/>
      <c r="E120" s="20"/>
      <c r="F120" s="20"/>
      <c r="G120" s="19">
        <v>29910.3</v>
      </c>
      <c r="H120" s="19">
        <v>29910.3</v>
      </c>
    </row>
    <row r="121" spans="1:8" ht="76.5" x14ac:dyDescent="0.2">
      <c r="A121" s="17">
        <v>63</v>
      </c>
      <c r="B121" s="18" t="s">
        <v>136</v>
      </c>
      <c r="C121" s="18" t="s">
        <v>163</v>
      </c>
      <c r="D121" s="20"/>
      <c r="E121" s="20"/>
      <c r="F121" s="20"/>
      <c r="G121" s="19">
        <v>272.83</v>
      </c>
      <c r="H121" s="19">
        <v>272.83</v>
      </c>
    </row>
    <row r="122" spans="1:8" ht="38.25" x14ac:dyDescent="0.2">
      <c r="A122" s="17">
        <v>64</v>
      </c>
      <c r="B122" s="18" t="s">
        <v>134</v>
      </c>
      <c r="C122" s="18" t="s">
        <v>164</v>
      </c>
      <c r="D122" s="20"/>
      <c r="E122" s="20"/>
      <c r="F122" s="20"/>
      <c r="G122" s="19">
        <v>3862.1</v>
      </c>
      <c r="H122" s="19">
        <v>3862.1</v>
      </c>
    </row>
    <row r="123" spans="1:8" ht="25.5" x14ac:dyDescent="0.2">
      <c r="A123" s="17">
        <v>65</v>
      </c>
      <c r="B123" s="18" t="s">
        <v>23</v>
      </c>
      <c r="C123" s="18" t="s">
        <v>165</v>
      </c>
      <c r="D123" s="20"/>
      <c r="E123" s="20"/>
      <c r="F123" s="20"/>
      <c r="G123" s="19">
        <v>22299.94</v>
      </c>
      <c r="H123" s="19">
        <v>22299.94</v>
      </c>
    </row>
    <row r="124" spans="1:8" ht="51" x14ac:dyDescent="0.2">
      <c r="A124" s="17">
        <v>66</v>
      </c>
      <c r="B124" s="18" t="s">
        <v>166</v>
      </c>
      <c r="C124" s="18" t="s">
        <v>123</v>
      </c>
      <c r="D124" s="20"/>
      <c r="E124" s="20"/>
      <c r="F124" s="20"/>
      <c r="G124" s="19">
        <v>21490.78</v>
      </c>
      <c r="H124" s="19">
        <v>21490.78</v>
      </c>
    </row>
    <row r="125" spans="1:8" x14ac:dyDescent="0.2">
      <c r="A125" s="17">
        <v>67</v>
      </c>
      <c r="B125" s="22"/>
      <c r="C125" s="18" t="s">
        <v>167</v>
      </c>
      <c r="D125" s="19">
        <v>375182.99</v>
      </c>
      <c r="E125" s="19">
        <v>31553.62</v>
      </c>
      <c r="F125" s="19">
        <v>177903.41</v>
      </c>
      <c r="G125" s="19">
        <v>164554.94</v>
      </c>
      <c r="H125" s="19">
        <v>749194.96</v>
      </c>
    </row>
    <row r="126" spans="1:8" ht="38.25" x14ac:dyDescent="0.2">
      <c r="A126" s="17">
        <v>68</v>
      </c>
      <c r="B126" s="18" t="s">
        <v>168</v>
      </c>
      <c r="C126" s="18" t="s">
        <v>169</v>
      </c>
      <c r="D126" s="19">
        <v>75036.600000000006</v>
      </c>
      <c r="E126" s="19">
        <v>6310.72</v>
      </c>
      <c r="F126" s="19">
        <v>35580.68</v>
      </c>
      <c r="G126" s="19">
        <v>32910.99</v>
      </c>
      <c r="H126" s="19">
        <v>149838.99</v>
      </c>
    </row>
    <row r="127" spans="1:8" x14ac:dyDescent="0.2">
      <c r="A127" s="17">
        <v>69</v>
      </c>
      <c r="B127" s="22"/>
      <c r="C127" s="18" t="s">
        <v>170</v>
      </c>
      <c r="D127" s="19">
        <v>450219.59</v>
      </c>
      <c r="E127" s="19">
        <v>37864.339999999997</v>
      </c>
      <c r="F127" s="19">
        <v>213484.09</v>
      </c>
      <c r="G127" s="19">
        <v>197465.93</v>
      </c>
      <c r="H127" s="19">
        <v>899033.95</v>
      </c>
    </row>
    <row r="128" spans="1:8" x14ac:dyDescent="0.2">
      <c r="A128" s="17">
        <v>70</v>
      </c>
      <c r="B128" s="22"/>
      <c r="C128" s="18" t="s">
        <v>171</v>
      </c>
      <c r="D128" s="19">
        <v>1868.37</v>
      </c>
      <c r="E128" s="19">
        <v>124.5</v>
      </c>
      <c r="F128" s="20"/>
      <c r="G128" s="20"/>
      <c r="H128" s="19">
        <v>1992.87</v>
      </c>
    </row>
    <row r="131" spans="1:8" x14ac:dyDescent="0.2">
      <c r="C131" s="2" t="s">
        <v>183</v>
      </c>
    </row>
    <row r="132" spans="1:8" ht="27.95" customHeight="1" x14ac:dyDescent="0.2">
      <c r="A132" s="224" t="s">
        <v>184</v>
      </c>
      <c r="B132" s="225"/>
      <c r="C132" s="225"/>
      <c r="D132" s="225"/>
      <c r="E132" s="225"/>
      <c r="F132" s="225"/>
      <c r="G132" s="225"/>
      <c r="H132" s="225"/>
    </row>
    <row r="133" spans="1:8" x14ac:dyDescent="0.2">
      <c r="A133" s="226" t="s">
        <v>172</v>
      </c>
      <c r="B133" s="225"/>
      <c r="C133" s="225"/>
      <c r="D133" s="225"/>
      <c r="E133" s="225"/>
      <c r="F133" s="225"/>
      <c r="G133" s="225"/>
      <c r="H133" s="225"/>
    </row>
    <row r="135" spans="1:8" x14ac:dyDescent="0.2">
      <c r="A135" s="224" t="s">
        <v>173</v>
      </c>
      <c r="B135" s="225"/>
      <c r="C135" s="225"/>
      <c r="D135" s="225"/>
      <c r="E135" s="225"/>
      <c r="F135" s="225"/>
      <c r="G135" s="225"/>
      <c r="H135" s="225"/>
    </row>
    <row r="136" spans="1:8" x14ac:dyDescent="0.2">
      <c r="A136" s="226" t="s">
        <v>172</v>
      </c>
      <c r="B136" s="225"/>
      <c r="C136" s="225"/>
      <c r="D136" s="225"/>
      <c r="E136" s="225"/>
      <c r="F136" s="225"/>
      <c r="G136" s="225"/>
      <c r="H136" s="225"/>
    </row>
    <row r="138" spans="1:8" x14ac:dyDescent="0.2">
      <c r="A138" s="224" t="s">
        <v>174</v>
      </c>
      <c r="B138" s="225"/>
      <c r="C138" s="225"/>
      <c r="D138" s="225"/>
      <c r="E138" s="225"/>
      <c r="F138" s="225"/>
      <c r="G138" s="225"/>
      <c r="H138" s="225"/>
    </row>
    <row r="139" spans="1:8" x14ac:dyDescent="0.2">
      <c r="A139" s="226" t="s">
        <v>172</v>
      </c>
      <c r="B139" s="225"/>
      <c r="C139" s="225"/>
      <c r="D139" s="225"/>
      <c r="E139" s="225"/>
      <c r="F139" s="225"/>
      <c r="G139" s="225"/>
      <c r="H139" s="225"/>
    </row>
    <row r="141" spans="1:8" x14ac:dyDescent="0.2">
      <c r="A141" s="224" t="s">
        <v>175</v>
      </c>
      <c r="B141" s="225"/>
      <c r="C141" s="225"/>
      <c r="D141" s="225"/>
      <c r="E141" s="225"/>
      <c r="F141" s="225"/>
      <c r="G141" s="225"/>
      <c r="H141" s="225"/>
    </row>
    <row r="142" spans="1:8" x14ac:dyDescent="0.2">
      <c r="A142" s="226" t="s">
        <v>172</v>
      </c>
      <c r="B142" s="225"/>
      <c r="C142" s="225"/>
      <c r="D142" s="225"/>
      <c r="E142" s="225"/>
      <c r="F142" s="225"/>
      <c r="G142" s="225"/>
      <c r="H142" s="225"/>
    </row>
    <row r="144" spans="1:8" x14ac:dyDescent="0.2">
      <c r="A144" s="224" t="s">
        <v>176</v>
      </c>
      <c r="B144" s="225"/>
      <c r="C144" s="225"/>
      <c r="D144" s="225"/>
      <c r="E144" s="225"/>
      <c r="F144" s="225"/>
      <c r="G144" s="225"/>
      <c r="H144" s="225"/>
    </row>
    <row r="145" spans="1:8" x14ac:dyDescent="0.2">
      <c r="A145" s="226" t="s">
        <v>172</v>
      </c>
      <c r="B145" s="225"/>
      <c r="C145" s="225"/>
      <c r="D145" s="225"/>
      <c r="E145" s="225"/>
      <c r="F145" s="225"/>
      <c r="G145" s="225"/>
      <c r="H145" s="225"/>
    </row>
    <row r="149" spans="1:8" x14ac:dyDescent="0.2">
      <c r="A149" s="224"/>
      <c r="B149" s="225"/>
      <c r="C149" s="225"/>
      <c r="D149" s="225"/>
      <c r="E149" s="225"/>
      <c r="F149" s="225"/>
      <c r="G149" s="225"/>
      <c r="H149" s="225"/>
    </row>
    <row r="150" spans="1:8" x14ac:dyDescent="0.2">
      <c r="A150" s="226"/>
      <c r="B150" s="225"/>
      <c r="C150" s="225"/>
      <c r="D150" s="225"/>
      <c r="E150" s="225"/>
      <c r="F150" s="225"/>
      <c r="G150" s="225"/>
      <c r="H150" s="225"/>
    </row>
    <row r="152" spans="1:8" x14ac:dyDescent="0.2">
      <c r="A152" s="224"/>
      <c r="B152" s="225"/>
      <c r="C152" s="225"/>
      <c r="D152" s="225"/>
      <c r="E152" s="225"/>
      <c r="F152" s="225"/>
      <c r="G152" s="225"/>
      <c r="H152" s="225"/>
    </row>
  </sheetData>
  <mergeCells count="53">
    <mergeCell ref="B53:C53"/>
    <mergeCell ref="A24:A27"/>
    <mergeCell ref="B24:B27"/>
    <mergeCell ref="C24:C27"/>
    <mergeCell ref="D24:G24"/>
    <mergeCell ref="A29:H29"/>
    <mergeCell ref="B36:C36"/>
    <mergeCell ref="A37:H37"/>
    <mergeCell ref="B39:C39"/>
    <mergeCell ref="A40:H40"/>
    <mergeCell ref="H24:H27"/>
    <mergeCell ref="D25:D27"/>
    <mergeCell ref="E25:E27"/>
    <mergeCell ref="F25:F27"/>
    <mergeCell ref="G25:G27"/>
    <mergeCell ref="B89:C89"/>
    <mergeCell ref="A54:H54"/>
    <mergeCell ref="B57:C57"/>
    <mergeCell ref="A58:H58"/>
    <mergeCell ref="B69:C69"/>
    <mergeCell ref="A70:H70"/>
    <mergeCell ref="B74:C74"/>
    <mergeCell ref="B75:C75"/>
    <mergeCell ref="A76:H76"/>
    <mergeCell ref="B79:C79"/>
    <mergeCell ref="B80:C80"/>
    <mergeCell ref="A81:H81"/>
    <mergeCell ref="B106:C106"/>
    <mergeCell ref="A107:H107"/>
    <mergeCell ref="B108:C108"/>
    <mergeCell ref="A109:H109"/>
    <mergeCell ref="B90:C90"/>
    <mergeCell ref="A91:H91"/>
    <mergeCell ref="B93:C93"/>
    <mergeCell ref="A94:H94"/>
    <mergeCell ref="B101:C101"/>
    <mergeCell ref="B102:C102"/>
    <mergeCell ref="A152:H152"/>
    <mergeCell ref="C18:G18"/>
    <mergeCell ref="A141:H141"/>
    <mergeCell ref="A142:H142"/>
    <mergeCell ref="A144:H144"/>
    <mergeCell ref="A145:H145"/>
    <mergeCell ref="A149:H149"/>
    <mergeCell ref="A150:H150"/>
    <mergeCell ref="A132:H132"/>
    <mergeCell ref="A133:H133"/>
    <mergeCell ref="A135:H135"/>
    <mergeCell ref="A136:H136"/>
    <mergeCell ref="A138:H138"/>
    <mergeCell ref="A139:H139"/>
    <mergeCell ref="A103:H103"/>
    <mergeCell ref="B105:C10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firstPageNumber="6" fitToHeight="10000" orientation="landscape" useFirstPageNumber="1" r:id="rId1"/>
  <headerFooter alignWithMargins="0">
    <oddFooter>&amp;R&amp;P</oddFooter>
  </headerFooter>
  <rowBreaks count="1" manualBreakCount="1"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График</vt:lpstr>
      <vt:lpstr>ПЗ</vt:lpstr>
      <vt:lpstr>НМЦ</vt:lpstr>
      <vt:lpstr>Протокол</vt:lpstr>
      <vt:lpstr>Ведомость объемов работ</vt:lpstr>
      <vt:lpstr>Проект сметы контракта</vt:lpstr>
      <vt:lpstr>Расчет НМЦК</vt:lpstr>
      <vt:lpstr>Затраты Подрядчика по ССР</vt:lpstr>
      <vt:lpstr>ССР</vt:lpstr>
      <vt:lpstr>'Затраты Подрядчика по ССР'!Заголовки_для_печати</vt:lpstr>
      <vt:lpstr>ССР!Заголовки_для_печати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КРАСНОВ</dc:creator>
  <cp:lastModifiedBy>Токарев Игорь Александрович</cp:lastModifiedBy>
  <cp:lastPrinted>2019-10-21T12:05:52Z</cp:lastPrinted>
  <dcterms:created xsi:type="dcterms:W3CDTF">2002-03-25T05:35:56Z</dcterms:created>
  <dcterms:modified xsi:type="dcterms:W3CDTF">2020-08-27T13:38:42Z</dcterms:modified>
</cp:coreProperties>
</file>