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.dzhanumova\Desktop\Полученно\ЗнП (Благоустройство ЭЛЬБРУС)\"/>
    </mc:Choice>
  </mc:AlternateContent>
  <bookViews>
    <workbookView xWindow="0" yWindow="0" windowWidth="28800" windowHeight="12330" tabRatio="923" firstSheet="1" activeTab="4"/>
  </bookViews>
  <sheets>
    <sheet name="График работ" sheetId="35" state="hidden" r:id="rId1"/>
    <sheet name="Пояснительная" sheetId="36" r:id="rId2"/>
    <sheet name="Протокол" sheetId="37" r:id="rId3"/>
    <sheet name="НМЦ" sheetId="33" r:id="rId4"/>
    <sheet name="НМЦК" sheetId="34" r:id="rId5"/>
    <sheet name="Cводная смета ПИР" sheetId="26" r:id="rId6"/>
    <sheet name="Экспертиза ПД и ИЗ" sheetId="27" state="hidden" r:id="rId7"/>
    <sheet name="геодез" sheetId="38" r:id="rId8"/>
    <sheet name="геолог." sheetId="45" r:id="rId9"/>
    <sheet name="геофиз." sheetId="46" r:id="rId10"/>
    <sheet name="гидромет" sheetId="41" r:id="rId11"/>
    <sheet name="Сели Лавины" sheetId="42" r:id="rId12"/>
    <sheet name="эколог" sheetId="43" r:id="rId13"/>
    <sheet name="Ориентировочная сумма КВЛ" sheetId="28" r:id="rId14"/>
    <sheet name="Расчёт по НЦС " sheetId="13" state="hidden" r:id="rId15"/>
    <sheet name="Расчёт по УНЦС" sheetId="25" r:id="rId16"/>
    <sheet name="СВОД (объемов работ)" sheetId="1" state="hidden" r:id="rId17"/>
    <sheet name="Этап 1. (ПД)" sheetId="12" r:id="rId18"/>
    <sheet name="Этап 2. (ПД)" sheetId="11" r:id="rId19"/>
    <sheet name="Этап 3. (ПД)" sheetId="10" r:id="rId20"/>
    <sheet name="Этап 4 (Лот №1) (ПД)" sheetId="9" r:id="rId21"/>
    <sheet name="Этап 5 (Лот №2) (ПД)" sheetId="8" r:id="rId22"/>
    <sheet name="Подэтап 6.1  (ПД)" sheetId="7" r:id="rId23"/>
    <sheet name="Подэтап 6.2  (ПД)" sheetId="6" r:id="rId24"/>
    <sheet name="Подэтап 6.3  (ПД)" sheetId="5" r:id="rId25"/>
    <sheet name="Подэтап 6.4  (ПД)" sheetId="4" r:id="rId26"/>
    <sheet name="Подэтап 7.1 (ПД) " sheetId="3" r:id="rId27"/>
    <sheet name="Подэтап 7.2 (ПД)" sheetId="2" r:id="rId28"/>
    <sheet name="Дефляторы" sheetId="15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</externalReferences>
  <definedNames>
    <definedName name="\AUTOEXEC" localSheetId="11">#REF!</definedName>
    <definedName name="\AUTOEXEC">#REF!</definedName>
    <definedName name="\k" localSheetId="11">#REF!</definedName>
    <definedName name="\k">#REF!</definedName>
    <definedName name="\m" localSheetId="11">#REF!</definedName>
    <definedName name="\m">#REF!</definedName>
    <definedName name="\s">#REF!</definedName>
    <definedName name="\z">#REF!</definedName>
    <definedName name="_a2">#REF!</definedName>
    <definedName name="_AUTOEXEC">#REF!</definedName>
    <definedName name="_AUTOEXEC_1">#REF!</definedName>
    <definedName name="_AUTOEXEC_1_1">[1]Смета!#REF!</definedName>
    <definedName name="_AUTOEXEC_2">#REF!</definedName>
    <definedName name="_inf2007" localSheetId="28">#REF!</definedName>
    <definedName name="_inf2007">#REF!</definedName>
    <definedName name="_inf2008" localSheetId="28">#REF!</definedName>
    <definedName name="_inf2008">#REF!</definedName>
    <definedName name="_inf2009" localSheetId="28">#REF!</definedName>
    <definedName name="_inf2009">#REF!</definedName>
    <definedName name="_inf2010" localSheetId="28">#REF!</definedName>
    <definedName name="_inf2010">#REF!</definedName>
    <definedName name="_inf2011" localSheetId="28">#REF!</definedName>
    <definedName name="_inf2011">#REF!</definedName>
    <definedName name="_inf2012" localSheetId="28">#REF!</definedName>
    <definedName name="_inf2012">#REF!</definedName>
    <definedName name="_inf2013" localSheetId="28">#REF!</definedName>
    <definedName name="_inf2013">#REF!</definedName>
    <definedName name="_inf2014" localSheetId="28">#REF!</definedName>
    <definedName name="_inf2014">#REF!</definedName>
    <definedName name="_inf2015" localSheetId="28">#REF!</definedName>
    <definedName name="_inf2015">#REF!</definedName>
    <definedName name="_k">#REF!</definedName>
    <definedName name="_k_1">#REF!</definedName>
    <definedName name="_k_1_1">[1]Смета!#REF!</definedName>
    <definedName name="_k_2">#REF!</definedName>
    <definedName name="_m">#REF!</definedName>
    <definedName name="_m_1">#REF!</definedName>
    <definedName name="_m_1_1">[1]Смета!#REF!</definedName>
    <definedName name="_m_2">#REF!</definedName>
    <definedName name="_s">#REF!</definedName>
    <definedName name="_s_1">#REF!</definedName>
    <definedName name="_s_1_1">[1]Смета!#REF!</definedName>
    <definedName name="_s_2">#REF!</definedName>
    <definedName name="_z">#REF!</definedName>
    <definedName name="_z_1">#REF!</definedName>
    <definedName name="_z_1_1">[1]Смета!#REF!</definedName>
    <definedName name="_z_2">#REF!</definedName>
    <definedName name="a" hidden="1">{#N/A,#N/A,TRUE,"Смета на пасс. обор. №1"}</definedName>
    <definedName name="a_1" hidden="1">{#N/A,#N/A,TRUE,"Смета на пасс. обор. №1"}</definedName>
    <definedName name="AnDiscount">0.945</definedName>
    <definedName name="as">#REF!</definedName>
    <definedName name="asd">#REF!</definedName>
    <definedName name="ave_height">#REF!</definedName>
    <definedName name="ave_hight">#REF!</definedName>
    <definedName name="b" hidden="1">{#N/A,#N/A,TRUE,"Смета на пасс. обор. №1"}</definedName>
    <definedName name="b_1" hidden="1">{#N/A,#N/A,TRUE,"Смета на пасс. обор. №1"}</definedName>
    <definedName name="ba" hidden="1">{#N/A,#N/A,TRUE,"Смета на пасс. обор. №1"}</definedName>
    <definedName name="ba_1" hidden="1">{#N/A,#N/A,TRUE,"Смета на пасс. обор. №1"}</definedName>
    <definedName name="bjbkl">[2]топография!#REF!</definedName>
    <definedName name="ccc" hidden="1">{#N/A,#N/A,TRUE,"Смета на пасс. обор. №1"}</definedName>
    <definedName name="ccc_1" hidden="1">{#N/A,#N/A,TRUE,"Смета на пасс. обор. №1"}</definedName>
    <definedName name="ColLastYearFB">[3]ФедД!$AH$17</definedName>
    <definedName name="ColLastYearFB1">[4]Управление!$AF$17</definedName>
    <definedName name="ColThisYearFB">[3]ФедД!$AG$17</definedName>
    <definedName name="Currency_Risk_Factor">1.05</definedName>
    <definedName name="Dc">[5]Lucent!#REF!</definedName>
    <definedName name="dck" localSheetId="0">[6]топография!#REF!</definedName>
    <definedName name="dck" localSheetId="11">[7]топография!#REF!</definedName>
    <definedName name="dck">[6]топография!#REF!</definedName>
    <definedName name="dck_1">[2]топография!#REF!</definedName>
    <definedName name="ddduy">#REF!</definedName>
    <definedName name="Delivery">1.15</definedName>
    <definedName name="df" localSheetId="11">#REF!</definedName>
    <definedName name="df">#REF!</definedName>
    <definedName name="Disc_Tbl">#REF!</definedName>
    <definedName name="Dl">[5]Lucent!#REF!</definedName>
    <definedName name="Dsc_Vector">#REF!</definedName>
    <definedName name="e" hidden="1">{#N/A,#N/A,TRUE,"Смета на пасс. обор. №1"}</definedName>
    <definedName name="e_1" hidden="1">{#N/A,#N/A,TRUE,"Смета на пасс. обор. №1"}</definedName>
    <definedName name="EQUIP">[8]Спецификация!#REF!</definedName>
    <definedName name="ert" localSheetId="11">#REF!</definedName>
    <definedName name="ert">#REF!</definedName>
    <definedName name="Excel_BuiltIn_Print_Area">#REF!</definedName>
    <definedName name="Excel_BuiltIn_Print_Area_1">#REF!</definedName>
    <definedName name="Excel_BuiltIn_Print_Area_13">"$#ССЫЛ!.$A$2:$E$8"</definedName>
    <definedName name="Excel_BuiltIn_Print_Area_14_1">"$#ССЫЛ!.$#ССЫЛ!$#ССЫЛ!:$#ССЫЛ!$#ССЫЛ!"</definedName>
    <definedName name="Excel_BuiltIn_Print_Area_2">"$#ССЫЛ!.$A$2:$D$4"</definedName>
    <definedName name="Excel_BuiltIn_Print_Area_25_1">"$#ССЫЛ!.$#ССЫЛ!$#ССЫЛ!:$#ССЫЛ!$#ССЫЛ!"</definedName>
    <definedName name="Excel_BuiltIn_Print_Area_28_1">"$#ССЫЛ!.$#ССЫЛ!$#ССЫЛ!:$#ССЫЛ!$#ССЫЛ!"</definedName>
    <definedName name="Excel_BuiltIn_Print_Area_3_1">"$#ССЫЛ!.$A$2:$E$4"</definedName>
    <definedName name="Excel_BuiltIn_Print_Area_32">"$#ССЫЛ!.$#ССЫЛ!$#ССЫЛ!:$#ССЫЛ!$#ССЫЛ!"</definedName>
    <definedName name="Excel_BuiltIn_Print_Area_43">"$#ССЫЛ!.$#ССЫЛ!$#ССЫЛ!:$#ССЫЛ!$#ССЫЛ!"</definedName>
    <definedName name="Excel_BuiltIn_Print_Area_5">#REF!</definedName>
    <definedName name="Excel_BuiltIn_Print_Area_7">"$#ССЫЛ!.$A$2:$E$5"</definedName>
    <definedName name="Excel_BuiltIn_Print_Titles">#REF!</definedName>
    <definedName name="Excel_BuiltIn_Print_Titles_1">#REF!</definedName>
    <definedName name="Excel_BuiltIn_Print_Titles_2" localSheetId="11">#REF!</definedName>
    <definedName name="Excel_BuiltIn_Print_Titles_2">#REF!</definedName>
    <definedName name="Excel_BuiltIn_Print_Titles_3">#REF!</definedName>
    <definedName name="fg">#REF!</definedName>
    <definedName name="fl">[5]Lucent!#REF!</definedName>
    <definedName name="Grp_Vector">#REF!</definedName>
    <definedName name="Importation_Cost">#REF!</definedName>
    <definedName name="Itog" localSheetId="0">#REF!</definedName>
    <definedName name="Itog" localSheetId="11">#REF!</definedName>
    <definedName name="Itog">#REF!</definedName>
    <definedName name="Itog_1">#REF!</definedName>
    <definedName name="j" hidden="1">{#N/A,#N/A,TRUE,"Смета на пасс. обор. №1"}</definedName>
    <definedName name="j_1" hidden="1">{#N/A,#N/A,TRUE,"Смета на пасс. обор. №1"}</definedName>
    <definedName name="kkkkk">#REF!</definedName>
    <definedName name="Koeffcb">#REF!</definedName>
    <definedName name="KPlan" localSheetId="0">#REF!</definedName>
    <definedName name="KPlan" localSheetId="11">#REF!</definedName>
    <definedName name="KPlan">#REF!</definedName>
    <definedName name="lp">[9]Panduit!$E$4</definedName>
    <definedName name="m">[10]Microsoft!#REF!</definedName>
    <definedName name="MATER">[8]Спецификация!#REF!</definedName>
    <definedName name="mm">[10]Microsoft!#REF!</definedName>
    <definedName name="mmm">[10]Microsoft!#REF!</definedName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"000000000000,00"</definedName>
    <definedName name="n0x">IF(n_3=1,n_2,n_3&amp;n_1)</definedName>
    <definedName name="n1x">IF(n_3=1,n_2,n_3&amp;n_5)</definedName>
    <definedName name="name">#REF!</definedName>
    <definedName name="p" hidden="1">{#N/A,#N/A,TRUE,"Смета на пасс. обор. №1"}</definedName>
    <definedName name="p_1" hidden="1">{#N/A,#N/A,TRUE,"Смета на пасс. обор. №1"}</definedName>
    <definedName name="PeriodLastYearName">[3]ФедД!$AH$20</definedName>
    <definedName name="PeriodThisYearName">[3]ФедД!$AG$20</definedName>
    <definedName name="ppp">#REF!</definedName>
    <definedName name="pr">[8]Спецификация!#REF!</definedName>
    <definedName name="Print_Titles" localSheetId="14">'Расчёт по НЦС '!$14:$14</definedName>
    <definedName name="Profit">[5]Lucent!#REF!</definedName>
    <definedName name="profit2">[5]Lucent!#REF!</definedName>
    <definedName name="ProfitLucent">1.65</definedName>
    <definedName name="PROJ">[8]Спецификация!#REF!</definedName>
    <definedName name="q">#REF!</definedName>
    <definedName name="qqq" hidden="1">{#N/A,#N/A,TRUE,"Смета на пасс. обор. №1"}</definedName>
    <definedName name="qqq_1" hidden="1">{#N/A,#N/A,TRUE,"Смета на пасс. обор. №1"}</definedName>
    <definedName name="QT_Type">"QT-2L"</definedName>
    <definedName name="qwer">#REF!</definedName>
    <definedName name="R_Lst">#REF!</definedName>
    <definedName name="R_Net">#REF!</definedName>
    <definedName name="Rate">#REF!</definedName>
    <definedName name="Rit">[11]УКП!$H$3</definedName>
    <definedName name="rty">#REF!</definedName>
    <definedName name="sd">#REF!</definedName>
    <definedName name="short">[12]!short</definedName>
    <definedName name="SM">#REF!</definedName>
    <definedName name="SM_SM">#REF!</definedName>
    <definedName name="SM_STO" localSheetId="0">#REF!</definedName>
    <definedName name="SM_STO" localSheetId="11">#REF!</definedName>
    <definedName name="SM_STO">#REF!</definedName>
    <definedName name="SM_STO_1">'[13]СМЕТА проект'!#REF!</definedName>
    <definedName name="SM_STO1" localSheetId="0">#REF!</definedName>
    <definedName name="SM_STO1" localSheetId="11">#REF!</definedName>
    <definedName name="SM_STO1">#REF!</definedName>
    <definedName name="SM_STO1_1">#REF!</definedName>
    <definedName name="SM_STO1_1_1">#REF!</definedName>
    <definedName name="SM_STO2" localSheetId="0">#REF!</definedName>
    <definedName name="SM_STO2" localSheetId="11">#REF!</definedName>
    <definedName name="SM_STO2">#REF!</definedName>
    <definedName name="SM_STO2_1">#REF!</definedName>
    <definedName name="SM_STO3" localSheetId="0">#REF!</definedName>
    <definedName name="SM_STO3" localSheetId="11">#REF!</definedName>
    <definedName name="SM_STO3">#REF!</definedName>
    <definedName name="SM_STO3_1">#REF!</definedName>
    <definedName name="Smmmmmmmmmmmmmmm">#REF!</definedName>
    <definedName name="SUM_" localSheetId="0">#REF!</definedName>
    <definedName name="SUM_" localSheetId="11">#REF!</definedName>
    <definedName name="SUM_">#REF!</definedName>
    <definedName name="SUM__1">#REF!</definedName>
    <definedName name="SUM_1" localSheetId="0">#REF!</definedName>
    <definedName name="SUM_1" localSheetId="11">#REF!</definedName>
    <definedName name="SUM_1">#REF!</definedName>
    <definedName name="SUM_1_1">#REF!</definedName>
    <definedName name="SUM_1_1_1">#REF!</definedName>
    <definedName name="sum_2">#REF!</definedName>
    <definedName name="SUM_3" localSheetId="0">#REF!</definedName>
    <definedName name="SUM_3" localSheetId="11">#REF!</definedName>
    <definedName name="SUM_3">#REF!</definedName>
    <definedName name="SUM_3_1">#REF!</definedName>
    <definedName name="sum_4">#REF!</definedName>
    <definedName name="SV">#REF!</definedName>
    <definedName name="SV_STO">#REF!</definedName>
    <definedName name="Times">#REF!</definedName>
    <definedName name="Times_1">#REF!</definedName>
    <definedName name="Times_10">#REF!</definedName>
    <definedName name="Times_11">#REF!</definedName>
    <definedName name="Times_12">#REF!</definedName>
    <definedName name="Times_13">#REF!</definedName>
    <definedName name="Times_14">#REF!</definedName>
    <definedName name="Times_15">#REF!</definedName>
    <definedName name="Times_16">#REF!</definedName>
    <definedName name="Times_17">#REF!</definedName>
    <definedName name="Times_18">#REF!</definedName>
    <definedName name="Times_19">#REF!</definedName>
    <definedName name="Times_2">#REF!</definedName>
    <definedName name="Times_20">#REF!</definedName>
    <definedName name="Times_21">#REF!</definedName>
    <definedName name="Times_22">#REF!</definedName>
    <definedName name="Times_49">#REF!</definedName>
    <definedName name="Times_5">#REF!</definedName>
    <definedName name="Times_50">#REF!</definedName>
    <definedName name="Times_51">#REF!</definedName>
    <definedName name="Times_52">#REF!</definedName>
    <definedName name="Times_53">#REF!</definedName>
    <definedName name="Times_54">#REF!</definedName>
    <definedName name="Times_6">#REF!</definedName>
    <definedName name="Times_7">#REF!</definedName>
    <definedName name="Times_8">#REF!</definedName>
    <definedName name="Times_9">#REF!</definedName>
    <definedName name="title">'[14]Огл. Графиков'!$B$2:$B$31</definedName>
    <definedName name="tyu">#REF!</definedName>
    <definedName name="U_Lst">#REF!</definedName>
    <definedName name="U_Net">#REF!</definedName>
    <definedName name="usd">#REF!</definedName>
    <definedName name="vsego">#REF!</definedName>
    <definedName name="w">#REF!</definedName>
    <definedName name="we" hidden="1">{#N/A,#N/A,TRUE,"Смета на пасс. обор. №1"}</definedName>
    <definedName name="we_1" hidden="1">{#N/A,#N/A,TRUE,"Смета на пасс. обор. №1"}</definedName>
    <definedName name="wer">#REF!</definedName>
    <definedName name="WORK">[8]Спецификация!#REF!</definedName>
    <definedName name="wrn.1." localSheetId="0" hidden="1">{#N/A,#N/A,FALSE,"Шаблон_Спец1"}</definedName>
    <definedName name="wrn.1." localSheetId="13" hidden="1">{#N/A,#N/A,FALSE,"Шаблон_Спец1"}</definedName>
    <definedName name="wrn.1." localSheetId="11" hidden="1">{#N/A,#N/A,FALSE,"Шаблон_Спец1"}</definedName>
    <definedName name="wrn.1." localSheetId="6" hidden="1">{#N/A,#N/A,FALSE,"Шаблон_Спец1"}</definedName>
    <definedName name="wrn.1." hidden="1">{#N/A,#N/A,FALSE,"Шаблон_Спец1"}</definedName>
    <definedName name="wrn.sp2344." hidden="1">{#N/A,#N/A,TRUE,"Смета на пасс. обор. №1"}</definedName>
    <definedName name="wrn.sp2344._1" hidden="1">{#N/A,#N/A,TRUE,"Смета на пасс. обор. №1"}</definedName>
    <definedName name="wrn.sp2345" hidden="1">{#N/A,#N/A,TRUE,"Смета на пасс. обор. №1"}</definedName>
    <definedName name="wrn.sp2345_1" hidden="1">{#N/A,#N/A,TRUE,"Смета на пасс. обор. №1"}</definedName>
    <definedName name="ww">#REF!</definedName>
    <definedName name="yui">#REF!</definedName>
    <definedName name="Z_01CA8EBB_0C4C_4010_811F_073E57232CD7_.wvu.FilterData" localSheetId="28" hidden="1">Дефляторы!$A$6:$A$108</definedName>
    <definedName name="Z_0ED5301B_3B9B_4028_A009_D402EF13F98D_.wvu.FilterData" localSheetId="28" hidden="1">Дефляторы!$A$6:$A$101</definedName>
    <definedName name="Z_13B89219_28C6_4883_87AC_E0D1795AD51D_.wvu.FilterData" localSheetId="28" hidden="1">Дефляторы!$A$6:$A$101</definedName>
    <definedName name="Z_268023C0_9BC0_40EB_A535_38BF110897FA_.wvu.FilterData" localSheetId="28" hidden="1">Дефляторы!$A$6:$A$101</definedName>
    <definedName name="Z_3DEEBB3D_1270_47DE_834F_86032DB959D9_.wvu.FilterData" localSheetId="28" hidden="1">Дефляторы!$A$6:$A$101</definedName>
    <definedName name="Z_4E2D07F0_76DB_4630_BC1D_F4D5A502B378_.wvu.FilterData" localSheetId="28" hidden="1">Дефляторы!$A$6:$A$101</definedName>
    <definedName name="Z_572ABAB9_340C_418A_A9AD_B19F14213DA2_.wvu.FilterData" localSheetId="28" hidden="1">Дефляторы!$A$6:$A$101</definedName>
    <definedName name="Z_ABD7BA35_04E1_43E0_AC75_033C3CA6FF3C_.wvu.Cols" localSheetId="28" hidden="1">Дефляторы!#REF!,Дефляторы!#REF!</definedName>
    <definedName name="Z_ABD7BA35_04E1_43E0_AC75_033C3CA6FF3C_.wvu.FilterData" localSheetId="28" hidden="1">Дефляторы!$A$6:$A$101</definedName>
    <definedName name="Z_ABD7BA35_04E1_43E0_AC75_033C3CA6FF3C_.wvu.PrintArea" localSheetId="28" hidden="1">Дефляторы!$A$6:$F$101</definedName>
    <definedName name="Z_C73CA27E_77B2_422A_A773_B235904BACA3_.wvu.Cols" localSheetId="28" hidden="1">Дефляторы!#REF!,Дефляторы!#REF!</definedName>
    <definedName name="Z_C73CA27E_77B2_422A_A773_B235904BACA3_.wvu.FilterData" localSheetId="28" hidden="1">Дефляторы!$A$6:$A$101</definedName>
    <definedName name="Z_C73CA27E_77B2_422A_A773_B235904BACA3_.wvu.PrintArea" localSheetId="28" hidden="1">Дефляторы!$A$6:$F$101</definedName>
    <definedName name="Z_D49940EF_113F_4789_B6E7_8353B816853A_.wvu.Cols" localSheetId="28" hidden="1">Дефляторы!#REF!,Дефляторы!#REF!</definedName>
    <definedName name="Z_D49940EF_113F_4789_B6E7_8353B816853A_.wvu.FilterData" localSheetId="28" hidden="1">Дефляторы!$A$6:$A$101</definedName>
    <definedName name="Z_D49940EF_113F_4789_B6E7_8353B816853A_.wvu.PrintArea" localSheetId="28" hidden="1">Дефляторы!$A$6:$F$101</definedName>
    <definedName name="Z_DCC68DFC_E4AF_484C_822A_D560C6D52926_.wvu.FilterData" localSheetId="28" hidden="1">Дефляторы!$A$6:$A$101</definedName>
    <definedName name="Z_E55F6B6A_DBD3_4117_B149_A082390B8D13_.wvu.Cols" localSheetId="28" hidden="1">Дефляторы!#REF!,Дефляторы!#REF!</definedName>
    <definedName name="Z_E55F6B6A_DBD3_4117_B149_A082390B8D13_.wvu.FilterData" localSheetId="28" hidden="1">Дефляторы!$A$6:$A$101</definedName>
    <definedName name="Z_E55F6B6A_DBD3_4117_B149_A082390B8D13_.wvu.PrintArea" localSheetId="28" hidden="1">Дефляторы!$A$6:$F$101</definedName>
    <definedName name="Z_E9547856_3045_49CA_B3C7_618D2DA21087_.wvu.FilterData" localSheetId="28" hidden="1">Дефляторы!$A$6:$A$101</definedName>
    <definedName name="Z_E9D4ABE5_580B_4EA1_8057_CB16EE65A5F9_.wvu.FilterData" localSheetId="28" hidden="1">Дефляторы!$A$6:$A$101</definedName>
    <definedName name="Z_F49A5623_9435_4BAA_98DE_EAAB0061DE16_.wvu.FilterData" localSheetId="28" hidden="1">Дефляторы!$A$6:$A$101</definedName>
    <definedName name="ZAK1" localSheetId="0">#REF!</definedName>
    <definedName name="ZAK1" localSheetId="11">#REF!</definedName>
    <definedName name="ZAK1">#REF!</definedName>
    <definedName name="ZAK1_1">#REF!</definedName>
    <definedName name="ZAK2" localSheetId="0">#REF!</definedName>
    <definedName name="ZAK2" localSheetId="11">#REF!</definedName>
    <definedName name="ZAK2">#REF!</definedName>
    <definedName name="ZAK2_1">#REF!</definedName>
    <definedName name="zzzz">#REF!</definedName>
    <definedName name="а" hidden="1">{#N/A,#N/A,TRUE,"Смета на пасс. обор. №1"}</definedName>
    <definedName name="а_1" hidden="1">{#N/A,#N/A,TRUE,"Смета на пасс. обор. №1"}</definedName>
    <definedName name="а1">#REF!</definedName>
    <definedName name="А2">#REF!</definedName>
    <definedName name="а36" localSheetId="0">#REF!</definedName>
    <definedName name="а36" localSheetId="11">#REF!</definedName>
    <definedName name="а36">#REF!</definedName>
    <definedName name="а36_1">#REF!</definedName>
    <definedName name="аа" localSheetId="0">[6]топография!#REF!</definedName>
    <definedName name="аа" localSheetId="11">[6]топография!#REF!</definedName>
    <definedName name="аа">[6]топография!#REF!</definedName>
    <definedName name="ав">#REF!</definedName>
    <definedName name="ав_1">#REF!</definedName>
    <definedName name="авс">#REF!</definedName>
    <definedName name="автом">#REF!</definedName>
    <definedName name="Азб">#REF!</definedName>
    <definedName name="АКСТ">'[15]Лист опроса'!$B$22</definedName>
    <definedName name="аолрмб">[16]Вспомогательный!$D$77</definedName>
    <definedName name="ап" hidden="1">{#N/A,#N/A,TRUE,"Смета на пасс. обор. №1"}</definedName>
    <definedName name="ап_1" hidden="1">{#N/A,#N/A,TRUE,"Смета на пасс. обор. №1"}</definedName>
    <definedName name="апр" hidden="1">{#N/A,#N/A,TRUE,"Смета на пасс. обор. №1"}</definedName>
    <definedName name="апр_1" hidden="1">{#N/A,#N/A,TRUE,"Смета на пасс. обор. №1"}</definedName>
    <definedName name="астр">#REF!</definedName>
    <definedName name="Астрахань">#REF!</definedName>
    <definedName name="Астрахань_1">#REF!</definedName>
    <definedName name="Астрахань_2">#REF!</definedName>
    <definedName name="Астрахань_22">#REF!</definedName>
    <definedName name="Астрахань_49">#REF!</definedName>
    <definedName name="Астрахань_5">#REF!</definedName>
    <definedName name="Астрахань_50">#REF!</definedName>
    <definedName name="Астрахань_51">#REF!</definedName>
    <definedName name="Астрахань_52">#REF!</definedName>
    <definedName name="Астрахань_53">#REF!</definedName>
    <definedName name="Астрахань_54">#REF!</definedName>
    <definedName name="АСУТП2">#REF!</definedName>
    <definedName name="АСУТП2_1">#REF!</definedName>
    <definedName name="АСУТП2_2">#REF!</definedName>
    <definedName name="АСУТП2_22">#REF!</definedName>
    <definedName name="АСУТП2_49">#REF!</definedName>
    <definedName name="АСУТП2_5">#REF!</definedName>
    <definedName name="АСУТП2_50">#REF!</definedName>
    <definedName name="АСУТП2_51">#REF!</definedName>
    <definedName name="АСУТП2_52">#REF!</definedName>
    <definedName name="АСУТП2_53">#REF!</definedName>
    <definedName name="АСУТП2_54">#REF!</definedName>
    <definedName name="АСУТПАстрахань">#REF!</definedName>
    <definedName name="АСУТПАстрахань_1">#REF!</definedName>
    <definedName name="АСУТПАстрахань_2">#REF!</definedName>
    <definedName name="АСУТПАстрахань_22">#REF!</definedName>
    <definedName name="АСУТПАстрахань_49">#REF!</definedName>
    <definedName name="АСУТПАстрахань_5">#REF!</definedName>
    <definedName name="АСУТПАстрахань_50">#REF!</definedName>
    <definedName name="АСУТПАстрахань_51">#REF!</definedName>
    <definedName name="АСУТПАстрахань_52">#REF!</definedName>
    <definedName name="АСУТПАстрахань_53">#REF!</definedName>
    <definedName name="АСУТПАстрахань_54">#REF!</definedName>
    <definedName name="АСУТПН.Новгород">#REF!</definedName>
    <definedName name="АСУТПН.Новгород_1">#REF!</definedName>
    <definedName name="АСУТПН.Новгород_2">#REF!</definedName>
    <definedName name="АСУТПН.Новгород_22">#REF!</definedName>
    <definedName name="АСУТПН.Новгород_49">#REF!</definedName>
    <definedName name="АСУТПН.Новгород_5">#REF!</definedName>
    <definedName name="АСУТПН.Новгород_50">#REF!</definedName>
    <definedName name="АСУТПН.Новгород_51">#REF!</definedName>
    <definedName name="АСУТПН.Новгород_52">#REF!</definedName>
    <definedName name="АСУТПН.Новгород_53">#REF!</definedName>
    <definedName name="АСУТПН.Новгород_54">#REF!</definedName>
    <definedName name="АСУТПСтаврополь">#REF!</definedName>
    <definedName name="АСУТПСтаврополь_1">#REF!</definedName>
    <definedName name="АСУТПСтаврополь_2">#REF!</definedName>
    <definedName name="АСУТПСтаврополь_22">#REF!</definedName>
    <definedName name="АСУТПСтаврополь_49">#REF!</definedName>
    <definedName name="АСУТПСтаврополь_5">#REF!</definedName>
    <definedName name="АСУТПСтаврополь_50">#REF!</definedName>
    <definedName name="АСУТПСтаврополь_51">#REF!</definedName>
    <definedName name="АСУТПСтаврополь_52">#REF!</definedName>
    <definedName name="АСУТПСтаврополь_53">#REF!</definedName>
    <definedName name="АСУТПСтаврополь_54">#REF!</definedName>
    <definedName name="АФС">[2]топография!#REF!</definedName>
    <definedName name="б" hidden="1">{#N/A,#N/A,TRUE,"Смета на пасс. обор. №1"}</definedName>
    <definedName name="б_1" hidden="1">{#N/A,#N/A,TRUE,"Смета на пасс. обор. №1"}</definedName>
    <definedName name="бабабла" hidden="1">{#N/A,#N/A,TRUE,"Смета на пасс. обор. №1"}</definedName>
    <definedName name="бабабла_1" hidden="1">{#N/A,#N/A,TRUE,"Смета на пасс. обор. №1"}</definedName>
    <definedName name="_xlnm.Database">'[17]ПС 110 кВ (доп)'!$B$1:$F$18</definedName>
    <definedName name="Бланк_сметы" localSheetId="11">#REF!</definedName>
    <definedName name="Бланк_сметы">#REF!</definedName>
    <definedName name="бол" hidden="1">{#N/A,#N/A,TRUE,"Смета на пасс. обор. №1"}</definedName>
    <definedName name="бол_1" hidden="1">{#N/A,#N/A,TRUE,"Смета на пасс. обор. №1"}</definedName>
    <definedName name="БСИР" localSheetId="11">#REF!</definedName>
    <definedName name="БСИР">#REF!</definedName>
    <definedName name="в" hidden="1">{#N/A,#N/A,TRUE,"Смета на пасс. обор. №1"}</definedName>
    <definedName name="в_1" hidden="1">{#N/A,#N/A,TRUE,"Смета на пасс. обор. №1"}</definedName>
    <definedName name="ва" localSheetId="11">#REF!</definedName>
    <definedName name="ва">#REF!</definedName>
    <definedName name="вап" hidden="1">{#N/A,#N/A,TRUE,"Смета на пасс. обор. №1"}</definedName>
    <definedName name="вап_1" hidden="1">{#N/A,#N/A,TRUE,"Смета на пасс. обор. №1"}</definedName>
    <definedName name="вапапо" hidden="1">{#N/A,#N/A,TRUE,"Смета на пасс. обор. №1"}</definedName>
    <definedName name="вапапо_1" hidden="1">{#N/A,#N/A,TRUE,"Смета на пасс. обор. №1"}</definedName>
    <definedName name="вв" localSheetId="0">[6]топография!#REF!</definedName>
    <definedName name="вв" localSheetId="11">[6]топография!#REF!</definedName>
    <definedName name="вв">[6]топография!#REF!</definedName>
    <definedName name="ввв">#REF!</definedName>
    <definedName name="ввод">#REF!</definedName>
    <definedName name="ввод_1">#REF!</definedName>
    <definedName name="ввод_49">#REF!</definedName>
    <definedName name="ввод_50">#REF!</definedName>
    <definedName name="ввод_51">#REF!</definedName>
    <definedName name="ввод_52">#REF!</definedName>
    <definedName name="ввод_53">#REF!</definedName>
    <definedName name="ввод_54">#REF!</definedName>
    <definedName name="вика">#REF!</definedName>
    <definedName name="Внут_Т" localSheetId="11">#REF!</definedName>
    <definedName name="Внут_Т">#REF!</definedName>
    <definedName name="воп">[2]топография!#REF!</definedName>
    <definedName name="вравар">#REF!</definedName>
    <definedName name="Времен">[18]Коэфф!$B$2</definedName>
    <definedName name="ВСЕГО" localSheetId="11">#REF!</definedName>
    <definedName name="ВСЕГО">#REF!</definedName>
    <definedName name="ВсегоРучБур">[19]СмРучБур!$J$40</definedName>
    <definedName name="ВсегоШурфов">#REF!</definedName>
    <definedName name="Вспом" localSheetId="11">#REF!</definedName>
    <definedName name="Вспом">#REF!</definedName>
    <definedName name="Вторич">#REF!</definedName>
    <definedName name="ВЫЕЗД_всего">[20]РасчетКомандир1!$M$1:$M$65536</definedName>
    <definedName name="ВЫЕЗД_всего_1">[20]РасчетКомандир2!$O$1:$O$65536</definedName>
    <definedName name="ВЫЕЗД_период">[20]РасчетКомандир1!$E$1:$E$65536</definedName>
    <definedName name="ВЫЕЗД_период_1">[20]РасчетКомандир2!$E$1:$E$65536</definedName>
    <definedName name="Вып_ОФ_с_пц">[14]рабочий!$Y$202:$AP$224</definedName>
    <definedName name="Вып_с_новых_ОФ">[14]рабочий!$Y$277:$AP$299</definedName>
    <definedName name="Выход">[4]Управление!$AF$20</definedName>
    <definedName name="ггггггггггггггггггггггггггггггггггггггггггггггг">[2]топография!#REF!</definedName>
    <definedName name="гелог">#REF!</definedName>
    <definedName name="гео">#REF!</definedName>
    <definedName name="геодез1">[21]геолог!$L$81</definedName>
    <definedName name="геол">[22]Смета!#REF!</definedName>
    <definedName name="геол.1">#REF!</definedName>
    <definedName name="геол_1">[23]Смета!#REF!</definedName>
    <definedName name="геол_2">[24]Смета!#REF!</definedName>
    <definedName name="Геол_Лазаревск">[2]топография!#REF!</definedName>
    <definedName name="геол1">#REF!</definedName>
    <definedName name="геоф">#REF!</definedName>
    <definedName name="Геофиз">#REF!</definedName>
    <definedName name="геофизика">#REF!</definedName>
    <definedName name="гид">[25]Смета!#REF!</definedName>
    <definedName name="гид_1">[26]Смета!#REF!</definedName>
    <definedName name="гид_2">[27]Смета!#REF!</definedName>
    <definedName name="Гидро">[2]топография!#REF!</definedName>
    <definedName name="гидро1">#REF!</definedName>
    <definedName name="гидро1_1">#REF!</definedName>
    <definedName name="гидрол">#REF!</definedName>
    <definedName name="Гидролог">#REF!</definedName>
    <definedName name="гидролог_1">#REF!</definedName>
    <definedName name="Гидрология_7.03.08">[2]топография!#REF!</definedName>
    <definedName name="ГИП">#REF!</definedName>
    <definedName name="ГИП_1">#REF!</definedName>
    <definedName name="год1">#REF!</definedName>
    <definedName name="город">#REF!</definedName>
    <definedName name="город_49">#REF!</definedName>
    <definedName name="город_50">#REF!</definedName>
    <definedName name="город_51">#REF!</definedName>
    <definedName name="город_52">#REF!</definedName>
    <definedName name="город_53">#REF!</definedName>
    <definedName name="город_54">#REF!</definedName>
    <definedName name="График">"Диагр. 4"</definedName>
    <definedName name="ГРП" localSheetId="11">#REF!</definedName>
    <definedName name="ГРП">#REF!</definedName>
    <definedName name="ГРП1" localSheetId="11">#REF!</definedName>
    <definedName name="ГРП1">#REF!</definedName>
    <definedName name="гшшг">NA()</definedName>
    <definedName name="д1" localSheetId="0">#REF!</definedName>
    <definedName name="д1" localSheetId="11">#REF!</definedName>
    <definedName name="д1">#REF!</definedName>
    <definedName name="д10" localSheetId="0">#REF!</definedName>
    <definedName name="д10" localSheetId="11">#REF!</definedName>
    <definedName name="д10">#REF!</definedName>
    <definedName name="д2" localSheetId="0">#REF!</definedName>
    <definedName name="д2" localSheetId="11">#REF!</definedName>
    <definedName name="д2">#REF!</definedName>
    <definedName name="д3" localSheetId="0">#REF!</definedName>
    <definedName name="д3" localSheetId="11">#REF!</definedName>
    <definedName name="д3">#REF!</definedName>
    <definedName name="д4" localSheetId="0">#REF!</definedName>
    <definedName name="д4" localSheetId="11">#REF!</definedName>
    <definedName name="д4">#REF!</definedName>
    <definedName name="д5" localSheetId="0">#REF!</definedName>
    <definedName name="д5" localSheetId="11">#REF!</definedName>
    <definedName name="д5">#REF!</definedName>
    <definedName name="д6" localSheetId="0">#REF!</definedName>
    <definedName name="д6" localSheetId="11">#REF!</definedName>
    <definedName name="д6">#REF!</definedName>
    <definedName name="д7" localSheetId="0">#REF!</definedName>
    <definedName name="д7" localSheetId="11">#REF!</definedName>
    <definedName name="д7">#REF!</definedName>
    <definedName name="д8" localSheetId="0">#REF!</definedName>
    <definedName name="д8" localSheetId="11">#REF!</definedName>
    <definedName name="д8">#REF!</definedName>
    <definedName name="д9" localSheetId="0">#REF!</definedName>
    <definedName name="д9" localSheetId="11">#REF!</definedName>
    <definedName name="д9">#REF!</definedName>
    <definedName name="дд">[28]Смета!#REF!</definedName>
    <definedName name="ддддд">#REF!</definedName>
    <definedName name="Дельта">[29]DATA!$B$4</definedName>
    <definedName name="Дефл_ц_пред_год">'[14]Текущие цены'!$AT$36:$BK$58</definedName>
    <definedName name="Дефлятор">#REF!</definedName>
    <definedName name="Дефлятор_1">#REF!</definedName>
    <definedName name="Дефлятор_годовой">'[14]Текущие цены'!$Y$4:$AP$27</definedName>
    <definedName name="Дефлятор_цепной">'[14]Текущие цены'!$Y$36:$AP$58</definedName>
    <definedName name="дж">[16]Вспомогательный!$D$36</definedName>
    <definedName name="дж1">[16]Вспомогательный!$D$38</definedName>
    <definedName name="джэ" hidden="1">{#N/A,#N/A,TRUE,"Смета на пасс. обор. №1"}</definedName>
    <definedName name="джэ_1" hidden="1">{#N/A,#N/A,TRUE,"Смета на пасс. обор. №1"}</definedName>
    <definedName name="дл">#REF!</definedName>
    <definedName name="дл_1">#REF!</definedName>
    <definedName name="дл_10">#REF!</definedName>
    <definedName name="дл_11">#REF!</definedName>
    <definedName name="дл_12">#REF!</definedName>
    <definedName name="дл_13">#REF!</definedName>
    <definedName name="дл_14">#REF!</definedName>
    <definedName name="дл_15">#REF!</definedName>
    <definedName name="дл_16">#REF!</definedName>
    <definedName name="дл_17">#REF!</definedName>
    <definedName name="дл_18">#REF!</definedName>
    <definedName name="дл_19">#REF!</definedName>
    <definedName name="дл_2">#REF!</definedName>
    <definedName name="дл_20">#REF!</definedName>
    <definedName name="дл_21">#REF!</definedName>
    <definedName name="дл_49">#REF!</definedName>
    <definedName name="дл_50">#REF!</definedName>
    <definedName name="дл_51">#REF!</definedName>
    <definedName name="дл_52">#REF!</definedName>
    <definedName name="дл_53">#REF!</definedName>
    <definedName name="дл_54">#REF!</definedName>
    <definedName name="дл_6">#REF!</definedName>
    <definedName name="дл_7">#REF!</definedName>
    <definedName name="дл_8">#REF!</definedName>
    <definedName name="дл_9">#REF!</definedName>
    <definedName name="Длинна_границы">#REF!</definedName>
    <definedName name="Длинна_границы_1">#REF!</definedName>
    <definedName name="Длинна_трассы">#REF!</definedName>
    <definedName name="Длинна_трассы_1">#REF!</definedName>
    <definedName name="ДЛО" localSheetId="0">#REF!</definedName>
    <definedName name="ДЛО" localSheetId="11">#REF!</definedName>
    <definedName name="ДЛО">#REF!</definedName>
    <definedName name="доп" hidden="1">{#N/A,#N/A,TRUE,"Смета на пасс. обор. №1"}</definedName>
    <definedName name="доп_1" hidden="1">{#N/A,#N/A,TRUE,"Смета на пасс. обор. №1"}</definedName>
    <definedName name="дп" localSheetId="0">#REF!</definedName>
    <definedName name="дп" localSheetId="11">#REF!</definedName>
    <definedName name="дп">#REF!</definedName>
    <definedName name="ДСК" localSheetId="0">[30]топография!#REF!</definedName>
    <definedName name="ДСК" localSheetId="11">[30]топография!#REF!</definedName>
    <definedName name="ДСК">[30]топография!#REF!</definedName>
    <definedName name="ДСК_1">[2]топография!#REF!</definedName>
    <definedName name="дэ" localSheetId="0">#REF!</definedName>
    <definedName name="дэ" localSheetId="11">#REF!</definedName>
    <definedName name="дэ">#REF!</definedName>
    <definedName name="ен" hidden="1">{#N/A,#N/A,TRUE,"Смета на пасс. обор. №1"}</definedName>
    <definedName name="ен_1" hidden="1">{#N/A,#N/A,TRUE,"Смета на пасс. обор. №1"}</definedName>
    <definedName name="жж">[16]Вспомогательный!$D$80</definedName>
    <definedName name="жж_1" hidden="1">{#N/A,#N/A,TRUE,"Смета на пасс. обор. №1"}</definedName>
    <definedName name="жжж">#REF!</definedName>
    <definedName name="жл">#REF!</definedName>
    <definedName name="жпф">#REF!</definedName>
    <definedName name="жю" hidden="1">{#N/A,#N/A,TRUE,"Смета на пасс. обор. №1"}</definedName>
    <definedName name="жю_1" hidden="1">{#N/A,#N/A,TRUE,"Смета на пасс. обор. №1"}</definedName>
    <definedName name="_xlnm.Print_Titles" localSheetId="7">геодез!$19:$19</definedName>
    <definedName name="_xlnm.Print_Titles" localSheetId="8">геолог.!$18:$18</definedName>
    <definedName name="_xlnm.Print_Titles" localSheetId="9">геофиз.!$19:$19</definedName>
    <definedName name="_xlnm.Print_Titles" localSheetId="10">гидромет!$16:$16</definedName>
    <definedName name="_xlnm.Print_Titles" localSheetId="28">Дефляторы!$6:$7</definedName>
    <definedName name="_xlnm.Print_Titles" localSheetId="14">'Расчёт по НЦС '!$14:$14</definedName>
    <definedName name="_xlnm.Print_Titles" localSheetId="12">эколог!$19:$19</definedName>
    <definedName name="ЗаказДолжность">[31]ОбмОбслЗемОд!$B$67</definedName>
    <definedName name="ЗаказИмя">[31]ОбмОбслЗемОд!$C$69</definedName>
    <definedName name="Заказчик">#REF!</definedName>
    <definedName name="Заказчик_1">#REF!</definedName>
    <definedName name="Зимнее_удорожание">[18]Коэфф!$B$1</definedName>
    <definedName name="зол">#REF!</definedName>
    <definedName name="зол_1">#REF!</definedName>
    <definedName name="зол_10">#REF!</definedName>
    <definedName name="зол_11">#REF!</definedName>
    <definedName name="зол_12">#REF!</definedName>
    <definedName name="зол_13">#REF!</definedName>
    <definedName name="зол_14">#REF!</definedName>
    <definedName name="зол_15">#REF!</definedName>
    <definedName name="зол_16">#REF!</definedName>
    <definedName name="зол_17">#REF!</definedName>
    <definedName name="зол_18">#REF!</definedName>
    <definedName name="зол_19">#REF!</definedName>
    <definedName name="зол_2">#REF!</definedName>
    <definedName name="зол_20">#REF!</definedName>
    <definedName name="зол_21">#REF!</definedName>
    <definedName name="зол_49">#REF!</definedName>
    <definedName name="зол_50">#REF!</definedName>
    <definedName name="зол_51">#REF!</definedName>
    <definedName name="зол_52">#REF!</definedName>
    <definedName name="зол_53">#REF!</definedName>
    <definedName name="зол_54">#REF!</definedName>
    <definedName name="зол_6">#REF!</definedName>
    <definedName name="зол_7">#REF!</definedName>
    <definedName name="зол_8">#REF!</definedName>
    <definedName name="зол_9">#REF!</definedName>
    <definedName name="зщ" hidden="1">{#N/A,#N/A,TRUE,"Смета на пасс. обор. №1"}</definedName>
    <definedName name="зщ_1" hidden="1">{#N/A,#N/A,TRUE,"Смета на пасс. обор. №1"}</definedName>
    <definedName name="изыск">#REF!</definedName>
    <definedName name="изыск_1">#REF!</definedName>
    <definedName name="ии" localSheetId="0">#REF!</definedName>
    <definedName name="ии" localSheetId="11">#REF!</definedName>
    <definedName name="ии">#REF!</definedName>
    <definedName name="ик">#REF!</definedName>
    <definedName name="Индекс">'[32]Расч(подряд)'!#REF!</definedName>
    <definedName name="индекс_0">#REF!</definedName>
    <definedName name="Индекс_1">#REF!</definedName>
    <definedName name="индекс_100">#REF!</definedName>
    <definedName name="индекс_101">#REF!</definedName>
    <definedName name="индекс_102">#REF!</definedName>
    <definedName name="индекс_103">#REF!</definedName>
    <definedName name="индекс_104">#REF!</definedName>
    <definedName name="индекс_105">#REF!</definedName>
    <definedName name="индекс_105032654">#REF!</definedName>
    <definedName name="индекс_999">#REF!</definedName>
    <definedName name="индекс_С3">#REF!</definedName>
    <definedName name="Индекс1">'[32]Расч(подряд)'!#REF!</definedName>
    <definedName name="Индекс2">'[32]Расч(подряд)'!#REF!</definedName>
    <definedName name="ИндексА">#REF!</definedName>
    <definedName name="инж">#REF!</definedName>
    <definedName name="инж_1">#REF!</definedName>
    <definedName name="инфл" localSheetId="0">#REF!</definedName>
    <definedName name="инфл" localSheetId="11">#REF!</definedName>
    <definedName name="инфл">#REF!</definedName>
    <definedName name="ип" localSheetId="0">#REF!</definedName>
    <definedName name="ип" localSheetId="11">#REF!</definedName>
    <definedName name="ип">#REF!</definedName>
    <definedName name="ИПусто">#REF!</definedName>
    <definedName name="ИПусто_1">#REF!</definedName>
    <definedName name="ит">#REF!</definedName>
    <definedName name="итого">#REF!</definedName>
    <definedName name="итого_Куст">#REF!</definedName>
    <definedName name="итого_Куст_П">#REF!</definedName>
    <definedName name="ить">#REF!</definedName>
    <definedName name="йцйу3йк">#REF!</definedName>
    <definedName name="йцйц">NA()</definedName>
    <definedName name="йцу">#REF!</definedName>
    <definedName name="к">#REF!</definedName>
    <definedName name="к_1" hidden="1">{#N/A,#N/A,TRUE,"Смета на пасс. обор. №1"}</definedName>
    <definedName name="к1" localSheetId="0">#REF!</definedName>
    <definedName name="к1" localSheetId="11">#REF!</definedName>
    <definedName name="к1">#REF!</definedName>
    <definedName name="к10" localSheetId="0">#REF!</definedName>
    <definedName name="к10" localSheetId="11">#REF!</definedName>
    <definedName name="к10">#REF!</definedName>
    <definedName name="к101" localSheetId="0">#REF!</definedName>
    <definedName name="к101" localSheetId="11">#REF!</definedName>
    <definedName name="к101">#REF!</definedName>
    <definedName name="К105" localSheetId="0">#REF!</definedName>
    <definedName name="К105" localSheetId="11">#REF!</definedName>
    <definedName name="К105">#REF!</definedName>
    <definedName name="к11" localSheetId="0">#REF!</definedName>
    <definedName name="к11" localSheetId="11">#REF!</definedName>
    <definedName name="к11">#REF!</definedName>
    <definedName name="к12" localSheetId="0">#REF!</definedName>
    <definedName name="к12" localSheetId="11">#REF!</definedName>
    <definedName name="к12">#REF!</definedName>
    <definedName name="к13" localSheetId="0">#REF!</definedName>
    <definedName name="к13" localSheetId="11">#REF!</definedName>
    <definedName name="к13">#REF!</definedName>
    <definedName name="к14" localSheetId="0">#REF!</definedName>
    <definedName name="к14" localSheetId="11">#REF!</definedName>
    <definedName name="к14">#REF!</definedName>
    <definedName name="к15" localSheetId="0">#REF!</definedName>
    <definedName name="к15" localSheetId="11">#REF!</definedName>
    <definedName name="к15">#REF!</definedName>
    <definedName name="к16" localSheetId="0">#REF!</definedName>
    <definedName name="к16" localSheetId="11">#REF!</definedName>
    <definedName name="к16">#REF!</definedName>
    <definedName name="к17" localSheetId="0">#REF!</definedName>
    <definedName name="к17" localSheetId="11">#REF!</definedName>
    <definedName name="к17">#REF!</definedName>
    <definedName name="к18" localSheetId="0">#REF!</definedName>
    <definedName name="к18" localSheetId="11">#REF!</definedName>
    <definedName name="к18">#REF!</definedName>
    <definedName name="к19" localSheetId="0">#REF!</definedName>
    <definedName name="к19" localSheetId="11">#REF!</definedName>
    <definedName name="к19">#REF!</definedName>
    <definedName name="к2" localSheetId="0">#REF!</definedName>
    <definedName name="к2" localSheetId="11">#REF!</definedName>
    <definedName name="к2">#REF!</definedName>
    <definedName name="к20" localSheetId="0">#REF!</definedName>
    <definedName name="к20" localSheetId="11">#REF!</definedName>
    <definedName name="к20">#REF!</definedName>
    <definedName name="к21" localSheetId="0">#REF!</definedName>
    <definedName name="к21" localSheetId="11">#REF!</definedName>
    <definedName name="к21">#REF!</definedName>
    <definedName name="к22" localSheetId="0">#REF!</definedName>
    <definedName name="к22" localSheetId="11">#REF!</definedName>
    <definedName name="к22">#REF!</definedName>
    <definedName name="к23" localSheetId="0">#REF!</definedName>
    <definedName name="к23" localSheetId="11">#REF!</definedName>
    <definedName name="к23">#REF!</definedName>
    <definedName name="к231" localSheetId="0">#REF!</definedName>
    <definedName name="к231" localSheetId="11">#REF!</definedName>
    <definedName name="к231">#REF!</definedName>
    <definedName name="к24" localSheetId="0">#REF!</definedName>
    <definedName name="к24" localSheetId="11">#REF!</definedName>
    <definedName name="к24">#REF!</definedName>
    <definedName name="к25" localSheetId="0">#REF!</definedName>
    <definedName name="к25" localSheetId="11">#REF!</definedName>
    <definedName name="к25">#REF!</definedName>
    <definedName name="к26" localSheetId="0">#REF!</definedName>
    <definedName name="к26" localSheetId="11">#REF!</definedName>
    <definedName name="к26">#REF!</definedName>
    <definedName name="к27" localSheetId="0">#REF!</definedName>
    <definedName name="к27" localSheetId="11">#REF!</definedName>
    <definedName name="к27">#REF!</definedName>
    <definedName name="к28" localSheetId="0">#REF!</definedName>
    <definedName name="к28" localSheetId="11">#REF!</definedName>
    <definedName name="к28">#REF!</definedName>
    <definedName name="к29" localSheetId="0">#REF!</definedName>
    <definedName name="к29" localSheetId="11">#REF!</definedName>
    <definedName name="к29">#REF!</definedName>
    <definedName name="к2п" localSheetId="0">#REF!</definedName>
    <definedName name="к2п" localSheetId="11">#REF!</definedName>
    <definedName name="к2п">#REF!</definedName>
    <definedName name="к3" localSheetId="0">#REF!</definedName>
    <definedName name="к3" localSheetId="11">#REF!</definedName>
    <definedName name="к3">#REF!</definedName>
    <definedName name="к30" localSheetId="0">#REF!</definedName>
    <definedName name="к30" localSheetId="11">#REF!</definedName>
    <definedName name="к30">#REF!</definedName>
    <definedName name="к3п" localSheetId="0">#REF!</definedName>
    <definedName name="к3п" localSheetId="11">#REF!</definedName>
    <definedName name="к3п">#REF!</definedName>
    <definedName name="к5" localSheetId="0">#REF!</definedName>
    <definedName name="к5" localSheetId="11">#REF!</definedName>
    <definedName name="к5">#REF!</definedName>
    <definedName name="к6" localSheetId="0">#REF!</definedName>
    <definedName name="к6" localSheetId="11">#REF!</definedName>
    <definedName name="к6">#REF!</definedName>
    <definedName name="к7" localSheetId="0">#REF!</definedName>
    <definedName name="к7" localSheetId="11">#REF!</definedName>
    <definedName name="к7">#REF!</definedName>
    <definedName name="к8" localSheetId="0">#REF!</definedName>
    <definedName name="к8" localSheetId="11">#REF!</definedName>
    <definedName name="к8">#REF!</definedName>
    <definedName name="к9" localSheetId="0">#REF!</definedName>
    <definedName name="к9" localSheetId="11">#REF!</definedName>
    <definedName name="к9">#REF!</definedName>
    <definedName name="кака">#REF!</definedName>
    <definedName name="калплан">#REF!</definedName>
    <definedName name="калплан_1">#REF!</definedName>
    <definedName name="Кам_стац">#REF!</definedName>
    <definedName name="Камер_эксп_усл">#REF!</definedName>
    <definedName name="КАТ1">'[33]Смета-Т'!#REF!</definedName>
    <definedName name="Категория_сложности">#REF!</definedName>
    <definedName name="Категория_сложности_1">#REF!</definedName>
    <definedName name="катя">#REF!</definedName>
    <definedName name="кгкг">#REF!</definedName>
    <definedName name="кеке">#REF!</definedName>
    <definedName name="кенроолтьб">#REF!</definedName>
    <definedName name="ккее" localSheetId="0">#REF!</definedName>
    <definedName name="ккее" localSheetId="11">#REF!</definedName>
    <definedName name="ккее">#REF!</definedName>
    <definedName name="ккк">#REF!</definedName>
    <definedName name="ккккк" hidden="1">{#N/A,#N/A,TRUE,"Смета на пасс. обор. №1"}</definedName>
    <definedName name="ккккк_1" hidden="1">{#N/A,#N/A,TRUE,"Смета на пасс. обор. №1"}</definedName>
    <definedName name="книга">#REF!</definedName>
    <definedName name="Количество_землепользователей">#REF!</definedName>
    <definedName name="Количество_землепользователей_1">#REF!</definedName>
    <definedName name="Количество_контуров">#REF!</definedName>
    <definedName name="Количество_контуров_1">#REF!</definedName>
    <definedName name="Количество_культур">#REF!</definedName>
    <definedName name="Количество_культур_1">#REF!</definedName>
    <definedName name="Количество_планшетов">#REF!</definedName>
    <definedName name="Количество_планшетов_1">#REF!</definedName>
    <definedName name="Количество_предприятий">#REF!</definedName>
    <definedName name="Количество_предприятий_1">#REF!</definedName>
    <definedName name="Количество_согласований">#REF!</definedName>
    <definedName name="Количество_согласований_1">#REF!</definedName>
    <definedName name="ком." hidden="1">{#N/A,#N/A,TRUE,"Смета на пасс. обор. №1"}</definedName>
    <definedName name="ком._1" hidden="1">{#N/A,#N/A,TRUE,"Смета на пасс. обор. №1"}</definedName>
    <definedName name="команд." hidden="1">{#N/A,#N/A,TRUE,"Смета на пасс. обор. №1"}</definedName>
    <definedName name="команд._1" hidden="1">{#N/A,#N/A,TRUE,"Смета на пасс. обор. №1"}</definedName>
    <definedName name="команд.обуч." hidden="1">{#N/A,#N/A,TRUE,"Смета на пасс. обор. №1"}</definedName>
    <definedName name="команд.обуч._1" hidden="1">{#N/A,#N/A,TRUE,"Смета на пасс. обор. №1"}</definedName>
    <definedName name="команд1">#REF!</definedName>
    <definedName name="командировки" hidden="1">{#N/A,#N/A,TRUE,"Смета на пасс. обор. №1"}</definedName>
    <definedName name="Командировочные_расходы">#REF!</definedName>
    <definedName name="Командировочные_расходы_1">#REF!</definedName>
    <definedName name="КОН_ИО">#REF!</definedName>
    <definedName name="КОН_ИО_РД">#REF!</definedName>
    <definedName name="КОН_МО">#REF!</definedName>
    <definedName name="КОН_МО_РД">#REF!</definedName>
    <definedName name="КОН_ОО">#REF!</definedName>
    <definedName name="КОН_ОО_РД">#REF!</definedName>
    <definedName name="КОН_ОР">#REF!</definedName>
    <definedName name="КОН_ОР_РД">#REF!</definedName>
    <definedName name="КОН_ПО">#REF!</definedName>
    <definedName name="КОН_ПО_РД">#REF!</definedName>
    <definedName name="КОН_ТО">#REF!</definedName>
    <definedName name="КОН_ТО_РД">#REF!</definedName>
    <definedName name="конкурс" localSheetId="0">#REF!</definedName>
    <definedName name="конкурс" localSheetId="11">#REF!</definedName>
    <definedName name="конкурс">#REF!</definedName>
    <definedName name="Конф">#REF!</definedName>
    <definedName name="Конф_49">#REF!</definedName>
    <definedName name="Конф_50">#REF!</definedName>
    <definedName name="Конф_51">#REF!</definedName>
    <definedName name="Конф_52">#REF!</definedName>
    <definedName name="Конф_53">#REF!</definedName>
    <definedName name="Конф_54">#REF!</definedName>
    <definedName name="конфл">#REF!</definedName>
    <definedName name="конфл_49">#REF!</definedName>
    <definedName name="конфл_50">#REF!</definedName>
    <definedName name="конфл_51">#REF!</definedName>
    <definedName name="конфл_52">#REF!</definedName>
    <definedName name="конфл_53">#REF!</definedName>
    <definedName name="конфл_54">#REF!</definedName>
    <definedName name="конфл2">#REF!</definedName>
    <definedName name="конфл2_49">#REF!</definedName>
    <definedName name="конфл2_50">#REF!</definedName>
    <definedName name="конфл2_51">#REF!</definedName>
    <definedName name="конфл2_52">#REF!</definedName>
    <definedName name="конфл2_53">#REF!</definedName>
    <definedName name="конфл2_54">#REF!</definedName>
    <definedName name="Копия" hidden="1">{#N/A,#N/A,TRUE,"Смета на пасс. обор. №1"}</definedName>
    <definedName name="Копия2509" hidden="1">{#N/A,#N/A,TRUE,"Смета на пасс. обор. №1"}</definedName>
    <definedName name="Корнеева">#REF!</definedName>
    <definedName name="котофей" hidden="1">{#N/A,#N/A,TRUE,"Смета на пасс. обор. №1"}</definedName>
    <definedName name="котофей_1" hidden="1">{#N/A,#N/A,TRUE,"Смета на пасс. обор. №1"}</definedName>
    <definedName name="Коэф_монт">[18]Коэфф!$B$4</definedName>
    <definedName name="КоэфБезПоля">#REF!</definedName>
    <definedName name="КоэфГорЗак">#REF!</definedName>
    <definedName name="КоэфГорЗаказ">[31]ОбмОбслЗемОд!$E$29</definedName>
    <definedName name="КоэфУдорожания">[31]ОбмОбслЗемОд!$E$28</definedName>
    <definedName name="Коэффициент">#REF!</definedName>
    <definedName name="Коэффициент_1">#REF!</definedName>
    <definedName name="кп" localSheetId="0">#REF!</definedName>
    <definedName name="кп" localSheetId="11">#REF!</definedName>
    <definedName name="кп">#REF!</definedName>
    <definedName name="Кпроект">'[34]Исх. данные'!#REF!</definedName>
    <definedName name="Крек">'[15]Лист опроса'!$B$17</definedName>
    <definedName name="Крп">'[15]Лист опроса'!$B$19</definedName>
    <definedName name="кук" hidden="1">{#N/A,#N/A,TRUE,"Смета на пасс. обор. №1"}</definedName>
    <definedName name="кук_1" hidden="1">{#N/A,#N/A,TRUE,"Смета на пасс. обор. №1"}</definedName>
    <definedName name="куку">#REF!</definedName>
    <definedName name="Курган">#REF!</definedName>
    <definedName name="курорты" localSheetId="0">#REF!</definedName>
    <definedName name="курорты" localSheetId="11">#REF!</definedName>
    <definedName name="курорты">#REF!</definedName>
    <definedName name="Курс">[18]Коэфф!$B$3</definedName>
    <definedName name="Курс_доллара">'[35]Курс доллара'!$A$2</definedName>
    <definedName name="Кэл">'[15]Лист опроса'!$B$20</definedName>
    <definedName name="л" hidden="1">{#N/A,#N/A,TRUE,"Смета на пасс. обор. №1"}</definedName>
    <definedName name="л_1" hidden="1">{#N/A,#N/A,TRUE,"Смета на пасс. обор. №1"}</definedName>
    <definedName name="лаб_иссл" localSheetId="11">#REF!</definedName>
    <definedName name="лаб_иссл">#REF!</definedName>
    <definedName name="Лаб_стац" localSheetId="11">#REF!</definedName>
    <definedName name="Лаб_стац">#REF!</definedName>
    <definedName name="Лаб_эксп_усл" localSheetId="11">#REF!</definedName>
    <definedName name="Лаб_эксп_усл">#REF!</definedName>
    <definedName name="ЛабМашБур">[31]СмМашБур!#REF!</definedName>
    <definedName name="ЛабШурфов">#REF!</definedName>
    <definedName name="лдж" hidden="1">{#N/A,#N/A,TRUE,"Смета на пасс. обор. №1"}</definedName>
    <definedName name="лдж_1" hidden="1">{#N/A,#N/A,TRUE,"Смета на пасс. обор. №1"}</definedName>
    <definedName name="лл">[16]Вспомогательный!$D$78</definedName>
    <definedName name="ллдж">#REF!</definedName>
    <definedName name="ло">#REF!</definedName>
    <definedName name="лол">#REF!</definedName>
    <definedName name="лор" hidden="1">{#N/A,#N/A,TRUE,"Смета на пасс. обор. №1"}</definedName>
    <definedName name="лор_1" hidden="1">{#N/A,#N/A,TRUE,"Смета на пасс. обор. №1"}</definedName>
    <definedName name="лот" hidden="1">{#N/A,#N/A,TRUE,"Смета на пасс. обор. №1"}</definedName>
    <definedName name="лот_1" hidden="1">{#N/A,#N/A,TRUE,"Смета на пасс. обор. №1"}</definedName>
    <definedName name="лрпораплтль">#REF!</definedName>
    <definedName name="Лс">#REF!</definedName>
    <definedName name="Махачкала">#REF!</definedName>
    <definedName name="Махачкала_1">#REF!</definedName>
    <definedName name="Махачкала_2">#REF!</definedName>
    <definedName name="Махачкала_22">#REF!</definedName>
    <definedName name="Махачкала_49">#REF!</definedName>
    <definedName name="Махачкала_5">#REF!</definedName>
    <definedName name="Махачкала_50">#REF!</definedName>
    <definedName name="Махачкала_51">#REF!</definedName>
    <definedName name="Махачкала_52">#REF!</definedName>
    <definedName name="Махачкала_53">#REF!</definedName>
    <definedName name="Махачкала_54">#REF!</definedName>
    <definedName name="Металли_еская_дверца_для_напольного_монтажного_шкафа_VERO__600x600x42U__с_замком_и_клю_ами">#REF!</definedName>
    <definedName name="мж1">'[36]СметаСводная 1 оч'!$D$6</definedName>
    <definedName name="мил">{0,"овz";1,"z";2,"аz";5,"овz"}</definedName>
    <definedName name="мир" hidden="1">{#N/A,#N/A,TRUE,"Смета на пасс. обор. №1"}</definedName>
    <definedName name="мир_1" hidden="1">{#N/A,#N/A,TRUE,"Смета на пасс. обор. №1"}</definedName>
    <definedName name="мит">#REF!</definedName>
    <definedName name="митюгов">'[37]Данные для расчёта сметы'!$J$33</definedName>
    <definedName name="митюгов_1">'[38]Данные для расчёта сметы'!$J$33</definedName>
    <definedName name="митюгов_2">'[39]Данные для расчёта сметы'!$J$33</definedName>
    <definedName name="мм">#REF!</definedName>
    <definedName name="МММММММММ">#REF!</definedName>
    <definedName name="Название_проекта">#REF!</definedName>
    <definedName name="Название_проекта_1">#REF!</definedName>
    <definedName name="НАЧ_ИО">#REF!</definedName>
    <definedName name="НАЧ_ИО_РД">#REF!</definedName>
    <definedName name="НАЧ_МО">#REF!</definedName>
    <definedName name="НАЧ_МО_РД">#REF!</definedName>
    <definedName name="НАЧ_ОО">#REF!</definedName>
    <definedName name="НАЧ_ОО_РД">#REF!</definedName>
    <definedName name="НАЧ_ОР">#REF!</definedName>
    <definedName name="НАЧ_ОР_РД">#REF!</definedName>
    <definedName name="НАЧ_ПО">#REF!</definedName>
    <definedName name="НАЧ_ПО_РД">#REF!</definedName>
    <definedName name="НАЧ_ТО">#REF!</definedName>
    <definedName name="НАЧ_ТО_РД">#REF!</definedName>
    <definedName name="ндс" localSheetId="0">#REF!</definedName>
    <definedName name="ндс" localSheetId="11">#REF!</definedName>
    <definedName name="ндс">#REF!</definedName>
    <definedName name="неп">#REF!</definedName>
    <definedName name="неп_1">#REF!</definedName>
    <definedName name="неп_10">#REF!</definedName>
    <definedName name="неп_11">#REF!</definedName>
    <definedName name="неп_12">#REF!</definedName>
    <definedName name="неп_13">#REF!</definedName>
    <definedName name="неп_14">#REF!</definedName>
    <definedName name="неп_15">#REF!</definedName>
    <definedName name="неп_16">#REF!</definedName>
    <definedName name="неп_17">#REF!</definedName>
    <definedName name="неп_18">#REF!</definedName>
    <definedName name="неп_19">#REF!</definedName>
    <definedName name="неп_2">#REF!</definedName>
    <definedName name="неп_20">#REF!</definedName>
    <definedName name="неп_21">#REF!</definedName>
    <definedName name="неп_49">#REF!</definedName>
    <definedName name="неп_50">#REF!</definedName>
    <definedName name="неп_51">#REF!</definedName>
    <definedName name="неп_52">#REF!</definedName>
    <definedName name="неп_53">#REF!</definedName>
    <definedName name="неп_54">#REF!</definedName>
    <definedName name="неп_6">#REF!</definedName>
    <definedName name="неп_7">#REF!</definedName>
    <definedName name="неп_8">#REF!</definedName>
    <definedName name="неп_9">#REF!</definedName>
    <definedName name="Непредв">[18]Коэфф!$B$7</definedName>
    <definedName name="ННОвгород">#REF!</definedName>
    <definedName name="ННОвгород_1">#REF!</definedName>
    <definedName name="ННОвгород_2">#REF!</definedName>
    <definedName name="ННОвгород_22">#REF!</definedName>
    <definedName name="ННОвгород_49">#REF!</definedName>
    <definedName name="ННОвгород_5">#REF!</definedName>
    <definedName name="ННОвгород_50">#REF!</definedName>
    <definedName name="ННОвгород_51">#REF!</definedName>
    <definedName name="ННОвгород_52">#REF!</definedName>
    <definedName name="ННОвгород_53">#REF!</definedName>
    <definedName name="ННОвгород_54">#REF!</definedName>
    <definedName name="новые_ОФ_2003">[14]рабочий!$F$305:$W$327</definedName>
    <definedName name="новые_ОФ_2004">[14]рабочий!$F$335:$W$357</definedName>
    <definedName name="новые_ОФ_а_всего">[14]рабочий!$F$767:$V$789</definedName>
    <definedName name="новые_ОФ_всего">[14]рабочий!$F$1331:$V$1353</definedName>
    <definedName name="новые_ОФ_п_всего">[14]рабочий!$F$1293:$V$1315</definedName>
    <definedName name="Номер_договора">#REF!</definedName>
    <definedName name="Номер_договора_1">#REF!</definedName>
    <definedName name="НомерДоговора">[31]ОбмОбслЗемОд!$F$2</definedName>
    <definedName name="Нсапк">'[15]Лист опроса'!$B$34</definedName>
    <definedName name="Нсстр">'[15]Лист опроса'!$B$32</definedName>
    <definedName name="о">#REF!</definedName>
    <definedName name="о_1">#REF!</definedName>
    <definedName name="_xlnm.Print_Area" localSheetId="5">'Cводная смета ПИР'!$A$1:$G$41</definedName>
    <definedName name="_xlnm.Print_Area" localSheetId="0">'График работ'!#REF!</definedName>
    <definedName name="_xlnm.Print_Area" localSheetId="28">Дефляторы!$A$1:$F$107</definedName>
    <definedName name="_xlnm.Print_Area" localSheetId="3">НМЦ!$A$1:$E$32</definedName>
    <definedName name="_xlnm.Print_Area" localSheetId="4">НМЦК!$A$1:$F$49</definedName>
    <definedName name="_xlnm.Print_Area" localSheetId="22">'Подэтап 6.1  (ПД)'!$A$1:$F$279</definedName>
    <definedName name="_xlnm.Print_Area" localSheetId="23">'Подэтап 6.2  (ПД)'!$A$1:$F$224</definedName>
    <definedName name="_xlnm.Print_Area" localSheetId="24">'Подэтап 6.3  (ПД)'!$A$1:$F$155</definedName>
    <definedName name="_xlnm.Print_Area" localSheetId="25">'Подэтап 6.4  (ПД)'!$A$1:$F$601</definedName>
    <definedName name="_xlnm.Print_Area" localSheetId="26">'Подэтап 7.1 (ПД) '!$A$1:$F$229</definedName>
    <definedName name="_xlnm.Print_Area" localSheetId="27">'Подэтап 7.2 (ПД)'!$A$1:$F$37</definedName>
    <definedName name="_xlnm.Print_Area" localSheetId="1">Пояснительная!$A$1:$C$24</definedName>
    <definedName name="_xlnm.Print_Area" localSheetId="2">Протокол!$A$1:$N$28</definedName>
    <definedName name="_xlnm.Print_Area" localSheetId="15">'Расчёт по УНЦС'!$A$1:$G$744</definedName>
    <definedName name="_xlnm.Print_Area" localSheetId="6">'Экспертиза ПД и ИЗ'!$A$1:$H$22</definedName>
    <definedName name="_xlnm.Print_Area" localSheetId="17">'Этап 1. (ПД)'!$A$1:$F$389</definedName>
    <definedName name="_xlnm.Print_Area" localSheetId="18">'Этап 2. (ПД)'!$A$1:$F$499</definedName>
    <definedName name="_xlnm.Print_Area" localSheetId="19">'Этап 3. (ПД)'!$A$1:$F$423</definedName>
    <definedName name="_xlnm.Print_Area" localSheetId="20">'Этап 4 (Лот №1) (ПД)'!$A$1:$F$485</definedName>
    <definedName name="_xlnm.Print_Area" localSheetId="21">'Этап 5 (Лот №2) (ПД)'!$A$1:$F$229</definedName>
    <definedName name="обуч" hidden="1">{#N/A,#N/A,TRUE,"Смета на пасс. обор. №1"}</definedName>
    <definedName name="обуч_1" hidden="1">{#N/A,#N/A,TRUE,"Смета на пасс. обор. №1"}</definedName>
    <definedName name="общ_МПА_П">#REF!</definedName>
    <definedName name="ОбъектАдрес">[31]ОбмОбслЗемОд!$A$4</definedName>
    <definedName name="Объекты">#REF!</definedName>
    <definedName name="объем">#N/A</definedName>
    <definedName name="объем___0">#REF!</definedName>
    <definedName name="объем___0___0">#REF!</definedName>
    <definedName name="объем___0___0___0">#REF!</definedName>
    <definedName name="объем___0___0___0___0">#REF!</definedName>
    <definedName name="объем___0___0___0___0___0">#REF!</definedName>
    <definedName name="объем___0___0___0___0___0_1">#REF!</definedName>
    <definedName name="объем___0___0___0___0_1">#REF!</definedName>
    <definedName name="объем___0___0___0___1">#REF!</definedName>
    <definedName name="объем___0___0___0___1_1">#REF!</definedName>
    <definedName name="объем___0___0___0___5">#REF!</definedName>
    <definedName name="объем___0___0___0___5_1">#REF!</definedName>
    <definedName name="объем___0___0___0_1">#REF!</definedName>
    <definedName name="объем___0___0___0_1_1">#REF!</definedName>
    <definedName name="объем___0___0___0_1_1_1">#REF!</definedName>
    <definedName name="объем___0___0___0_5">#REF!</definedName>
    <definedName name="объем___0___0___0_5_1">#REF!</definedName>
    <definedName name="объем___0___0___1">#REF!</definedName>
    <definedName name="объем___0___0___1_1">#REF!</definedName>
    <definedName name="объем___0___0___2">#REF!</definedName>
    <definedName name="объем___0___0___2_1">#REF!</definedName>
    <definedName name="объем___0___0___3">#REF!</definedName>
    <definedName name="объем___0___0___3_1">#REF!</definedName>
    <definedName name="объем___0___0___4">#REF!</definedName>
    <definedName name="объем___0___0___4_1">#REF!</definedName>
    <definedName name="объем___0___0___5">#REF!</definedName>
    <definedName name="объем___0___0___5_1">#REF!</definedName>
    <definedName name="объем___0___0_1">#REF!</definedName>
    <definedName name="объем___0___0_1_1">#REF!</definedName>
    <definedName name="объем___0___0_1_1_1">#REF!</definedName>
    <definedName name="объем___0___0_3">#REF!</definedName>
    <definedName name="объем___0___0_3_1">#REF!</definedName>
    <definedName name="объем___0___0_5">#REF!</definedName>
    <definedName name="объем___0___0_5_1">#REF!</definedName>
    <definedName name="объем___0___1">#REF!</definedName>
    <definedName name="объем___0___1___0">#REF!</definedName>
    <definedName name="объем___0___1___0_1">#REF!</definedName>
    <definedName name="объем___0___1_1">#REF!</definedName>
    <definedName name="объем___0___10">#REF!</definedName>
    <definedName name="объем___0___10_1">#REF!</definedName>
    <definedName name="объем___0___12">#REF!</definedName>
    <definedName name="объем___0___2">#REF!</definedName>
    <definedName name="объем___0___2___0">#REF!</definedName>
    <definedName name="объем___0___2___0___0">#REF!</definedName>
    <definedName name="объем___0___2___0___0_1">#REF!</definedName>
    <definedName name="объем___0___2___0_1">#REF!</definedName>
    <definedName name="объем___0___2___5">#REF!</definedName>
    <definedName name="объем___0___2___5_1">#REF!</definedName>
    <definedName name="объем___0___2_1">#REF!</definedName>
    <definedName name="объем___0___2_1_1">#REF!</definedName>
    <definedName name="объем___0___2_1_1_1">#REF!</definedName>
    <definedName name="объем___0___2_3">#REF!</definedName>
    <definedName name="объем___0___2_3_1">#REF!</definedName>
    <definedName name="объем___0___2_5">#REF!</definedName>
    <definedName name="объем___0___2_5_1">#REF!</definedName>
    <definedName name="объем___0___3">#REF!</definedName>
    <definedName name="объем___0___3___0">#REF!</definedName>
    <definedName name="объем___0___3___0_1">#REF!</definedName>
    <definedName name="объем___0___3___5">#REF!</definedName>
    <definedName name="объем___0___3___5_1">#REF!</definedName>
    <definedName name="объем___0___3_1">#REF!</definedName>
    <definedName name="объем___0___3_1_1">#REF!</definedName>
    <definedName name="объем___0___3_1_1_1">#REF!</definedName>
    <definedName name="объем___0___3_5">#REF!</definedName>
    <definedName name="объем___0___3_5_1">#REF!</definedName>
    <definedName name="объем___0___4">#REF!</definedName>
    <definedName name="объем___0___4___0">#REF!</definedName>
    <definedName name="объем___0___4___0_1">#REF!</definedName>
    <definedName name="объем___0___4___5">#REF!</definedName>
    <definedName name="объем___0___4___5_1">#REF!</definedName>
    <definedName name="объем___0___4_1">#REF!</definedName>
    <definedName name="объем___0___4_1_1">#REF!</definedName>
    <definedName name="объем___0___4_1_1_1">#REF!</definedName>
    <definedName name="объем___0___4_3">#REF!</definedName>
    <definedName name="объем___0___4_3_1">#REF!</definedName>
    <definedName name="объем___0___4_5">#REF!</definedName>
    <definedName name="объем___0___4_5_1">#REF!</definedName>
    <definedName name="объем___0___5">#REF!</definedName>
    <definedName name="объем___0___5_1">#REF!</definedName>
    <definedName name="объем___0___6">#REF!</definedName>
    <definedName name="объем___0___6_1">#REF!</definedName>
    <definedName name="объем___0___8">#REF!</definedName>
    <definedName name="объем___0___8_1">#REF!</definedName>
    <definedName name="объем___0_1">#REF!</definedName>
    <definedName name="объем___0_1_1">#REF!</definedName>
    <definedName name="объем___0_3">#REF!</definedName>
    <definedName name="объем___0_3_1">#REF!</definedName>
    <definedName name="объем___0_5">#REF!</definedName>
    <definedName name="объем___0_5_1">#REF!</definedName>
    <definedName name="объем___1">#REF!</definedName>
    <definedName name="объем___1___0">#REF!</definedName>
    <definedName name="объем___1___0___0">#REF!</definedName>
    <definedName name="объем___1___0___0_1">#REF!</definedName>
    <definedName name="объем___1___0_1">#REF!</definedName>
    <definedName name="объем___1___1">#REF!</definedName>
    <definedName name="объем___1___1_1">#REF!</definedName>
    <definedName name="объем___1___5">#REF!</definedName>
    <definedName name="объем___1___5_1">#REF!</definedName>
    <definedName name="объем___1_1">#REF!</definedName>
    <definedName name="объем___1_1_1">#REF!</definedName>
    <definedName name="объем___1_1_1_1">#REF!</definedName>
    <definedName name="объем___1_3">#REF!</definedName>
    <definedName name="объем___1_3_1">#REF!</definedName>
    <definedName name="объем___1_5">#REF!</definedName>
    <definedName name="объем___1_5_1">#REF!</definedName>
    <definedName name="объем___10">#REF!</definedName>
    <definedName name="объем___10___0">NA()</definedName>
    <definedName name="объем___10___0___0">#REF!</definedName>
    <definedName name="объем___10___0___0___0">#REF!</definedName>
    <definedName name="объем___10___0___0___0_1">#REF!</definedName>
    <definedName name="объем___10___0___0_1">#REF!</definedName>
    <definedName name="объем___10___0___1">NA()</definedName>
    <definedName name="объем___10___0___5">NA()</definedName>
    <definedName name="объем___10___0_1">#REF!</definedName>
    <definedName name="объем___10___0_1_1">NA()</definedName>
    <definedName name="объем___10___0_3">NA()</definedName>
    <definedName name="объем___10___0_5">NA()</definedName>
    <definedName name="объем___10___1">#REF!</definedName>
    <definedName name="объем___10___10">#REF!</definedName>
    <definedName name="объем___10___12">#REF!</definedName>
    <definedName name="объем___10___2">NA()</definedName>
    <definedName name="объем___10___4">NA()</definedName>
    <definedName name="объем___10___5">#REF!</definedName>
    <definedName name="объем___10___5_1">#REF!</definedName>
    <definedName name="объем___10___6">NA()</definedName>
    <definedName name="объем___10___8">NA()</definedName>
    <definedName name="объем___10_1">NA()</definedName>
    <definedName name="объем___10_3">#REF!</definedName>
    <definedName name="объем___10_3_1">#REF!</definedName>
    <definedName name="объем___10_5">#REF!</definedName>
    <definedName name="объем___10_5_1">#REF!</definedName>
    <definedName name="объем___11">#REF!</definedName>
    <definedName name="объем___11___0">NA()</definedName>
    <definedName name="объем___11___10">#REF!</definedName>
    <definedName name="объем___11___2">#REF!</definedName>
    <definedName name="объем___11___4">#REF!</definedName>
    <definedName name="объем___11___6">#REF!</definedName>
    <definedName name="объем___11___8">#REF!</definedName>
    <definedName name="объем___11_1">#REF!</definedName>
    <definedName name="объем___12">NA()</definedName>
    <definedName name="объем___2">#REF!</definedName>
    <definedName name="объем___2___0">#REF!</definedName>
    <definedName name="объем___2___0___0">#REF!</definedName>
    <definedName name="объем___2___0___0___0">#REF!</definedName>
    <definedName name="объем___2___0___0___0___0">#REF!</definedName>
    <definedName name="объем___2___0___0___0___0_1">#REF!</definedName>
    <definedName name="объем___2___0___0___0_1">#REF!</definedName>
    <definedName name="объем___2___0___0___1">#REF!</definedName>
    <definedName name="объем___2___0___0___1_1">#REF!</definedName>
    <definedName name="объем___2___0___0___5">#REF!</definedName>
    <definedName name="объем___2___0___0___5_1">#REF!</definedName>
    <definedName name="объем___2___0___0_1">#REF!</definedName>
    <definedName name="объем___2___0___0_1_1">#REF!</definedName>
    <definedName name="объем___2___0___0_1_1_1">#REF!</definedName>
    <definedName name="объем___2___0___0_5">#REF!</definedName>
    <definedName name="объем___2___0___0_5_1">#REF!</definedName>
    <definedName name="объем___2___0___1">#REF!</definedName>
    <definedName name="объем___2___0___1_1">#REF!</definedName>
    <definedName name="объем___2___0___5">#REF!</definedName>
    <definedName name="объем___2___0___5_1">#REF!</definedName>
    <definedName name="объем___2___0_1">#REF!</definedName>
    <definedName name="объем___2___0_1_1">#REF!</definedName>
    <definedName name="объем___2___0_1_1_1">#REF!</definedName>
    <definedName name="объем___2___0_3">#REF!</definedName>
    <definedName name="объем___2___0_3_1">#REF!</definedName>
    <definedName name="объем___2___0_5">#REF!</definedName>
    <definedName name="объем___2___0_5_1">#REF!</definedName>
    <definedName name="объем___2___1">#REF!</definedName>
    <definedName name="объем___2___1_1">#REF!</definedName>
    <definedName name="объем___2___10">#REF!</definedName>
    <definedName name="объем___2___10_1">#REF!</definedName>
    <definedName name="объем___2___12">#REF!</definedName>
    <definedName name="объем___2___2">#REF!</definedName>
    <definedName name="объем___2___2_1">#REF!</definedName>
    <definedName name="объем___2___3">#REF!</definedName>
    <definedName name="объем___2___4">#REF!</definedName>
    <definedName name="объем___2___4___0">#REF!</definedName>
    <definedName name="объем___2___4___0_1">#REF!</definedName>
    <definedName name="объем___2___4___5">#REF!</definedName>
    <definedName name="объем___2___4___5_1">#REF!</definedName>
    <definedName name="объем___2___4_1">#REF!</definedName>
    <definedName name="объем___2___4_1_1">#REF!</definedName>
    <definedName name="объем___2___4_1_1_1">#REF!</definedName>
    <definedName name="объем___2___4_3">#REF!</definedName>
    <definedName name="объем___2___4_3_1">#REF!</definedName>
    <definedName name="объем___2___4_5">#REF!</definedName>
    <definedName name="объем___2___4_5_1">#REF!</definedName>
    <definedName name="объем___2___5">#REF!</definedName>
    <definedName name="объем___2___5_1">#REF!</definedName>
    <definedName name="объем___2___6">#REF!</definedName>
    <definedName name="объем___2___6_1">#REF!</definedName>
    <definedName name="объем___2___8">#REF!</definedName>
    <definedName name="объем___2___8_1">#REF!</definedName>
    <definedName name="объем___2_1">#REF!</definedName>
    <definedName name="объем___2_1_1">#REF!</definedName>
    <definedName name="объем___2_1_1_1">#REF!</definedName>
    <definedName name="объем___2_3">#REF!</definedName>
    <definedName name="объем___2_3_1">#REF!</definedName>
    <definedName name="объем___2_5">#REF!</definedName>
    <definedName name="объем___2_5_1">#REF!</definedName>
    <definedName name="объем___3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5">#REF!</definedName>
    <definedName name="объем___3___0___5_1">#REF!</definedName>
    <definedName name="объем___3___0_1">#REF!</definedName>
    <definedName name="объем___3___0_1_1">NA()</definedName>
    <definedName name="объем___3___0_3">#REF!</definedName>
    <definedName name="объем___3___0_3_1">#REF!</definedName>
    <definedName name="объем___3___0_5">#REF!</definedName>
    <definedName name="объем___3___0_5_1">#REF!</definedName>
    <definedName name="объем___3___10">#REF!</definedName>
    <definedName name="объем___3___2">#REF!</definedName>
    <definedName name="объем___3___2_1">#REF!</definedName>
    <definedName name="объем___3___3">#REF!</definedName>
    <definedName name="объем___3___3_1">#REF!</definedName>
    <definedName name="объем___3___4">#REF!</definedName>
    <definedName name="объем___3___5">#REF!</definedName>
    <definedName name="объем___3___5_1">#REF!</definedName>
    <definedName name="объем___3___6">#REF!</definedName>
    <definedName name="объем___3___8">#REF!</definedName>
    <definedName name="объем___3_1">#REF!</definedName>
    <definedName name="объем___3_1_1">#REF!</definedName>
    <definedName name="объем___3_1_1_1">#REF!</definedName>
    <definedName name="объем___3_3">NA()</definedName>
    <definedName name="объем___3_5">#REF!</definedName>
    <definedName name="объем___3_5_1">#REF!</definedName>
    <definedName name="объем___4">#REF!</definedName>
    <definedName name="объем___4___0">NA()</definedName>
    <definedName name="объем___4___0___0">#REF!</definedName>
    <definedName name="объем___4___0___0___0">#REF!</definedName>
    <definedName name="объем___4___0___0___0___0">#REF!</definedName>
    <definedName name="объем___4___0___0___0___0_1">#REF!</definedName>
    <definedName name="объем___4___0___0___0_1">#REF!</definedName>
    <definedName name="объем___4___0___0___1">#REF!</definedName>
    <definedName name="объем___4___0___0___1_1">#REF!</definedName>
    <definedName name="объем___4___0___0___5">#REF!</definedName>
    <definedName name="объем___4___0___0___5_1">#REF!</definedName>
    <definedName name="объем___4___0___0_1">#REF!</definedName>
    <definedName name="объем___4___0___0_1_1">#REF!</definedName>
    <definedName name="объем___4___0___0_1_1_1">#REF!</definedName>
    <definedName name="объем___4___0___0_5">#REF!</definedName>
    <definedName name="объем___4___0___0_5_1">#REF!</definedName>
    <definedName name="объем___4___0___1">#REF!</definedName>
    <definedName name="объем___4___0___1_1">#REF!</definedName>
    <definedName name="объем___4___0___5">NA()</definedName>
    <definedName name="объем___4___0_1">#REF!</definedName>
    <definedName name="объем___4___0_1_1">#REF!</definedName>
    <definedName name="объем___4___0_1_1_1">#REF!</definedName>
    <definedName name="объем___4___0_3">#REF!</definedName>
    <definedName name="объем___4___0_3_1">#REF!</definedName>
    <definedName name="объем___4___0_5">NA()</definedName>
    <definedName name="объем___4___1">#REF!</definedName>
    <definedName name="объем___4___1_1">#REF!</definedName>
    <definedName name="объем___4___10">#REF!</definedName>
    <definedName name="объем___4___10_1">#REF!</definedName>
    <definedName name="объем___4___12">#REF!</definedName>
    <definedName name="объем___4___2">#REF!</definedName>
    <definedName name="объем___4___2_1">#REF!</definedName>
    <definedName name="объем___4___3">#REF!</definedName>
    <definedName name="объем___4___3_1">#REF!</definedName>
    <definedName name="объем___4___4">#REF!</definedName>
    <definedName name="объем___4___4_1">#REF!</definedName>
    <definedName name="объем___4___5">#REF!</definedName>
    <definedName name="объем___4___5_1">#REF!</definedName>
    <definedName name="объем___4___6">#REF!</definedName>
    <definedName name="объем___4___6_1">#REF!</definedName>
    <definedName name="объем___4___8">#REF!</definedName>
    <definedName name="объем___4___8_1">#REF!</definedName>
    <definedName name="объем___4_1">#REF!</definedName>
    <definedName name="объем___4_1_1">#REF!</definedName>
    <definedName name="объем___4_1_1_1">#REF!</definedName>
    <definedName name="объем___4_3">#REF!</definedName>
    <definedName name="объем___4_3_1">#REF!</definedName>
    <definedName name="объем___4_5">#REF!</definedName>
    <definedName name="объем___4_5_1">#REF!</definedName>
    <definedName name="объем___5">NA()</definedName>
    <definedName name="объем___5___0">#REF!</definedName>
    <definedName name="объем___5___0___0">#REF!</definedName>
    <definedName name="объем___5___0___0___0">#REF!</definedName>
    <definedName name="объем___5___0___0___0___0">#REF!</definedName>
    <definedName name="объем___5___0___0___0___0_1">#REF!</definedName>
    <definedName name="объем___5___0___0___0_1">#REF!</definedName>
    <definedName name="объем___5___0___0_1">#REF!</definedName>
    <definedName name="объем___5___0___1">#REF!</definedName>
    <definedName name="объем___5___0___1_1">#REF!</definedName>
    <definedName name="объем___5___0___5">#REF!</definedName>
    <definedName name="объем___5___0___5_1">#REF!</definedName>
    <definedName name="объем___5___0_1">#REF!</definedName>
    <definedName name="объем___5___0_1_1">#REF!</definedName>
    <definedName name="объем___5___0_1_1_1">#REF!</definedName>
    <definedName name="объем___5___0_3">#REF!</definedName>
    <definedName name="объем___5___0_3_1">#REF!</definedName>
    <definedName name="объем___5___0_5">#REF!</definedName>
    <definedName name="объем___5___0_5_1">#REF!</definedName>
    <definedName name="объем___5___1">#REF!</definedName>
    <definedName name="объем___5___1_1">#REF!</definedName>
    <definedName name="объем___5___3">NA()</definedName>
    <definedName name="объем___5___5">NA()</definedName>
    <definedName name="объем___5_1">#REF!</definedName>
    <definedName name="объем___5_1_1">#REF!</definedName>
    <definedName name="объем___5_1_1_1">#REF!</definedName>
    <definedName name="объем___5_3">NA()</definedName>
    <definedName name="объем___5_5">NA()</definedName>
    <definedName name="объем___6">NA()</definedName>
    <definedName name="объем___6___0">#REF!</definedName>
    <definedName name="объем___6___0___0">#REF!</definedName>
    <definedName name="объем___6___0___0___0">#REF!</definedName>
    <definedName name="объем___6___0___0___0___0">#REF!</definedName>
    <definedName name="объем___6___0___0___0___0_1">#REF!</definedName>
    <definedName name="объем___6___0___0___0_1">#REF!</definedName>
    <definedName name="объем___6___0___0_1">#REF!</definedName>
    <definedName name="объем___6___0___1">#REF!</definedName>
    <definedName name="объем___6___0___1_1">#REF!</definedName>
    <definedName name="объем___6___0___5">#REF!</definedName>
    <definedName name="объем___6___0___5_1">#REF!</definedName>
    <definedName name="объем___6___0_1">#REF!</definedName>
    <definedName name="объем___6___0_1_1">#REF!</definedName>
    <definedName name="объем___6___0_1_1_1">#REF!</definedName>
    <definedName name="объем___6___0_3">#REF!</definedName>
    <definedName name="объем___6___0_3_1">#REF!</definedName>
    <definedName name="объем___6___0_5">#REF!</definedName>
    <definedName name="объем___6___0_5_1">#REF!</definedName>
    <definedName name="объем___6___1">#REF!</definedName>
    <definedName name="объем___6___10">#REF!</definedName>
    <definedName name="объем___6___10_1">#REF!</definedName>
    <definedName name="объем___6___12">#REF!</definedName>
    <definedName name="объем___6___2">#REF!</definedName>
    <definedName name="объем___6___2_1">#REF!</definedName>
    <definedName name="объем___6___4">#REF!</definedName>
    <definedName name="объем___6___4_1">#REF!</definedName>
    <definedName name="объем___6___5">NA()</definedName>
    <definedName name="объем___6___6">#REF!</definedName>
    <definedName name="объем___6___6_1">#REF!</definedName>
    <definedName name="объем___6___8">#REF!</definedName>
    <definedName name="объем___6___8_1">#REF!</definedName>
    <definedName name="объем___6_1">#REF!</definedName>
    <definedName name="объем___6_1_1">#REF!</definedName>
    <definedName name="объем___6_1_1_1">#REF!</definedName>
    <definedName name="объем___6_3">#REF!</definedName>
    <definedName name="объем___6_3_1">#REF!</definedName>
    <definedName name="объем___6_5">NA()</definedName>
    <definedName name="объем___7">#REF!</definedName>
    <definedName name="объем___7___0">#REF!</definedName>
    <definedName name="объем___7___10">#REF!</definedName>
    <definedName name="объем___7___2">#REF!</definedName>
    <definedName name="объем___7___4">#REF!</definedName>
    <definedName name="объем___7___6">#REF!</definedName>
    <definedName name="объем___7___8">#REF!</definedName>
    <definedName name="объем___7_1">#REF!</definedName>
    <definedName name="объем___8">#REF!</definedName>
    <definedName name="объем___8___0">#REF!</definedName>
    <definedName name="объем___8___0___0">#REF!</definedName>
    <definedName name="объем___8___0___0___0">#REF!</definedName>
    <definedName name="объем___8___0___0___0___0">#REF!</definedName>
    <definedName name="объем___8___0___0___0___0_1">#REF!</definedName>
    <definedName name="объем___8___0___0___0_1">#REF!</definedName>
    <definedName name="объем___8___0___0_1">#REF!</definedName>
    <definedName name="объем___8___0___1">#REF!</definedName>
    <definedName name="объем___8___0___1_1">#REF!</definedName>
    <definedName name="объем___8___0___5">#REF!</definedName>
    <definedName name="объем___8___0___5_1">#REF!</definedName>
    <definedName name="объем___8___0_1">#REF!</definedName>
    <definedName name="объем___8___0_1_1">#REF!</definedName>
    <definedName name="объем___8___0_1_1_1">#REF!</definedName>
    <definedName name="объем___8___0_3">#REF!</definedName>
    <definedName name="объем___8___0_3_1">#REF!</definedName>
    <definedName name="объем___8___0_5">#REF!</definedName>
    <definedName name="объем___8___0_5_1">#REF!</definedName>
    <definedName name="объем___8___1">#REF!</definedName>
    <definedName name="объем___8___10">#REF!</definedName>
    <definedName name="объем___8___10_1">#REF!</definedName>
    <definedName name="объем___8___12">#REF!</definedName>
    <definedName name="объем___8___2">#REF!</definedName>
    <definedName name="объем___8___2_1">#REF!</definedName>
    <definedName name="объем___8___4">#REF!</definedName>
    <definedName name="объем___8___4_1">#REF!</definedName>
    <definedName name="объем___8___5">#REF!</definedName>
    <definedName name="объем___8___5_1">#REF!</definedName>
    <definedName name="объем___8___6">#REF!</definedName>
    <definedName name="объем___8___6_1">#REF!</definedName>
    <definedName name="объем___8___8">#REF!</definedName>
    <definedName name="объем___8___8_1">#REF!</definedName>
    <definedName name="объем___8_1">#REF!</definedName>
    <definedName name="объем___8_1_1">#REF!</definedName>
    <definedName name="объем___8_1_1_1">#REF!</definedName>
    <definedName name="объем___8_3">#REF!</definedName>
    <definedName name="объем___8_3_1">#REF!</definedName>
    <definedName name="объем___8_5">#REF!</definedName>
    <definedName name="объем___8_5_1">#REF!</definedName>
    <definedName name="объем___9">#REF!</definedName>
    <definedName name="объем___9___0">#REF!</definedName>
    <definedName name="объем___9___0___0">#REF!</definedName>
    <definedName name="объем___9___0___0___0">#REF!</definedName>
    <definedName name="объем___9___0___0___0___0">#REF!</definedName>
    <definedName name="объем___9___0___0___0___0_1">#REF!</definedName>
    <definedName name="объем___9___0___0___0_1">#REF!</definedName>
    <definedName name="объем___9___0___0_1">#REF!</definedName>
    <definedName name="объем___9___0___5">#REF!</definedName>
    <definedName name="объем___9___0___5_1">#REF!</definedName>
    <definedName name="объем___9___0_1">#REF!</definedName>
    <definedName name="объем___9___0_5">#REF!</definedName>
    <definedName name="объем___9___0_5_1">#REF!</definedName>
    <definedName name="объем___9___10">#REF!</definedName>
    <definedName name="объем___9___2">#REF!</definedName>
    <definedName name="объем___9___4">#REF!</definedName>
    <definedName name="объем___9___5">#REF!</definedName>
    <definedName name="объем___9___5_1">#REF!</definedName>
    <definedName name="объем___9___6">#REF!</definedName>
    <definedName name="объем___9___8">#REF!</definedName>
    <definedName name="объем___9_1">#REF!</definedName>
    <definedName name="объем___9_1_1">#REF!</definedName>
    <definedName name="объем___9_1_1_1">#REF!</definedName>
    <definedName name="объем___9_3">#REF!</definedName>
    <definedName name="объем___9_3_1">#REF!</definedName>
    <definedName name="объем___9_5">#REF!</definedName>
    <definedName name="объем___9_5_1">#REF!</definedName>
    <definedName name="объем_1">NA()</definedName>
    <definedName name="объем_1_1">NA()</definedName>
    <definedName name="объем_3">NA()</definedName>
    <definedName name="объем_4">NA()</definedName>
    <definedName name="объем_5">NA()</definedName>
    <definedName name="объем1">#REF!</definedName>
    <definedName name="ог" hidden="1">{#N/A,#N/A,TRUE,"Смета на пасс. обор. №1"}</definedName>
    <definedName name="ог_1" hidden="1">{#N/A,#N/A,TRUE,"Смета на пасс. обор. №1"}</definedName>
    <definedName name="ок">#REF!</definedName>
    <definedName name="ок_1">#REF!</definedName>
    <definedName name="Окончательно">#REF!</definedName>
    <definedName name="окраска_05">[14]окраска!$C$7:$Z$30</definedName>
    <definedName name="окраска_06">[14]окраска!$C$35:$Z$58</definedName>
    <definedName name="окраска_07">[14]окраска!$C$63:$Z$86</definedName>
    <definedName name="окраска_08">[14]окраска!$C$91:$Z$114</definedName>
    <definedName name="окраска_09">[14]окраска!$C$119:$Z$142</definedName>
    <definedName name="окраска_10">[14]окраска!$C$147:$Z$170</definedName>
    <definedName name="окраска_11">[14]окраска!$C$175:$Z$198</definedName>
    <definedName name="окраска_12">[14]окраска!$C$203:$Z$226</definedName>
    <definedName name="окраска_13">[14]окраска!$C$231:$Z$254</definedName>
    <definedName name="окраска_14">[14]окраска!$C$259:$Z$282</definedName>
    <definedName name="окраска_15">[14]окраска!$C$287:$Z$310</definedName>
    <definedName name="олд" hidden="1">{#N/A,#N/A,TRUE,"Смета на пасс. обор. №1"}</definedName>
    <definedName name="олд_1" hidden="1">{#N/A,#N/A,TRUE,"Смета на пасс. обор. №1"}</definedName>
    <definedName name="олпрол">#REF!</definedName>
    <definedName name="олролрт">#REF!</definedName>
    <definedName name="ОЛЯ">#REF!</definedName>
    <definedName name="ооо">#REF!</definedName>
    <definedName name="ООО_НИИПРИИ___Севзапинжтехнология" localSheetId="0">#REF!</definedName>
    <definedName name="ООО_НИИПРИИ___Севзапинжтехнология" localSheetId="11">#REF!</definedName>
    <definedName name="ООО_НИИПРИИ___Севзапинжтехнология">#REF!</definedName>
    <definedName name="оооо">#REF!</definedName>
    <definedName name="Опер">[40]Орг!$C$50:$C$86</definedName>
    <definedName name="орп" hidden="1">{#N/A,#N/A,TRUE,"Смета на пасс. обор. №1"}</definedName>
    <definedName name="орп_1" hidden="1">{#N/A,#N/A,TRUE,"Смета на пасс. обор. №1"}</definedName>
    <definedName name="Осн_Камер" localSheetId="11">#REF!</definedName>
    <definedName name="Осн_Камер">#REF!</definedName>
    <definedName name="от" hidden="1">{#N/A,#N/A,TRUE,"Смета на пасс. обор. №1"}</definedName>
    <definedName name="от_1" hidden="1">{#N/A,#N/A,TRUE,"Смета на пасс. обор. №1"}</definedName>
    <definedName name="Отч_пож">[18]Коэфф!$B$6</definedName>
    <definedName name="Отчет" localSheetId="11">#REF!</definedName>
    <definedName name="Отчет">#REF!</definedName>
    <definedName name="ОФ_а_с_пц">[14]рабочий!$CI$121:$CY$143</definedName>
    <definedName name="п">#REF!</definedName>
    <definedName name="п_1">#REF!</definedName>
    <definedName name="п1111111">#REF!</definedName>
    <definedName name="п45">#REF!</definedName>
    <definedName name="ПА3">#REF!</definedName>
    <definedName name="ПА4">#REF!</definedName>
    <definedName name="паша">#REF!</definedName>
    <definedName name="ПБ">#REF!</definedName>
    <definedName name="ПД">#REF!</definedName>
    <definedName name="ПереченьДолжностей">[41]Должности!$A$2:$A$31</definedName>
    <definedName name="ПЗ2">#REF!</definedName>
    <definedName name="пионер" localSheetId="0">#REF!</definedName>
    <definedName name="пионер" localSheetId="11">#REF!</definedName>
    <definedName name="пионер">#REF!</definedName>
    <definedName name="ПИР">#REF!</definedName>
    <definedName name="ПИСС_стац">#REF!</definedName>
    <definedName name="ПИСС_эксп">#REF!</definedName>
    <definedName name="Пкр">'[15]Лист опроса'!$B$41</definedName>
    <definedName name="план" localSheetId="11">[30]топография!#REF!</definedName>
    <definedName name="План">'[42]Смета 7'!$F$1</definedName>
    <definedName name="Площадь">#REF!</definedName>
    <definedName name="Площадь_1">#REF!</definedName>
    <definedName name="Площадь_нелинейных_объектов">#REF!</definedName>
    <definedName name="Площадь_нелинейных_объектов_1">#REF!</definedName>
    <definedName name="Площадь_планшетов">#REF!</definedName>
    <definedName name="Площадь_планшетов_1">#REF!</definedName>
    <definedName name="пнр">#REF!</definedName>
    <definedName name="ПодрядДолжн">[31]ОбмОбслЗемОд!$F$67</definedName>
    <definedName name="ПодрядИмя">[31]ОбмОбслЗемОд!$H$69</definedName>
    <definedName name="Подрядчик">[31]ОбмОбслЗемОд!$A$7</definedName>
    <definedName name="ПОКАЗАТЕЛИ_ДОЛГОСР.ПРОГНОЗА" localSheetId="28">'[43]2002(v2)'!#REF!</definedName>
    <definedName name="ПОКАЗАТЕЛИ_ДОЛГОСР.ПРОГНОЗА">'[43]2002(v2)'!#REF!</definedName>
    <definedName name="Полевые" localSheetId="11">#REF!</definedName>
    <definedName name="Полевые">#REF!</definedName>
    <definedName name="Полно">#REF!</definedName>
    <definedName name="попр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__0_1">#REF!</definedName>
    <definedName name="Поправочные_коэффициенты_по_письму_Госстроя_от_25.12.90___0___0___0___0_1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1_1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__5_1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1_1">#REF!</definedName>
    <definedName name="Поправочные_коэффициенты_по_письму_Госстроя_от_25.12.90___0___0___0_1_1_1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0_5_1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1_1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2_1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1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1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5_1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1_1">#REF!</definedName>
    <definedName name="Поправочные_коэффициенты_по_письму_Госстроя_от_25.12.90___0___0_1_1_1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3_1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0_5_1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___0_1">#REF!</definedName>
    <definedName name="Поправочные_коэффициенты_по_письму_Госстроя_от_25.12.90___0___1_1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0_1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0___0_1">#REF!</definedName>
    <definedName name="Поправочные_коэффициенты_по_письму_Госстроя_от_25.12.90___0___2___0_1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__5_1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1_1">#REF!</definedName>
    <definedName name="Поправочные_коэффициенты_по_письму_Госстроя_от_25.12.90___0___2_1_1_1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3_1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2_5_1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0_1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1_1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__5_1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1_1">#REF!</definedName>
    <definedName name="Поправочные_коэффициенты_по_письму_Госстроя_от_25.12.90___0___3___0_1_1_1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0_5_1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__5_1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1_1">#REF!</definedName>
    <definedName name="Поправочные_коэффициенты_по_письму_Госстроя_от_25.12.90___0___3_1_1_1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3_5_1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0_1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__5_1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1_1">#REF!</definedName>
    <definedName name="Поправочные_коэффициенты_по_письму_Госстроя_от_25.12.90___0___4_1_1_1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3_1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4_5_1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1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1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1">#REF!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1_1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3_1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0_5_1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0___0_1">#REF!</definedName>
    <definedName name="Поправочные_коэффициенты_по_письму_Госстроя_от_25.12.90___1___0_1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1_1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1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__5_1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1_1">#REF!</definedName>
    <definedName name="Поправочные_коэффициенты_по_письму_Госстроя_от_25.12.90___1_1_1_1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_5_1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0___0_1">#REF!</definedName>
    <definedName name="Поправочные_коэффициенты_по_письму_Госстроя_от_25.12.90___10___0___0_1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>#REF!</definedName>
    <definedName name="Поправочные_коэффициенты_по_письму_Госстроя_от_25.12.90___10___0_1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5_1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1">NA()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3_1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0_5_1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1_1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0___0_1">#REF!</definedName>
    <definedName name="Поправочные_коэффициенты_по_письму_Госстроя_от_25.12.90___2___0___0___0_1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1_1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__5_1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1_1">#REF!</definedName>
    <definedName name="Поправочные_коэффициенты_по_письму_Госстроя_от_25.12.90___2___0___0_1_1_1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0_5_1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1_1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5_1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1_1">#REF!</definedName>
    <definedName name="Поправочные_коэффициенты_по_письму_Госстроя_от_25.12.90___2___0_1_1_1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3_1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0_5_1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1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0_1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2_1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1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0_1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__5_1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1_1">#REF!</definedName>
    <definedName name="Поправочные_коэффициенты_по_письму_Госстроя_от_25.12.90___2___4_1_1_1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3_1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4_5_1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5_1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1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1">#REF!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1_1">#REF!</definedName>
    <definedName name="Поправочные_коэффициенты_по_письму_Госстроя_от_25.12.90___2_1_1_1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3_1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2_5_1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>#REF!</definedName>
    <definedName name="Поправочные_коэффициенты_по_письму_Госстроя_от_25.12.90___3___0___0___0_1">#REF!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1_1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1_1">#REF!</definedName>
    <definedName name="Поправочные_коэффициенты_по_письму_Госстроя_от_25.12.90___3___0___0_1_1_1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1_1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2_1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__5_1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1_1">#REF!</definedName>
    <definedName name="Поправочные_коэффициенты_по_письму_Госстроя_от_25.12.90___3___0_1_1_1">#REF!</definedName>
    <definedName name="Поправочные_коэффициенты_по_письму_Госстроя_от_25.12.90___3___0_3">#REF!</definedName>
    <definedName name="Поправочные_коэффициенты_по_письму_Госстроя_от_25.12.90___3___0_3_1">#REF!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0_5_1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2_1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3_1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5_1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1_1">#REF!</definedName>
    <definedName name="Поправочные_коэффициенты_по_письму_Госстроя_от_25.12.90___3_1_1_1">#REF!</definedName>
    <definedName name="Поправочные_коэффициенты_по_письму_Госстроя_от_25.12.90___3_3">NA()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3_5_1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0___0_1">#REF!</definedName>
    <definedName name="Поправочные_коэффициенты_по_письму_Госстроя_от_25.12.90___4___0___0___0_1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1_1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__5_1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1_1">#REF!</definedName>
    <definedName name="Поправочные_коэффициенты_по_письму_Госстроя_от_25.12.90___4___0___0_1_1_1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0_5_1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1_1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2_1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1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1_1">#REF!</definedName>
    <definedName name="Поправочные_коэффициенты_по_письму_Госстроя_от_25.12.90___4___0_1_1_1">#REF!</definedName>
    <definedName name="Поправочные_коэффициенты_по_письму_Госстроя_от_25.12.90___4___0_3">NA()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0_1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2_1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0___0_1">#REF!</definedName>
    <definedName name="Поправочные_коэффициенты_по_письму_Госстроя_от_25.12.90___4___3___0_1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__5_1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1_1">#REF!</definedName>
    <definedName name="Поправочные_коэффициенты_по_письму_Госстроя_от_25.12.90___4___3_1_1_1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3_5_1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4_1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5_1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1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1">#REF!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1_1">NA()</definedName>
    <definedName name="Поправочные_коэффициенты_по_письму_Госстроя_от_25.12.90___4_3">#REF!</definedName>
    <definedName name="Поправочные_коэффициенты_по_письму_Госстроя_от_25.12.90___4_3_1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4_5_1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0___0___0_1">#REF!</definedName>
    <definedName name="Поправочные_коэффициенты_по_письму_Госстроя_от_25.12.90___5___0___0___0_1">#REF!</definedName>
    <definedName name="Поправочные_коэффициенты_по_письму_Госстроя_от_25.12.90___5___0___0_1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1_1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__5_1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1_1">#REF!</definedName>
    <definedName name="Поправочные_коэффициенты_по_письму_Госстроя_от_25.12.90___5___0_1_1_1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3_1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0_5_1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1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1_1">#REF!</definedName>
    <definedName name="Поправочные_коэффициенты_по_письму_Госстроя_от_25.12.90___5_1_1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0___0___0_1">#REF!</definedName>
    <definedName name="Поправочные_коэффициенты_по_письму_Госстроя_от_25.12.90___6___0___0___0_1">#REF!</definedName>
    <definedName name="Поправочные_коэффициенты_по_письму_Госстроя_от_25.12.90___6___0___0_1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1_1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__5_1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1_1">#REF!</definedName>
    <definedName name="Поправочные_коэффициенты_по_письму_Госстроя_от_25.12.90___6___0_1_1_1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3_1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0_5_1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0_1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2_1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4_1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1">#REF!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1">#REF!</definedName>
    <definedName name="Поправочные_коэффициенты_по_письму_Госстроя_от_25.12.90___6_1">#REF!</definedName>
    <definedName name="Поправочные_коэффициенты_по_письму_Госстроя_от_25.12.90___6_1_1">#REF!</definedName>
    <definedName name="Поправочные_коэффициенты_по_письму_Госстроя_от_25.12.90___6_1_1_1">#REF!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3_1">#REF!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1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7_1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0___0___0_1">#REF!</definedName>
    <definedName name="Поправочные_коэффициенты_по_письму_Госстроя_от_25.12.90___8___0___0___0_1">#REF!</definedName>
    <definedName name="Поправочные_коэффициенты_по_письму_Госстроя_от_25.12.90___8___0___0_1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1_1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__5_1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1_1">#REF!</definedName>
    <definedName name="Поправочные_коэффициенты_по_письму_Госстроя_от_25.12.90___8___0_1_1_1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3_1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0_5_1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0_1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2_1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4_1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5_1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1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1">#REF!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1_1">#REF!</definedName>
    <definedName name="Поправочные_коэффициенты_по_письму_Госстроя_от_25.12.90___8_1_1_1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3_1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8_5_1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0___0___0_1">#REF!</definedName>
    <definedName name="Поправочные_коэффициенты_по_письму_Госстроя_от_25.12.90___9___0___0___0_1">#REF!</definedName>
    <definedName name="Поправочные_коэффициенты_по_письму_Госстроя_от_25.12.90___9___0___0_1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__5_1">#REF!</definedName>
    <definedName name="Поправочные_коэффициенты_по_письму_Госстроя_от_25.12.90___9___0_1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0_5_1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5_1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1_1">#REF!</definedName>
    <definedName name="Поправочные_коэффициенты_по_письму_Госстроя_от_25.12.90___9_1_1_1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3_1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__9_5_1">#REF!</definedName>
    <definedName name="Поправочные_коэффициенты_по_письму_Госстроя_от_25.12.90_1">NA()</definedName>
    <definedName name="Поправочные_коэффициенты_по_письму_Госстроя_от_25.12.90_1_1">#REF!</definedName>
    <definedName name="Поправочные_коэффициенты_по_письму_Госстроя_от_25.12.90_1_1_1">#REF!</definedName>
    <definedName name="Поправочные_коэффициенты_по_письму_Госстроя_от_25.12.90_3">NA()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ор" hidden="1">{#N/A,#N/A,TRUE,"Смета на пасс. обор. №1"}</definedName>
    <definedName name="пор_1" hidden="1">{#N/A,#N/A,TRUE,"Смета на пасс. обор. №1"}</definedName>
    <definedName name="пояснит.">#REF!</definedName>
    <definedName name="ппп">#REF!</definedName>
    <definedName name="пппп" localSheetId="0">#REF!</definedName>
    <definedName name="пппп" localSheetId="11">#REF!</definedName>
    <definedName name="пппп">#REF!</definedName>
    <definedName name="пр" localSheetId="11">[30]топография!#REF!</definedName>
    <definedName name="пр">[2]топография!#REF!</definedName>
    <definedName name="приб">[4]Управление!$AE$20</definedName>
    <definedName name="прибвб2">[4]Управление!$AF$20</definedName>
    <definedName name="про" hidden="1">{#N/A,#N/A,TRUE,"Смета на пасс. обор. №1"}</definedName>
    <definedName name="про_1" hidden="1">{#N/A,#N/A,TRUE,"Смета на пасс. обор. №1"}</definedName>
    <definedName name="пробная" localSheetId="0">#REF!</definedName>
    <definedName name="пробная" localSheetId="11">#REF!</definedName>
    <definedName name="пробная">#REF!</definedName>
    <definedName name="пробная_1">#REF!</definedName>
    <definedName name="Прогноз_Вып_пц">[14]рабочий!$Y$240:$AP$262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0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1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>#REF!</definedName>
    <definedName name="Проектные2" localSheetId="11">#REF!</definedName>
    <definedName name="Проектные2">#REF!</definedName>
    <definedName name="прол" hidden="1">{#N/A,#N/A,TRUE,"Смета на пасс. обор. №1"}</definedName>
    <definedName name="пролдж" hidden="1">{#N/A,#N/A,TRUE,"Смета на пасс. обор. №1"}</definedName>
    <definedName name="пролдж_1" hidden="1">{#N/A,#N/A,TRUE,"Смета на пасс. обор. №1"}</definedName>
    <definedName name="промбез">[2]топография!#REF!</definedName>
    <definedName name="Промбезоп">#REF!</definedName>
    <definedName name="Прот">'[15]Лист опроса'!$B$6</definedName>
    <definedName name="протоколРМВК">#REF!</definedName>
    <definedName name="пуск">#REF!</definedName>
    <definedName name="р">#REF!</definedName>
    <definedName name="Расчёт1">'[44]Смета 7'!$F$1</definedName>
    <definedName name="ргл">#REF!</definedName>
    <definedName name="РД">#REF!</definedName>
    <definedName name="рек" localSheetId="0">#REF!</definedName>
    <definedName name="рек" localSheetId="11">#REF!</definedName>
    <definedName name="рек">#REF!</definedName>
    <definedName name="рига">'[45]СметаСводная снег'!$E$7</definedName>
    <definedName name="рл">[2]топография!#REF!</definedName>
    <definedName name="рол" hidden="1">{#N/A,#N/A,TRUE,"Смета на пасс. обор. №1"}</definedName>
    <definedName name="рол_1" hidden="1">{#N/A,#N/A,TRUE,"Смета на пасс. обор. №1"}</definedName>
    <definedName name="роло">#REF!</definedName>
    <definedName name="ропгнлпеглн">#REF!</definedName>
    <definedName name="рот">#REF!</definedName>
    <definedName name="рпв">#REF!</definedName>
    <definedName name="рр" hidden="1">{#N/A,#N/A,TRUE,"Смета на пасс. обор. №1"}</definedName>
    <definedName name="рр_1" hidden="1">{#N/A,#N/A,TRUE,"Смета на пасс. обор. №1"}</definedName>
    <definedName name="РРК" localSheetId="11">#REF!</definedName>
    <definedName name="РРК">#REF!</definedName>
    <definedName name="РСЛ" localSheetId="11">#REF!</definedName>
    <definedName name="РСЛ">#REF!</definedName>
    <definedName name="Руководитель">#REF!</definedName>
    <definedName name="Руководитель_1">#REF!</definedName>
    <definedName name="С" localSheetId="0" hidden="1">{#N/A,#N/A,FALSE,"Шаблон_Спец1"}</definedName>
    <definedName name="С" localSheetId="13" hidden="1">{#N/A,#N/A,FALSE,"Шаблон_Спец1"}</definedName>
    <definedName name="С" localSheetId="11" hidden="1">{#N/A,#N/A,FALSE,"Шаблон_Спец1"}</definedName>
    <definedName name="С" localSheetId="6" hidden="1">{#N/A,#N/A,FALSE,"Шаблон_Спец1"}</definedName>
    <definedName name="С" hidden="1">{#N/A,#N/A,FALSE,"Шаблон_Спец1"}</definedName>
    <definedName name="с_1" hidden="1">{#N/A,#N/A,TRUE,"Смета на пасс. обор. №1"}</definedName>
    <definedName name="с1" localSheetId="0">#REF!</definedName>
    <definedName name="с1">#REF!</definedName>
    <definedName name="с10" localSheetId="0">#REF!</definedName>
    <definedName name="с10" localSheetId="11">#REF!</definedName>
    <definedName name="с10">#REF!</definedName>
    <definedName name="с2" localSheetId="0">#REF!</definedName>
    <definedName name="с2" localSheetId="11">#REF!</definedName>
    <definedName name="с2">#REF!</definedName>
    <definedName name="с3" localSheetId="0">#REF!</definedName>
    <definedName name="с3" localSheetId="11">#REF!</definedName>
    <definedName name="с3">#REF!</definedName>
    <definedName name="с4" localSheetId="0">#REF!</definedName>
    <definedName name="с4" localSheetId="11">#REF!</definedName>
    <definedName name="с4">#REF!</definedName>
    <definedName name="с5" localSheetId="0">#REF!</definedName>
    <definedName name="с5" localSheetId="11">#REF!</definedName>
    <definedName name="с5">#REF!</definedName>
    <definedName name="с6" localSheetId="0">#REF!</definedName>
    <definedName name="с6" localSheetId="11">#REF!</definedName>
    <definedName name="с6">#REF!</definedName>
    <definedName name="с7" localSheetId="0">#REF!</definedName>
    <definedName name="с7" localSheetId="11">#REF!</definedName>
    <definedName name="с7">#REF!</definedName>
    <definedName name="с8" localSheetId="0">#REF!</definedName>
    <definedName name="с8" localSheetId="11">#REF!</definedName>
    <definedName name="с8">#REF!</definedName>
    <definedName name="с9" localSheetId="0">#REF!</definedName>
    <definedName name="с9" localSheetId="11">#REF!</definedName>
    <definedName name="с9">#REF!</definedName>
    <definedName name="сам" hidden="1">{#N/A,#N/A,TRUE,"Смета на пасс. обор. №1"}</definedName>
    <definedName name="сам_1" hidden="1">{#N/A,#N/A,TRUE,"Смета на пасс. обор. №1"}</definedName>
    <definedName name="СВ1">#REF!</definedName>
    <definedName name="свод1" localSheetId="11">[46]топография!#REF!</definedName>
    <definedName name="Свод1">#REF!</definedName>
    <definedName name="Сводная" localSheetId="11">#REF!</definedName>
    <definedName name="Сводная">#REF!</definedName>
    <definedName name="Сводная_новая1" localSheetId="11">#REF!</definedName>
    <definedName name="Сводная_новая1">#REF!</definedName>
    <definedName name="Сводная1">#REF!</definedName>
    <definedName name="Сводно_сметный_расчет">#REF!</definedName>
    <definedName name="Сводно_сметный_расчет_49">#REF!</definedName>
    <definedName name="Сводно_сметный_расчет_50">#REF!</definedName>
    <definedName name="Сводно_сметный_расчет_51">#REF!</definedName>
    <definedName name="Сводно_сметный_расчет_52">#REF!</definedName>
    <definedName name="Сводно_сметный_расчет_53">#REF!</definedName>
    <definedName name="Сводно_сметный_расчет_54">#REF!</definedName>
    <definedName name="сврд">[2]топография!#REF!</definedName>
    <definedName name="СВсм">[16]Вспомогательный!$D$36</definedName>
    <definedName name="сев" localSheetId="0">#REF!</definedName>
    <definedName name="сев" localSheetId="11">#REF!</definedName>
    <definedName name="сев">#REF!</definedName>
    <definedName name="Север" localSheetId="11">#REF!</definedName>
    <definedName name="Север">#REF!</definedName>
    <definedName name="Семь">#REF!</definedName>
    <definedName name="СМ">#REF!</definedName>
    <definedName name="см.расч.Ставрополь">#REF!</definedName>
    <definedName name="см.расч.Ставрополь_1">#REF!</definedName>
    <definedName name="см.расч.Ставрополь_2">#REF!</definedName>
    <definedName name="см.расч.Ставрополь_22">#REF!</definedName>
    <definedName name="см.расч.Ставрополь_49">#REF!</definedName>
    <definedName name="см.расч.Ставрополь_5">#REF!</definedName>
    <definedName name="см.расч.Ставрополь_50">#REF!</definedName>
    <definedName name="см.расч.Ставрополь_51">#REF!</definedName>
    <definedName name="см.расч.Ставрополь_52">#REF!</definedName>
    <definedName name="см.расч.Ставрополь_53">#REF!</definedName>
    <definedName name="см.расч.Ставрополь_54">#REF!</definedName>
    <definedName name="см.расчетАстрахань">#REF!</definedName>
    <definedName name="см.расчетАстрахань_1">#REF!</definedName>
    <definedName name="см.расчетАстрахань_2">#REF!</definedName>
    <definedName name="см.расчетАстрахань_22">#REF!</definedName>
    <definedName name="см.расчетАстрахань_49">#REF!</definedName>
    <definedName name="см.расчетАстрахань_5">#REF!</definedName>
    <definedName name="см.расчетАстрахань_50">#REF!</definedName>
    <definedName name="см.расчетАстрахань_51">#REF!</definedName>
    <definedName name="см.расчетАстрахань_52">#REF!</definedName>
    <definedName name="см.расчетАстрахань_53">#REF!</definedName>
    <definedName name="см.расчетАстрахань_54">#REF!</definedName>
    <definedName name="см.расчетМахачкала">#REF!</definedName>
    <definedName name="см.расчетМахачкала_1">#REF!</definedName>
    <definedName name="см.расчетМахачкала_2">#REF!</definedName>
    <definedName name="см.расчетМахачкала_22">#REF!</definedName>
    <definedName name="см.расчетМахачкала_49">#REF!</definedName>
    <definedName name="см.расчетМахачкала_5">#REF!</definedName>
    <definedName name="см.расчетМахачкала_50">#REF!</definedName>
    <definedName name="см.расчетМахачкала_51">#REF!</definedName>
    <definedName name="см.расчетМахачкала_52">#REF!</definedName>
    <definedName name="см.расчетМахачкала_53">#REF!</definedName>
    <definedName name="см.расчетМахачкала_54">#REF!</definedName>
    <definedName name="см.расчетН.Новгород">#REF!</definedName>
    <definedName name="см.расчетН.Новгород_1">#REF!</definedName>
    <definedName name="см.расчетН.Новгород_2">#REF!</definedName>
    <definedName name="см.расчетН.Новгород_22">#REF!</definedName>
    <definedName name="см.расчетН.Новгород_49">#REF!</definedName>
    <definedName name="см.расчетН.Новгород_5">#REF!</definedName>
    <definedName name="см.расчетН.Новгород_50">#REF!</definedName>
    <definedName name="см.расчетН.Новгород_51">#REF!</definedName>
    <definedName name="см.расчетН.Новгород_52">#REF!</definedName>
    <definedName name="см.расчетН.Новгород_53">#REF!</definedName>
    <definedName name="см.расчетН.Новгород_54">#REF!</definedName>
    <definedName name="см_1">#REF!</definedName>
    <definedName name="см_конк" localSheetId="0">#REF!</definedName>
    <definedName name="см_конк" localSheetId="11">#REF!</definedName>
    <definedName name="см_конк">#REF!</definedName>
    <definedName name="См6">'[47]Смета 7'!$F$1</definedName>
    <definedName name="Смет" hidden="1">{#N/A,#N/A,TRUE,"Смета на пасс. обор. №1"}</definedName>
    <definedName name="Смет_1" hidden="1">{#N/A,#N/A,TRUE,"Смета на пасс. обор. №1"}</definedName>
    <definedName name="смета" hidden="1">{#N/A,#N/A,TRUE,"Смета на пасс. обор. №1"}</definedName>
    <definedName name="смета_1" hidden="1">{#N/A,#N/A,TRUE,"Смета на пасс. обор. №1"}</definedName>
    <definedName name="Смета_2">'[44]Смета 7'!$F$1</definedName>
    <definedName name="смета1">#REF!</definedName>
    <definedName name="Смета11">'[48]Смета 7'!$F$1</definedName>
    <definedName name="Смета21">'[49]Смета 7'!$F$1</definedName>
    <definedName name="Смета3">[16]Вспомогательный!$D$78</definedName>
    <definedName name="сми">#REF!</definedName>
    <definedName name="Согласование">#REF!</definedName>
    <definedName name="Согласование_1">#REF!</definedName>
    <definedName name="содерж.">#REF!</definedName>
    <definedName name="Содерж_Осн_Базы" localSheetId="11">#REF!</definedName>
    <definedName name="Содерж_Осн_Базы">#REF!</definedName>
    <definedName name="Составитель">#REF!</definedName>
    <definedName name="Составитель_1">#REF!</definedName>
    <definedName name="сп1" localSheetId="0">#REF!</definedName>
    <definedName name="сп1" localSheetId="11">#REF!</definedName>
    <definedName name="сп1">#REF!</definedName>
    <definedName name="сп2" localSheetId="0">#REF!</definedName>
    <definedName name="сп2" localSheetId="11">#REF!</definedName>
    <definedName name="сп2">#REF!</definedName>
    <definedName name="сс" hidden="1">{#N/A,#N/A,TRUE,"Смета на пасс. обор. №1"}</definedName>
    <definedName name="сс_1" hidden="1">{#N/A,#N/A,TRUE,"Смета на пасс. обор. №1"}</definedName>
    <definedName name="ссп" hidden="1">{#N/A,#N/A,TRUE,"Смета на пасс. обор. №1"}</definedName>
    <definedName name="ссп_1" hidden="1">{#N/A,#N/A,TRUE,"Смета на пасс. обор. №1"}</definedName>
    <definedName name="ССР">#REF!</definedName>
    <definedName name="ССР_ИИ_Д1_корр">#REF!</definedName>
    <definedName name="ссс">#REF!</definedName>
    <definedName name="ссср">#REF!</definedName>
    <definedName name="ссссс" hidden="1">{#N/A,#N/A,TRUE,"Смета на пасс. обор. №1"}</definedName>
    <definedName name="ссссс_1" hidden="1">{#N/A,#N/A,TRUE,"Смета на пасс. обор. №1"}</definedName>
    <definedName name="Ставрополь">#REF!</definedName>
    <definedName name="Ставрополь_1">#REF!</definedName>
    <definedName name="Ставрополь_2">#REF!</definedName>
    <definedName name="Ставрополь_22">#REF!</definedName>
    <definedName name="Ставрополь_49">#REF!</definedName>
    <definedName name="Ставрополь_5">#REF!</definedName>
    <definedName name="Ставрополь_50">#REF!</definedName>
    <definedName name="Ставрополь_51">#REF!</definedName>
    <definedName name="Ставрополь_52">#REF!</definedName>
    <definedName name="Ставрополь_53">#REF!</definedName>
    <definedName name="Ставрополь_54">#REF!</definedName>
    <definedName name="Станц10">'[15]Лист опроса'!$B$23</definedName>
    <definedName name="СтОф">NA()</definedName>
    <definedName name="СтОф_1">NA()</definedName>
    <definedName name="СтОф_2">NA()</definedName>
    <definedName name="СтПр">NA()</definedName>
    <definedName name="СтПр_1">NA()</definedName>
    <definedName name="СтПр_2">NA()</definedName>
    <definedName name="Стр10">'[15]Лист опроса'!$B$24</definedName>
    <definedName name="СтрАУ">'[15]Лист опроса'!$B$12</definedName>
    <definedName name="СтрДУ">'[15]Лист опроса'!$B$11</definedName>
    <definedName name="Стрелки">'[15]Лист опроса'!$B$10</definedName>
    <definedName name="Строительная_полоса">#REF!</definedName>
    <definedName name="Строительная_полоса_1">#REF!</definedName>
    <definedName name="структ.">#REF!</definedName>
    <definedName name="суда">[12]!суда</definedName>
    <definedName name="Сургут">NA()</definedName>
    <definedName name="сусусу" hidden="1">{#N/A,#N/A,TRUE,"Смета на пасс. обор. №1"}</definedName>
    <definedName name="сусусу_1" hidden="1">{#N/A,#N/A,TRUE,"Смета на пасс. обор. №1"}</definedName>
    <definedName name="Т5" localSheetId="11">#REF!</definedName>
    <definedName name="Т5">#REF!</definedName>
    <definedName name="Т6" localSheetId="11">#REF!</definedName>
    <definedName name="Т6">#REF!</definedName>
    <definedName name="тасс" hidden="1">{#N/A,#N/A,TRUE,"Смета на пасс. обор. №1"}</definedName>
    <definedName name="тасс_1" hidden="1">{#N/A,#N/A,TRUE,"Смета на пасс. обор. №1"}</definedName>
    <definedName name="ТекДата">[50]информация!$B$8</definedName>
    <definedName name="ТекДата_1">[51]информация!$B$8</definedName>
    <definedName name="ТекДата_2">[52]информация!$B$8</definedName>
    <definedName name="теодкккккккккккк" localSheetId="11">#REF!</definedName>
    <definedName name="теодкккккккккккк">#REF!</definedName>
    <definedName name="ТолкоМашЛаб">[31]СмМашБур!#REF!</definedName>
    <definedName name="ТолькоМашБур">[31]СмМашБур!#REF!</definedName>
    <definedName name="ТолькоРучБур">[31]СмРучБур!#REF!</definedName>
    <definedName name="ТолькоРучЛаб">[31]СмРучБур!$K$39</definedName>
    <definedName name="топ1">#REF!</definedName>
    <definedName name="топ2">#REF!</definedName>
    <definedName name="топо">#REF!</definedName>
    <definedName name="топо_1">#REF!</definedName>
    <definedName name="топогр1">#REF!</definedName>
    <definedName name="топограф">#REF!</definedName>
    <definedName name="тор">#REF!</definedName>
    <definedName name="трп" hidden="1">{#N/A,#N/A,TRUE,"Смета на пасс. обор. №1"}</definedName>
    <definedName name="трп_1" hidden="1">{#N/A,#N/A,TRUE,"Смета на пасс. обор. №1"}</definedName>
    <definedName name="ТС1">#REF!</definedName>
    <definedName name="тыс">{0,"тысячz";1,"тысячаz";2,"тысячиz";5,"тысячz"}</definedName>
    <definedName name="тьбю">#REF!</definedName>
    <definedName name="ТЭО">#REF!</definedName>
    <definedName name="ТЭО1">#REF!</definedName>
    <definedName name="ТЭО2">#REF!</definedName>
    <definedName name="ТЭОДКК">#REF!</definedName>
    <definedName name="ТЭОДККК">#REF!</definedName>
    <definedName name="ук" hidden="1">{#N/A,#N/A,TRUE,"Смета на пасс. обор. №1"}</definedName>
    <definedName name="ук_1" hidden="1">{#N/A,#N/A,TRUE,"Смета на пасс. обор. №1"}</definedName>
    <definedName name="уукк">#REF!</definedName>
    <definedName name="ууу">#REF!</definedName>
    <definedName name="уцуц">#REF!</definedName>
    <definedName name="Участок">#REF!</definedName>
    <definedName name="Участок_1">#REF!</definedName>
    <definedName name="уы" hidden="1">{#N/A,#N/A,TRUE,"Смета на пасс. обор. №1"}</definedName>
    <definedName name="уы_1" hidden="1">{#N/A,#N/A,TRUE,"Смета на пасс. обор. №1"}</definedName>
    <definedName name="ф" hidden="1">{#N/A,#N/A,TRUE,"Смета на пасс. обор. №1"}</definedName>
    <definedName name="ф_1" hidden="1">{#N/A,#N/A,TRUE,"Смета на пасс. обор. №1"}</definedName>
    <definedName name="фо_а_н_пц">[14]рабочий!$AR$240:$BI$263</definedName>
    <definedName name="фо_а_с_пц">[14]рабочий!$AS$202:$BI$224</definedName>
    <definedName name="фо_н_03">[14]рабочий!$X$305:$X$327</definedName>
    <definedName name="фо_н_04">[14]рабочий!$X$335:$X$357</definedName>
    <definedName name="ффыв">#REF!</definedName>
    <definedName name="фы">[2]топография!#REF!</definedName>
    <definedName name="фыв" hidden="1">{#N/A,#N/A,TRUE,"Смета на пасс. обор. №1"}</definedName>
    <definedName name="фыв_1" hidden="1">{#N/A,#N/A,TRUE,"Смета на пасс. обор. №1"}</definedName>
    <definedName name="хэ" hidden="1">{#N/A,#N/A,TRUE,"Смета на пасс. обор. №1"}</definedName>
    <definedName name="хэ_1" hidden="1">{#N/A,#N/A,TRUE,"Смета на пасс. обор. №1"}</definedName>
    <definedName name="цвет" hidden="1">{#N/A,#N/A,TRUE,"Смета на пасс. обор. №1"}</definedName>
    <definedName name="цвет_1" hidden="1">{#N/A,#N/A,TRUE,"Смета на пасс. обор. №1"}</definedName>
    <definedName name="цена">#N/A</definedName>
    <definedName name="цена___0">#REF!</definedName>
    <definedName name="цена___0___0">#REF!</definedName>
    <definedName name="цена___0___0___0">#REF!</definedName>
    <definedName name="цена___0___0___0___0">#REF!</definedName>
    <definedName name="цена___0___0___0___0___0">#REF!</definedName>
    <definedName name="цена___0___0___0___0___0_1">#REF!</definedName>
    <definedName name="цена___0___0___0___0_1">#REF!</definedName>
    <definedName name="цена___0___0___0___1">#REF!</definedName>
    <definedName name="цена___0___0___0___1_1">#REF!</definedName>
    <definedName name="цена___0___0___0___5">#REF!</definedName>
    <definedName name="цена___0___0___0___5_1">#REF!</definedName>
    <definedName name="цена___0___0___0_1">#REF!</definedName>
    <definedName name="цена___0___0___0_1_1">#REF!</definedName>
    <definedName name="цена___0___0___0_1_1_1">#REF!</definedName>
    <definedName name="цена___0___0___0_5">#REF!</definedName>
    <definedName name="цена___0___0___0_5_1">#REF!</definedName>
    <definedName name="цена___0___0___1">#REF!</definedName>
    <definedName name="цена___0___0___1_1">#REF!</definedName>
    <definedName name="цена___0___0___2">#REF!</definedName>
    <definedName name="цена___0___0___2_1">#REF!</definedName>
    <definedName name="цена___0___0___3">#REF!</definedName>
    <definedName name="цена___0___0___3_1">#REF!</definedName>
    <definedName name="цена___0___0___4">#REF!</definedName>
    <definedName name="цена___0___0___4_1">#REF!</definedName>
    <definedName name="цена___0___0___5">#REF!</definedName>
    <definedName name="цена___0___0___5_1">#REF!</definedName>
    <definedName name="цена___0___0_1">#REF!</definedName>
    <definedName name="цена___0___0_1_1">#REF!</definedName>
    <definedName name="цена___0___0_1_1_1">#REF!</definedName>
    <definedName name="цена___0___0_3">#REF!</definedName>
    <definedName name="цена___0___0_3_1">#REF!</definedName>
    <definedName name="цена___0___0_5">#REF!</definedName>
    <definedName name="цена___0___0_5_1">#REF!</definedName>
    <definedName name="цена___0___1">#REF!</definedName>
    <definedName name="цена___0___1___0">#REF!</definedName>
    <definedName name="цена___0___1___0_1">#REF!</definedName>
    <definedName name="цена___0___1_1">#REF!</definedName>
    <definedName name="цена___0___10">#REF!</definedName>
    <definedName name="цена___0___10_1">#REF!</definedName>
    <definedName name="цена___0___12">#REF!</definedName>
    <definedName name="цена___0___2">#REF!</definedName>
    <definedName name="цена___0___2___0">#REF!</definedName>
    <definedName name="цена___0___2___0___0">#REF!</definedName>
    <definedName name="цена___0___2___0___0_1">#REF!</definedName>
    <definedName name="цена___0___2___0_1">#REF!</definedName>
    <definedName name="цена___0___2___5">#REF!</definedName>
    <definedName name="цена___0___2___5_1">#REF!</definedName>
    <definedName name="цена___0___2_1">#REF!</definedName>
    <definedName name="цена___0___2_1_1">#REF!</definedName>
    <definedName name="цена___0___2_1_1_1">#REF!</definedName>
    <definedName name="цена___0___2_3">#REF!</definedName>
    <definedName name="цена___0___2_3_1">#REF!</definedName>
    <definedName name="цена___0___2_5">#REF!</definedName>
    <definedName name="цена___0___2_5_1">#REF!</definedName>
    <definedName name="цена___0___3">#REF!</definedName>
    <definedName name="цена___0___3___0">#REF!</definedName>
    <definedName name="цена___0___3___0_1">#REF!</definedName>
    <definedName name="цена___0___3___5">#REF!</definedName>
    <definedName name="цена___0___3___5_1">#REF!</definedName>
    <definedName name="цена___0___3_1">#REF!</definedName>
    <definedName name="цена___0___3_1_1">#REF!</definedName>
    <definedName name="цена___0___3_1_1_1">#REF!</definedName>
    <definedName name="цена___0___3_5">#REF!</definedName>
    <definedName name="цена___0___3_5_1">#REF!</definedName>
    <definedName name="цена___0___4">#REF!</definedName>
    <definedName name="цена___0___4___0">#REF!</definedName>
    <definedName name="цена___0___4___0_1">#REF!</definedName>
    <definedName name="цена___0___4___5">#REF!</definedName>
    <definedName name="цена___0___4___5_1">#REF!</definedName>
    <definedName name="цена___0___4_1">#REF!</definedName>
    <definedName name="цена___0___4_1_1">#REF!</definedName>
    <definedName name="цена___0___4_1_1_1">#REF!</definedName>
    <definedName name="цена___0___4_3">#REF!</definedName>
    <definedName name="цена___0___4_3_1">#REF!</definedName>
    <definedName name="цена___0___4_5">#REF!</definedName>
    <definedName name="цена___0___4_5_1">#REF!</definedName>
    <definedName name="цена___0___5">#REF!</definedName>
    <definedName name="цена___0___5_1">#REF!</definedName>
    <definedName name="цена___0___6">#REF!</definedName>
    <definedName name="цена___0___6_1">#REF!</definedName>
    <definedName name="цена___0___8">#REF!</definedName>
    <definedName name="цена___0___8_1">#REF!</definedName>
    <definedName name="цена___0_1">#REF!</definedName>
    <definedName name="цена___0_1_1">#REF!</definedName>
    <definedName name="цена___0_3">#REF!</definedName>
    <definedName name="цена___0_3_1">#REF!</definedName>
    <definedName name="цена___0_5">#REF!</definedName>
    <definedName name="цена___0_5_1">#REF!</definedName>
    <definedName name="цена___1">#REF!</definedName>
    <definedName name="цена___1___0">#REF!</definedName>
    <definedName name="цена___1___0___0">#REF!</definedName>
    <definedName name="цена___1___0___0_1">#REF!</definedName>
    <definedName name="цена___1___0_1">#REF!</definedName>
    <definedName name="цена___1___1">#REF!</definedName>
    <definedName name="цена___1___1_1">#REF!</definedName>
    <definedName name="цена___1___5">#REF!</definedName>
    <definedName name="цена___1___5_1">#REF!</definedName>
    <definedName name="цена___1_1">#REF!</definedName>
    <definedName name="цена___1_1_1">#REF!</definedName>
    <definedName name="цена___1_1_1_1">#REF!</definedName>
    <definedName name="цена___1_3">#REF!</definedName>
    <definedName name="цена___1_3_1">#REF!</definedName>
    <definedName name="цена___1_5">#REF!</definedName>
    <definedName name="цена___1_5_1">#REF!</definedName>
    <definedName name="цена___10">#REF!</definedName>
    <definedName name="цена___10___0">NA()</definedName>
    <definedName name="цена___10___0___0">#REF!</definedName>
    <definedName name="цена___10___0___0___0">#REF!</definedName>
    <definedName name="цена___10___0___0___0_1">#REF!</definedName>
    <definedName name="цена___10___0___0_1">#REF!</definedName>
    <definedName name="цена___10___0___1">NA()</definedName>
    <definedName name="цена___10___0___5">NA()</definedName>
    <definedName name="цена___10___0_1">#REF!</definedName>
    <definedName name="цена___10___0_1_1">NA()</definedName>
    <definedName name="цена___10___0_3">NA()</definedName>
    <definedName name="цена___10___0_5">NA()</definedName>
    <definedName name="цена___10___1">#REF!</definedName>
    <definedName name="цена___10___10">#REF!</definedName>
    <definedName name="цена___10___12">#REF!</definedName>
    <definedName name="цена___10___2">NA()</definedName>
    <definedName name="цена___10___4">NA()</definedName>
    <definedName name="цена___10___5">#REF!</definedName>
    <definedName name="цена___10___5_1">#REF!</definedName>
    <definedName name="цена___10___6">NA()</definedName>
    <definedName name="цена___10___8">NA()</definedName>
    <definedName name="цена___10_1">NA()</definedName>
    <definedName name="цена___10_3">#REF!</definedName>
    <definedName name="цена___10_3_1">#REF!</definedName>
    <definedName name="цена___10_5">#REF!</definedName>
    <definedName name="цена___10_5_1">#REF!</definedName>
    <definedName name="цена___11">#REF!</definedName>
    <definedName name="цена___11___0">NA()</definedName>
    <definedName name="цена___11___10">#REF!</definedName>
    <definedName name="цена___11___2">#REF!</definedName>
    <definedName name="цена___11___4">#REF!</definedName>
    <definedName name="цена___11___6">#REF!</definedName>
    <definedName name="цена___11___8">#REF!</definedName>
    <definedName name="цена___11_1">#REF!</definedName>
    <definedName name="цена___12">NA()</definedName>
    <definedName name="цена___2">#REF!</definedName>
    <definedName name="цена___2___0">#REF!</definedName>
    <definedName name="цена___2___0___0">#REF!</definedName>
    <definedName name="цена___2___0___0___0">#REF!</definedName>
    <definedName name="цена___2___0___0___0___0">#REF!</definedName>
    <definedName name="цена___2___0___0___0___0_1">#REF!</definedName>
    <definedName name="цена___2___0___0___0_1">#REF!</definedName>
    <definedName name="цена___2___0___0___1">#REF!</definedName>
    <definedName name="цена___2___0___0___1_1">#REF!</definedName>
    <definedName name="цена___2___0___0___5">#REF!</definedName>
    <definedName name="цена___2___0___0___5_1">#REF!</definedName>
    <definedName name="цена___2___0___0_1">#REF!</definedName>
    <definedName name="цена___2___0___0_1_1">#REF!</definedName>
    <definedName name="цена___2___0___0_1_1_1">#REF!</definedName>
    <definedName name="цена___2___0___0_5">#REF!</definedName>
    <definedName name="цена___2___0___0_5_1">#REF!</definedName>
    <definedName name="цена___2___0___1">#REF!</definedName>
    <definedName name="цена___2___0___1_1">#REF!</definedName>
    <definedName name="цена___2___0___5">#REF!</definedName>
    <definedName name="цена___2___0___5_1">#REF!</definedName>
    <definedName name="цена___2___0_1">#REF!</definedName>
    <definedName name="цена___2___0_1_1">#REF!</definedName>
    <definedName name="цена___2___0_1_1_1">#REF!</definedName>
    <definedName name="цена___2___0_3">#REF!</definedName>
    <definedName name="цена___2___0_3_1">#REF!</definedName>
    <definedName name="цена___2___0_5">#REF!</definedName>
    <definedName name="цена___2___0_5_1">#REF!</definedName>
    <definedName name="цена___2___1">#REF!</definedName>
    <definedName name="цена___2___1_1">#REF!</definedName>
    <definedName name="цена___2___10">#REF!</definedName>
    <definedName name="цена___2___10_1">#REF!</definedName>
    <definedName name="цена___2___12">#REF!</definedName>
    <definedName name="цена___2___2">#REF!</definedName>
    <definedName name="цена___2___2_1">#REF!</definedName>
    <definedName name="цена___2___3">#REF!</definedName>
    <definedName name="цена___2___4">#REF!</definedName>
    <definedName name="цена___2___4___0">#REF!</definedName>
    <definedName name="цена___2___4___0_1">#REF!</definedName>
    <definedName name="цена___2___4___5">#REF!</definedName>
    <definedName name="цена___2___4___5_1">#REF!</definedName>
    <definedName name="цена___2___4_1">#REF!</definedName>
    <definedName name="цена___2___4_1_1">#REF!</definedName>
    <definedName name="цена___2___4_1_1_1">#REF!</definedName>
    <definedName name="цена___2___4_3">#REF!</definedName>
    <definedName name="цена___2___4_3_1">#REF!</definedName>
    <definedName name="цена___2___4_5">#REF!</definedName>
    <definedName name="цена___2___4_5_1">#REF!</definedName>
    <definedName name="цена___2___5">#REF!</definedName>
    <definedName name="цена___2___5_1">#REF!</definedName>
    <definedName name="цена___2___6">#REF!</definedName>
    <definedName name="цена___2___6_1">#REF!</definedName>
    <definedName name="цена___2___8">#REF!</definedName>
    <definedName name="цена___2___8_1">#REF!</definedName>
    <definedName name="цена___2_1">#REF!</definedName>
    <definedName name="цена___2_1_1">#REF!</definedName>
    <definedName name="цена___2_1_1_1">#REF!</definedName>
    <definedName name="цена___2_3">#REF!</definedName>
    <definedName name="цена___2_3_1">#REF!</definedName>
    <definedName name="цена___2_5">#REF!</definedName>
    <definedName name="цена___2_5_1">#REF!</definedName>
    <definedName name="цена___3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5">#REF!</definedName>
    <definedName name="цена___3___0___5_1">#REF!</definedName>
    <definedName name="цена___3___0_1">#REF!</definedName>
    <definedName name="цена___3___0_1_1">NA()</definedName>
    <definedName name="цена___3___0_3">#REF!</definedName>
    <definedName name="цена___3___0_3_1">#REF!</definedName>
    <definedName name="цена___3___0_5">#REF!</definedName>
    <definedName name="цена___3___0_5_1">#REF!</definedName>
    <definedName name="цена___3___10">#REF!</definedName>
    <definedName name="цена___3___2">#REF!</definedName>
    <definedName name="цена___3___2_1">#REF!</definedName>
    <definedName name="цена___3___3">#REF!</definedName>
    <definedName name="цена___3___3_1">#REF!</definedName>
    <definedName name="цена___3___4">#REF!</definedName>
    <definedName name="цена___3___5">#REF!</definedName>
    <definedName name="цена___3___5_1">#REF!</definedName>
    <definedName name="цена___3___6">#REF!</definedName>
    <definedName name="цена___3___8">#REF!</definedName>
    <definedName name="цена___3_1">#REF!</definedName>
    <definedName name="цена___3_1_1">#REF!</definedName>
    <definedName name="цена___3_1_1_1">#REF!</definedName>
    <definedName name="цена___3_3">NA()</definedName>
    <definedName name="цена___3_5">#REF!</definedName>
    <definedName name="цена___3_5_1">#REF!</definedName>
    <definedName name="цена___4">#REF!</definedName>
    <definedName name="цена___4___0">NA()</definedName>
    <definedName name="цена___4___0___0">#REF!</definedName>
    <definedName name="цена___4___0___0___0">#REF!</definedName>
    <definedName name="цена___4___0___0___0___0">#REF!</definedName>
    <definedName name="цена___4___0___0___0___0_1">#REF!</definedName>
    <definedName name="цена___4___0___0___0_1">#REF!</definedName>
    <definedName name="цена___4___0___0___1">#REF!</definedName>
    <definedName name="цена___4___0___0___1_1">#REF!</definedName>
    <definedName name="цена___4___0___0___5">#REF!</definedName>
    <definedName name="цена___4___0___0___5_1">#REF!</definedName>
    <definedName name="цена___4___0___0_1">#REF!</definedName>
    <definedName name="цена___4___0___0_1_1">#REF!</definedName>
    <definedName name="цена___4___0___0_1_1_1">#REF!</definedName>
    <definedName name="цена___4___0___0_5">#REF!</definedName>
    <definedName name="цена___4___0___0_5_1">#REF!</definedName>
    <definedName name="цена___4___0___1">#REF!</definedName>
    <definedName name="цена___4___0___1_1">#REF!</definedName>
    <definedName name="цена___4___0___5">NA()</definedName>
    <definedName name="цена___4___0_1">#REF!</definedName>
    <definedName name="цена___4___0_1_1">#REF!</definedName>
    <definedName name="цена___4___0_1_1_1">#REF!</definedName>
    <definedName name="цена___4___0_3">#REF!</definedName>
    <definedName name="цена___4___0_3_1">#REF!</definedName>
    <definedName name="цена___4___0_5">NA()</definedName>
    <definedName name="цена___4___1">#REF!</definedName>
    <definedName name="цена___4___1_1">#REF!</definedName>
    <definedName name="цена___4___10">#REF!</definedName>
    <definedName name="цена___4___10_1">#REF!</definedName>
    <definedName name="цена___4___12">#REF!</definedName>
    <definedName name="цена___4___2">#REF!</definedName>
    <definedName name="цена___4___2_1">#REF!</definedName>
    <definedName name="цена___4___3">#REF!</definedName>
    <definedName name="цена___4___3_1">#REF!</definedName>
    <definedName name="цена___4___4">#REF!</definedName>
    <definedName name="цена___4___4_1">#REF!</definedName>
    <definedName name="цена___4___5">#REF!</definedName>
    <definedName name="цена___4___5_1">#REF!</definedName>
    <definedName name="цена___4___6">#REF!</definedName>
    <definedName name="цена___4___6_1">#REF!</definedName>
    <definedName name="цена___4___8">#REF!</definedName>
    <definedName name="цена___4___8_1">#REF!</definedName>
    <definedName name="цена___4_1">#REF!</definedName>
    <definedName name="цена___4_1_1">#REF!</definedName>
    <definedName name="цена___4_1_1_1">#REF!</definedName>
    <definedName name="цена___4_3">#REF!</definedName>
    <definedName name="цена___4_3_1">#REF!</definedName>
    <definedName name="цена___4_5">#REF!</definedName>
    <definedName name="цена___4_5_1">#REF!</definedName>
    <definedName name="цена___5">NA()</definedName>
    <definedName name="цена___5___0">#REF!</definedName>
    <definedName name="цена___5___0___0">#REF!</definedName>
    <definedName name="цена___5___0___0___0">#REF!</definedName>
    <definedName name="цена___5___0___0___0___0">#REF!</definedName>
    <definedName name="цена___5___0___0___0___0_1">#REF!</definedName>
    <definedName name="цена___5___0___0___0_1">#REF!</definedName>
    <definedName name="цена___5___0___0_1">#REF!</definedName>
    <definedName name="цена___5___0___1">#REF!</definedName>
    <definedName name="цена___5___0___1_1">#REF!</definedName>
    <definedName name="цена___5___0___5">#REF!</definedName>
    <definedName name="цена___5___0___5_1">#REF!</definedName>
    <definedName name="цена___5___0_1">#REF!</definedName>
    <definedName name="цена___5___0_1_1">#REF!</definedName>
    <definedName name="цена___5___0_1_1_1">#REF!</definedName>
    <definedName name="цена___5___0_3">#REF!</definedName>
    <definedName name="цена___5___0_3_1">#REF!</definedName>
    <definedName name="цена___5___0_5">#REF!</definedName>
    <definedName name="цена___5___0_5_1">#REF!</definedName>
    <definedName name="цена___5___1">#REF!</definedName>
    <definedName name="цена___5___1_1">#REF!</definedName>
    <definedName name="цена___5___3">NA()</definedName>
    <definedName name="цена___5___5">NA()</definedName>
    <definedName name="цена___5_1">#REF!</definedName>
    <definedName name="цена___5_1_1">#REF!</definedName>
    <definedName name="цена___5_1_1_1">#REF!</definedName>
    <definedName name="цена___5_3">NA()</definedName>
    <definedName name="цена___5_5">NA()</definedName>
    <definedName name="цена___6">NA()</definedName>
    <definedName name="цена___6___0">#REF!</definedName>
    <definedName name="цена___6___0___0">#REF!</definedName>
    <definedName name="цена___6___0___0___0">#REF!</definedName>
    <definedName name="цена___6___0___0___0___0">#REF!</definedName>
    <definedName name="цена___6___0___0___0___0_1">#REF!</definedName>
    <definedName name="цена___6___0___0___0_1">#REF!</definedName>
    <definedName name="цена___6___0___0_1">#REF!</definedName>
    <definedName name="цена___6___0___1">#REF!</definedName>
    <definedName name="цена___6___0___1_1">#REF!</definedName>
    <definedName name="цена___6___0___5">#REF!</definedName>
    <definedName name="цена___6___0___5_1">#REF!</definedName>
    <definedName name="цена___6___0_1">#REF!</definedName>
    <definedName name="цена___6___0_1_1">#REF!</definedName>
    <definedName name="цена___6___0_1_1_1">#REF!</definedName>
    <definedName name="цена___6___0_3">#REF!</definedName>
    <definedName name="цена___6___0_3_1">#REF!</definedName>
    <definedName name="цена___6___0_5">#REF!</definedName>
    <definedName name="цена___6___0_5_1">#REF!</definedName>
    <definedName name="цена___6___1">#REF!</definedName>
    <definedName name="цена___6___10">#REF!</definedName>
    <definedName name="цена___6___10_1">#REF!</definedName>
    <definedName name="цена___6___12">#REF!</definedName>
    <definedName name="цена___6___2">#REF!</definedName>
    <definedName name="цена___6___2_1">#REF!</definedName>
    <definedName name="цена___6___4">#REF!</definedName>
    <definedName name="цена___6___4_1">#REF!</definedName>
    <definedName name="цена___6___5">NA()</definedName>
    <definedName name="цена___6___6">#REF!</definedName>
    <definedName name="цена___6___6_1">#REF!</definedName>
    <definedName name="цена___6___8">#REF!</definedName>
    <definedName name="цена___6___8_1">#REF!</definedName>
    <definedName name="цена___6_1">#REF!</definedName>
    <definedName name="цена___6_1_1">#REF!</definedName>
    <definedName name="цена___6_1_1_1">#REF!</definedName>
    <definedName name="цена___6_3">#REF!</definedName>
    <definedName name="цена___6_3_1">#REF!</definedName>
    <definedName name="цена___6_5">NA()</definedName>
    <definedName name="цена___7">#REF!</definedName>
    <definedName name="цена___7___0">#REF!</definedName>
    <definedName name="цена___7___10">#REF!</definedName>
    <definedName name="цена___7___2">#REF!</definedName>
    <definedName name="цена___7___4">#REF!</definedName>
    <definedName name="цена___7___6">#REF!</definedName>
    <definedName name="цена___7___8">#REF!</definedName>
    <definedName name="цена___7_1">#REF!</definedName>
    <definedName name="цена___8">#REF!</definedName>
    <definedName name="цена___8___0">#REF!</definedName>
    <definedName name="цена___8___0___0">#REF!</definedName>
    <definedName name="цена___8___0___0___0">#REF!</definedName>
    <definedName name="цена___8___0___0___0___0">#REF!</definedName>
    <definedName name="цена___8___0___0___0___0_1">#REF!</definedName>
    <definedName name="цена___8___0___0___0_1">#REF!</definedName>
    <definedName name="цена___8___0___0_1">#REF!</definedName>
    <definedName name="цена___8___0___1">#REF!</definedName>
    <definedName name="цена___8___0___1_1">#REF!</definedName>
    <definedName name="цена___8___0___5">#REF!</definedName>
    <definedName name="цена___8___0___5_1">#REF!</definedName>
    <definedName name="цена___8___0_1">#REF!</definedName>
    <definedName name="цена___8___0_1_1">#REF!</definedName>
    <definedName name="цена___8___0_1_1_1">#REF!</definedName>
    <definedName name="цена___8___0_3">#REF!</definedName>
    <definedName name="цена___8___0_3_1">#REF!</definedName>
    <definedName name="цена___8___0_5">#REF!</definedName>
    <definedName name="цена___8___0_5_1">#REF!</definedName>
    <definedName name="цена___8___1">#REF!</definedName>
    <definedName name="цена___8___10">#REF!</definedName>
    <definedName name="цена___8___10_1">#REF!</definedName>
    <definedName name="цена___8___12">#REF!</definedName>
    <definedName name="цена___8___2">#REF!</definedName>
    <definedName name="цена___8___2_1">#REF!</definedName>
    <definedName name="цена___8___4">#REF!</definedName>
    <definedName name="цена___8___4_1">#REF!</definedName>
    <definedName name="цена___8___5">#REF!</definedName>
    <definedName name="цена___8___5_1">#REF!</definedName>
    <definedName name="цена___8___6">#REF!</definedName>
    <definedName name="цена___8___6_1">#REF!</definedName>
    <definedName name="цена___8___8">#REF!</definedName>
    <definedName name="цена___8___8_1">#REF!</definedName>
    <definedName name="цена___8_1">#REF!</definedName>
    <definedName name="цена___8_1_1">#REF!</definedName>
    <definedName name="цена___8_1_1_1">#REF!</definedName>
    <definedName name="цена___8_3">#REF!</definedName>
    <definedName name="цена___8_3_1">#REF!</definedName>
    <definedName name="цена___8_5">#REF!</definedName>
    <definedName name="цена___8_5_1">#REF!</definedName>
    <definedName name="цена___9">#REF!</definedName>
    <definedName name="цена___9___0">#REF!</definedName>
    <definedName name="цена___9___0___0">#REF!</definedName>
    <definedName name="цена___9___0___0___0">#REF!</definedName>
    <definedName name="цена___9___0___0___0___0">#REF!</definedName>
    <definedName name="цена___9___0___0___0___0_1">#REF!</definedName>
    <definedName name="цена___9___0___0___0_1">#REF!</definedName>
    <definedName name="цена___9___0___0_1">#REF!</definedName>
    <definedName name="цена___9___0___5">#REF!</definedName>
    <definedName name="цена___9___0___5_1">#REF!</definedName>
    <definedName name="цена___9___0_1">#REF!</definedName>
    <definedName name="цена___9___0_5">#REF!</definedName>
    <definedName name="цена___9___0_5_1">#REF!</definedName>
    <definedName name="цена___9___10">#REF!</definedName>
    <definedName name="цена___9___2">#REF!</definedName>
    <definedName name="цена___9___4">#REF!</definedName>
    <definedName name="цена___9___5">#REF!</definedName>
    <definedName name="цена___9___5_1">#REF!</definedName>
    <definedName name="цена___9___6">#REF!</definedName>
    <definedName name="цена___9___8">#REF!</definedName>
    <definedName name="цена___9_1">#REF!</definedName>
    <definedName name="цена___9_1_1">#REF!</definedName>
    <definedName name="цена___9_1_1_1">#REF!</definedName>
    <definedName name="цена___9_3">#REF!</definedName>
    <definedName name="цена___9_3_1">#REF!</definedName>
    <definedName name="цена___9_5">#REF!</definedName>
    <definedName name="цена___9_5_1">#REF!</definedName>
    <definedName name="цена_1">NA()</definedName>
    <definedName name="цена_1_1">NA()</definedName>
    <definedName name="цена_3">NA()</definedName>
    <definedName name="цена_4">NA()</definedName>
    <definedName name="цена_5">NA()</definedName>
    <definedName name="Цена1">#REF!</definedName>
    <definedName name="ЦенаМашБур">[31]СмМашБур!#REF!</definedName>
    <definedName name="ЦенаОбслед">[31]ОбмОбслЗемОд!$F$62</definedName>
    <definedName name="ЦенаРучБур">[31]СмРучБур!#REF!</definedName>
    <definedName name="ЦенаШурфов">#REF!</definedName>
    <definedName name="цуе" hidden="1">{#N/A,#N/A,TRUE,"Смета на пасс. обор. №1"}</definedName>
    <definedName name="цук">#REF!</definedName>
    <definedName name="ццц">#REF!</definedName>
    <definedName name="цы">#REF!</definedName>
    <definedName name="цы_1">#REF!</definedName>
    <definedName name="ч" hidden="1">{#N/A,#N/A,TRUE,"Смета на пасс. обор. №1"}</definedName>
    <definedName name="ч_1" hidden="1">{#N/A,#N/A,TRUE,"Смета на пасс. обор. №1"}</definedName>
    <definedName name="чс">#REF!</definedName>
    <definedName name="чсипа">[2]топография!#REF!</definedName>
    <definedName name="чть">#REF!</definedName>
    <definedName name="ш" hidden="1">{#N/A,#N/A,TRUE,"Смета на пасс. обор. №1"}</definedName>
    <definedName name="ш_1" hidden="1">{#N/A,#N/A,TRUE,"Смета на пасс. обор. №1"}</definedName>
    <definedName name="шгнкушгрдаы">#REF!</definedName>
    <definedName name="шгфуждлоэзшщ\ыфтм">#REF!</definedName>
    <definedName name="Шесть">#REF!</definedName>
    <definedName name="щщ">#REF!</definedName>
    <definedName name="ъхз">#REF!</definedName>
    <definedName name="ы" hidden="1">{#N/A,#N/A,TRUE,"Смета на пасс. обор. №1"}</definedName>
    <definedName name="ы_1" hidden="1">{#N/A,#N/A,TRUE,"Смета на пасс. обор. №1"}</definedName>
    <definedName name="ЫВGGGGGGGGGGGGGGG">#REF!</definedName>
    <definedName name="ыва" hidden="1">{#N/A,#N/A,TRUE,"Смета на пасс. обор. №1"}</definedName>
    <definedName name="ыва_1" hidden="1">{#N/A,#N/A,TRUE,"Смета на пасс. обор. №1"}</definedName>
    <definedName name="ыы">#REF!</definedName>
    <definedName name="ыы_1">#REF!</definedName>
    <definedName name="ыы_10">#REF!</definedName>
    <definedName name="ыы_11">#REF!</definedName>
    <definedName name="ыы_12">#REF!</definedName>
    <definedName name="ыы_13">#REF!</definedName>
    <definedName name="ыы_14">#REF!</definedName>
    <definedName name="ыы_15">#REF!</definedName>
    <definedName name="ыы_16">#REF!</definedName>
    <definedName name="ыы_17">#REF!</definedName>
    <definedName name="ыы_18">#REF!</definedName>
    <definedName name="ыы_19">#REF!</definedName>
    <definedName name="ыы_2">#REF!</definedName>
    <definedName name="ыы_20">#REF!</definedName>
    <definedName name="ыы_21">#REF!</definedName>
    <definedName name="ыы_49">#REF!</definedName>
    <definedName name="ыы_50">#REF!</definedName>
    <definedName name="ыы_51">#REF!</definedName>
    <definedName name="ыы_52">#REF!</definedName>
    <definedName name="ыы_53">#REF!</definedName>
    <definedName name="ыы_54">#REF!</definedName>
    <definedName name="ыы_6">#REF!</definedName>
    <definedName name="ыы_7">#REF!</definedName>
    <definedName name="ыы_8">#REF!</definedName>
    <definedName name="ыы_9">#REF!</definedName>
    <definedName name="ыыы">#REF!</definedName>
    <definedName name="ыяпр">[12]!ыяпр</definedName>
    <definedName name="э1">#REF!</definedName>
    <definedName name="эж">#REF!</definedName>
    <definedName name="эж_1">#REF!</definedName>
    <definedName name="эж_10">#REF!</definedName>
    <definedName name="эж_11">#REF!</definedName>
    <definedName name="эж_12">#REF!</definedName>
    <definedName name="эж_13">#REF!</definedName>
    <definedName name="эж_14">#REF!</definedName>
    <definedName name="эж_15">#REF!</definedName>
    <definedName name="эж_16">#REF!</definedName>
    <definedName name="эж_17">#REF!</definedName>
    <definedName name="эж_18">#REF!</definedName>
    <definedName name="эж_19">#REF!</definedName>
    <definedName name="эж_2">#REF!</definedName>
    <definedName name="эж_20">#REF!</definedName>
    <definedName name="эж_21">#REF!</definedName>
    <definedName name="эж_49">#REF!</definedName>
    <definedName name="эж_50">#REF!</definedName>
    <definedName name="эж_51">#REF!</definedName>
    <definedName name="эж_52">#REF!</definedName>
    <definedName name="эж_53">#REF!</definedName>
    <definedName name="эж_54">#REF!</definedName>
    <definedName name="эж_6">#REF!</definedName>
    <definedName name="эж_7">#REF!</definedName>
    <definedName name="эж_8">#REF!</definedName>
    <definedName name="эж_9">#REF!</definedName>
    <definedName name="эк">#REF!</definedName>
    <definedName name="эк1">#REF!</definedName>
    <definedName name="эко">#REF!</definedName>
    <definedName name="эко___0">#REF!</definedName>
    <definedName name="эко___0_1">#REF!</definedName>
    <definedName name="эко_1">#REF!</definedName>
    <definedName name="эко_5">#REF!</definedName>
    <definedName name="эко_5_1">#REF!</definedName>
    <definedName name="эко1">#REF!</definedName>
    <definedName name="экол.1">[2]топография!#REF!</definedName>
    <definedName name="экол1">#REF!</definedName>
    <definedName name="экол2">#REF!</definedName>
    <definedName name="Экол3">#REF!</definedName>
    <definedName name="эколог">#REF!</definedName>
    <definedName name="экология">NA()</definedName>
    <definedName name="экологияч">#REF!</definedName>
    <definedName name="эл" hidden="1">{#N/A,#N/A,TRUE,"Смета на пасс. обор. №1"}</definedName>
    <definedName name="эл_1" hidden="1">{#N/A,#N/A,TRUE,"Смета на пасс. обор. №1"}</definedName>
    <definedName name="эмс">[2]топография!#REF!</definedName>
    <definedName name="ю">#REF!</definedName>
    <definedName name="юб">#REF!</definedName>
    <definedName name="ЮФУ">#REF!</definedName>
    <definedName name="ЮФУ2">#REF!</definedName>
    <definedName name="ююю" hidden="1">{#N/A,#N/A,TRUE,"Смета на пасс. обор. №1"}</definedName>
    <definedName name="ююю_1" hidden="1">{#N/A,#N/A,TRUE,"Смета на пасс. обор. №1"}</definedName>
    <definedName name="я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4" l="1"/>
  <c r="B21" i="34"/>
  <c r="D21" i="34"/>
  <c r="D22" i="34" s="1"/>
  <c r="F14" i="34"/>
  <c r="C13" i="33" s="1"/>
  <c r="B13" i="33"/>
  <c r="D20" i="34"/>
  <c r="B20" i="34"/>
  <c r="D14" i="34"/>
  <c r="B14" i="34"/>
  <c r="D13" i="33" l="1"/>
  <c r="E13" i="33"/>
  <c r="G19" i="26" l="1"/>
  <c r="L230" i="28" l="1"/>
  <c r="F132" i="10"/>
  <c r="F197" i="3"/>
  <c r="E216" i="3"/>
  <c r="E215" i="3"/>
  <c r="E214" i="3"/>
  <c r="E213" i="3"/>
  <c r="E212" i="3"/>
  <c r="E211" i="3"/>
  <c r="E210" i="3"/>
  <c r="E209" i="3"/>
  <c r="E208" i="3"/>
  <c r="E207" i="3"/>
  <c r="E206" i="3"/>
  <c r="E204" i="3"/>
  <c r="E203" i="3"/>
  <c r="E202" i="3"/>
  <c r="E201" i="3"/>
  <c r="E217" i="3" s="1"/>
  <c r="C200" i="3"/>
  <c r="E215" i="8"/>
  <c r="E214" i="8"/>
  <c r="E213" i="8"/>
  <c r="E212" i="8"/>
  <c r="E211" i="8"/>
  <c r="E210" i="8"/>
  <c r="E209" i="8"/>
  <c r="E208" i="8"/>
  <c r="E207" i="8"/>
  <c r="E206" i="8"/>
  <c r="E205" i="8"/>
  <c r="E203" i="8"/>
  <c r="E202" i="8"/>
  <c r="E201" i="8"/>
  <c r="E200" i="8"/>
  <c r="C199" i="8"/>
  <c r="E466" i="9"/>
  <c r="E465" i="9"/>
  <c r="E464" i="9"/>
  <c r="E463" i="9"/>
  <c r="E462" i="9"/>
  <c r="E461" i="9"/>
  <c r="E460" i="9"/>
  <c r="E459" i="9"/>
  <c r="E458" i="9"/>
  <c r="E457" i="9"/>
  <c r="E456" i="9"/>
  <c r="E454" i="9"/>
  <c r="E453" i="9"/>
  <c r="E452" i="9"/>
  <c r="E451" i="9"/>
  <c r="C450" i="9"/>
  <c r="E413" i="10"/>
  <c r="E412" i="10"/>
  <c r="E411" i="10"/>
  <c r="E410" i="10"/>
  <c r="E409" i="10"/>
  <c r="E408" i="10"/>
  <c r="E407" i="10"/>
  <c r="E406" i="10"/>
  <c r="E405" i="10"/>
  <c r="E404" i="10"/>
  <c r="E403" i="10"/>
  <c r="E467" i="9" l="1"/>
  <c r="E200" i="3"/>
  <c r="D199" i="3" s="1"/>
  <c r="E216" i="8"/>
  <c r="E199" i="8" s="1"/>
  <c r="D198" i="8" s="1"/>
  <c r="F196" i="8" s="1"/>
  <c r="E450" i="9"/>
  <c r="D449" i="9" s="1"/>
  <c r="F447" i="9" s="1"/>
  <c r="E401" i="10"/>
  <c r="E400" i="10"/>
  <c r="E399" i="10"/>
  <c r="E398" i="10"/>
  <c r="C397" i="10"/>
  <c r="K78" i="28"/>
  <c r="K77" i="28"/>
  <c r="K76" i="28"/>
  <c r="K75" i="28"/>
  <c r="K74" i="28"/>
  <c r="K73" i="28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F39" i="10"/>
  <c r="E155" i="25"/>
  <c r="G371" i="25"/>
  <c r="G375" i="25" s="1"/>
  <c r="G307" i="25"/>
  <c r="G311" i="25" s="1"/>
  <c r="G223" i="25"/>
  <c r="G227" i="25" s="1"/>
  <c r="L78" i="28" s="1"/>
  <c r="G710" i="25"/>
  <c r="G714" i="25" s="1"/>
  <c r="L216" i="28" s="1"/>
  <c r="M216" i="28" s="1"/>
  <c r="E174" i="25"/>
  <c r="G174" i="25" s="1"/>
  <c r="H180" i="25"/>
  <c r="H186" i="25"/>
  <c r="H210" i="25"/>
  <c r="H251" i="25"/>
  <c r="H256" i="25"/>
  <c r="H288" i="25"/>
  <c r="H295" i="25"/>
  <c r="H328" i="25"/>
  <c r="H460" i="25"/>
  <c r="H478" i="25"/>
  <c r="H486" i="25"/>
  <c r="M497" i="25"/>
  <c r="H504" i="25"/>
  <c r="H527" i="25"/>
  <c r="H559" i="25"/>
  <c r="H565" i="25" s="1"/>
  <c r="H571" i="25"/>
  <c r="H627" i="25"/>
  <c r="H634" i="25"/>
  <c r="H660" i="25"/>
  <c r="H704" i="25"/>
  <c r="H33" i="25"/>
  <c r="H39" i="25"/>
  <c r="H57" i="25"/>
  <c r="H64" i="25"/>
  <c r="H104" i="25"/>
  <c r="H110" i="25"/>
  <c r="H116" i="25"/>
  <c r="H140" i="25"/>
  <c r="E414" i="10" l="1"/>
  <c r="E397" i="10" s="1"/>
  <c r="D396" i="10" s="1"/>
  <c r="F393" i="10" s="1"/>
  <c r="E31" i="35" l="1"/>
  <c r="E15" i="26" l="1"/>
  <c r="G60" i="46"/>
  <c r="G59" i="46"/>
  <c r="G58" i="46"/>
  <c r="B3" i="46"/>
  <c r="G109" i="45"/>
  <c r="B3" i="45"/>
  <c r="E14" i="26"/>
  <c r="G107" i="45"/>
  <c r="G108" i="45" s="1"/>
  <c r="G61" i="46" l="1"/>
  <c r="G110" i="45"/>
  <c r="G62" i="46" l="1"/>
  <c r="G63" i="46" s="1"/>
  <c r="G111" i="45"/>
  <c r="G112" i="45" s="1"/>
  <c r="E39" i="25" l="1"/>
  <c r="C37" i="12" l="1"/>
  <c r="D39" i="12" s="1"/>
  <c r="F38" i="12" s="1"/>
  <c r="B352" i="12"/>
  <c r="D20" i="27"/>
  <c r="B4" i="38"/>
  <c r="B4" i="41"/>
  <c r="A3" i="42"/>
  <c r="B4" i="43"/>
  <c r="E18" i="26"/>
  <c r="G18" i="26" s="1"/>
  <c r="E17" i="26"/>
  <c r="G17" i="26" s="1"/>
  <c r="E16" i="26"/>
  <c r="E13" i="26"/>
  <c r="G13" i="26"/>
  <c r="G16" i="26"/>
  <c r="G421" i="43"/>
  <c r="G412" i="43"/>
  <c r="G411" i="43"/>
  <c r="G410" i="43"/>
  <c r="G407" i="43"/>
  <c r="G406" i="43"/>
  <c r="G405" i="43"/>
  <c r="G404" i="43"/>
  <c r="G402" i="43"/>
  <c r="G401" i="43"/>
  <c r="G396" i="43"/>
  <c r="G390" i="43"/>
  <c r="G385" i="43"/>
  <c r="G377" i="43"/>
  <c r="G369" i="43"/>
  <c r="G363" i="43"/>
  <c r="G356" i="43"/>
  <c r="G353" i="43"/>
  <c r="G354" i="43" s="1"/>
  <c r="G347" i="43"/>
  <c r="G341" i="43"/>
  <c r="G335" i="43"/>
  <c r="G329" i="43"/>
  <c r="G323" i="43"/>
  <c r="G317" i="43"/>
  <c r="G311" i="43"/>
  <c r="G305" i="43"/>
  <c r="G297" i="43"/>
  <c r="G291" i="43"/>
  <c r="G285" i="43"/>
  <c r="G279" i="43"/>
  <c r="G273" i="43"/>
  <c r="G267" i="43"/>
  <c r="G261" i="43"/>
  <c r="G255" i="43"/>
  <c r="G249" i="43"/>
  <c r="G243" i="43"/>
  <c r="G237" i="43"/>
  <c r="G231" i="43"/>
  <c r="G224" i="43"/>
  <c r="G216" i="43"/>
  <c r="G210" i="43"/>
  <c r="G204" i="43"/>
  <c r="G198" i="43"/>
  <c r="G192" i="43"/>
  <c r="G186" i="43"/>
  <c r="G180" i="43"/>
  <c r="G173" i="43"/>
  <c r="G167" i="43"/>
  <c r="G161" i="43"/>
  <c r="G155" i="43"/>
  <c r="G149" i="43"/>
  <c r="G143" i="43"/>
  <c r="G137" i="43"/>
  <c r="G138" i="43" s="1"/>
  <c r="G139" i="43" s="1"/>
  <c r="G130" i="43"/>
  <c r="G122" i="43"/>
  <c r="G114" i="43"/>
  <c r="G107" i="43"/>
  <c r="G99" i="43"/>
  <c r="G92" i="43"/>
  <c r="G84" i="43"/>
  <c r="G77" i="43"/>
  <c r="G70" i="43"/>
  <c r="G64" i="43"/>
  <c r="G58" i="43"/>
  <c r="G51" i="43"/>
  <c r="G42" i="43"/>
  <c r="G34" i="43"/>
  <c r="G28" i="43"/>
  <c r="G21" i="43"/>
  <c r="J39" i="42"/>
  <c r="J38" i="42"/>
  <c r="J40" i="42" s="1"/>
  <c r="J41" i="42" s="1"/>
  <c r="J37" i="42"/>
  <c r="J36" i="42"/>
  <c r="J35" i="42"/>
  <c r="J34" i="42"/>
  <c r="J33" i="42"/>
  <c r="J32" i="42"/>
  <c r="J31" i="42"/>
  <c r="J30" i="42"/>
  <c r="J29" i="42"/>
  <c r="J28" i="42"/>
  <c r="J27" i="42"/>
  <c r="J26" i="42"/>
  <c r="E26" i="42"/>
  <c r="J25" i="42"/>
  <c r="E25" i="42"/>
  <c r="J18" i="42"/>
  <c r="F20" i="42" s="1"/>
  <c r="J20" i="42" s="1"/>
  <c r="J17" i="42"/>
  <c r="J16" i="42"/>
  <c r="J15" i="42"/>
  <c r="G131" i="41"/>
  <c r="G125" i="41"/>
  <c r="G122" i="41"/>
  <c r="G119" i="41"/>
  <c r="G116" i="41"/>
  <c r="G113" i="41"/>
  <c r="G110" i="41"/>
  <c r="G107" i="41"/>
  <c r="G104" i="41"/>
  <c r="G101" i="41"/>
  <c r="G97" i="41"/>
  <c r="G94" i="41"/>
  <c r="G91" i="41"/>
  <c r="G88" i="41"/>
  <c r="G85" i="41"/>
  <c r="G82" i="41"/>
  <c r="G79" i="41"/>
  <c r="G76" i="41"/>
  <c r="G73" i="41"/>
  <c r="G70" i="41"/>
  <c r="G67" i="41"/>
  <c r="G64" i="41"/>
  <c r="G62" i="41"/>
  <c r="G61" i="41"/>
  <c r="G58" i="41"/>
  <c r="G127" i="41" s="1"/>
  <c r="G128" i="41" s="1"/>
  <c r="G54" i="41"/>
  <c r="G50" i="41"/>
  <c r="G46" i="41"/>
  <c r="G42" i="41"/>
  <c r="G38" i="41"/>
  <c r="G34" i="41"/>
  <c r="G30" i="41"/>
  <c r="G26" i="41"/>
  <c r="G22" i="41"/>
  <c r="G18" i="41"/>
  <c r="G92" i="38"/>
  <c r="G91" i="38"/>
  <c r="G90" i="38"/>
  <c r="G86" i="38"/>
  <c r="G87" i="38" s="1"/>
  <c r="G71" i="38"/>
  <c r="G63" i="38"/>
  <c r="G56" i="38"/>
  <c r="G54" i="38"/>
  <c r="G53" i="38"/>
  <c r="G49" i="38"/>
  <c r="G50" i="38" s="1"/>
  <c r="G51" i="38" s="1"/>
  <c r="G43" i="38"/>
  <c r="G36" i="38"/>
  <c r="G28" i="38"/>
  <c r="G21" i="38"/>
  <c r="G409" i="43" l="1"/>
  <c r="G89" i="38"/>
  <c r="G93" i="38" s="1"/>
  <c r="G94" i="38"/>
  <c r="G95" i="38" s="1"/>
  <c r="F21" i="42"/>
  <c r="G129" i="41"/>
  <c r="G59" i="41"/>
  <c r="G126" i="41"/>
  <c r="G14" i="26" l="1"/>
  <c r="G97" i="38"/>
  <c r="G98" i="38" s="1"/>
  <c r="G96" i="38"/>
  <c r="F22" i="42"/>
  <c r="J22" i="42" s="1"/>
  <c r="J21" i="42"/>
  <c r="J23" i="42" s="1"/>
  <c r="J42" i="42" s="1"/>
  <c r="H410" i="43"/>
  <c r="G413" i="43"/>
  <c r="G414" i="43" s="1"/>
  <c r="G416" i="43" s="1"/>
  <c r="G132" i="41"/>
  <c r="G133" i="41" s="1"/>
  <c r="G134" i="41" s="1"/>
  <c r="G135" i="41" s="1"/>
  <c r="J43" i="42" l="1"/>
  <c r="J44" i="42" s="1"/>
  <c r="J45" i="42" s="1"/>
  <c r="G420" i="43"/>
  <c r="G418" i="43"/>
  <c r="G419" i="43" s="1"/>
  <c r="H56" i="7" l="1"/>
  <c r="G15" i="26" l="1"/>
  <c r="D12" i="27" s="1"/>
  <c r="E72" i="7"/>
  <c r="E71" i="7"/>
  <c r="E70" i="7"/>
  <c r="E69" i="7"/>
  <c r="E68" i="7"/>
  <c r="E67" i="7"/>
  <c r="E66" i="7"/>
  <c r="E63" i="7"/>
  <c r="C61" i="7"/>
  <c r="D58" i="7"/>
  <c r="E75" i="7"/>
  <c r="E74" i="7"/>
  <c r="E73" i="7"/>
  <c r="E65" i="7"/>
  <c r="E64" i="7"/>
  <c r="E62" i="7"/>
  <c r="E41" i="7"/>
  <c r="E76" i="7" l="1"/>
  <c r="E61" i="7" s="1"/>
  <c r="D60" i="7" s="1"/>
  <c r="F56" i="7" s="1"/>
  <c r="C7" i="33" l="1"/>
  <c r="C5" i="33" s="1"/>
  <c r="B9" i="34" s="1"/>
  <c r="E7" i="35"/>
  <c r="E39" i="35"/>
  <c r="E15" i="35" s="1"/>
  <c r="E37" i="35"/>
  <c r="E13" i="35" s="1"/>
  <c r="E36" i="35"/>
  <c r="E12" i="35" s="1"/>
  <c r="E35" i="35"/>
  <c r="E11" i="35" s="1"/>
  <c r="E34" i="35"/>
  <c r="E10" i="35" s="1"/>
  <c r="E32" i="35"/>
  <c r="E8" i="35" s="1"/>
  <c r="E40" i="35"/>
  <c r="E16" i="35" s="1"/>
  <c r="E41" i="35"/>
  <c r="E17" i="35" s="1"/>
  <c r="E42" i="35"/>
  <c r="E18" i="35" s="1"/>
  <c r="B18" i="35"/>
  <c r="B17" i="35"/>
  <c r="B16" i="35"/>
  <c r="B15" i="35"/>
  <c r="B14" i="35"/>
  <c r="B13" i="35"/>
  <c r="B12" i="35"/>
  <c r="B11" i="35"/>
  <c r="B10" i="35"/>
  <c r="B9" i="35"/>
  <c r="B8" i="35"/>
  <c r="B7" i="35"/>
  <c r="A3" i="36"/>
  <c r="F37" i="34"/>
  <c r="F38" i="34" s="1"/>
  <c r="F35" i="34"/>
  <c r="F36" i="34" s="1"/>
  <c r="A3" i="33"/>
  <c r="C4" i="37" s="1"/>
  <c r="F31" i="34"/>
  <c r="D36" i="34" l="1"/>
  <c r="D38" i="34"/>
  <c r="F32" i="34"/>
  <c r="F30" i="34" s="1"/>
  <c r="F33" i="34" s="1"/>
  <c r="F34" i="34" s="1"/>
  <c r="D18" i="34"/>
  <c r="F39" i="34"/>
  <c r="C39" i="34"/>
  <c r="G718" i="25"/>
  <c r="G721" i="25" s="1"/>
  <c r="G724" i="25"/>
  <c r="G725" i="25"/>
  <c r="G726" i="25"/>
  <c r="G648" i="25"/>
  <c r="G652" i="25" s="1"/>
  <c r="G654" i="25"/>
  <c r="G658" i="25" s="1"/>
  <c r="G660" i="25"/>
  <c r="G665" i="25" s="1"/>
  <c r="G667" i="25"/>
  <c r="G671" i="25" s="1"/>
  <c r="G673" i="25"/>
  <c r="G676" i="25" s="1"/>
  <c r="G678" i="25"/>
  <c r="G682" i="25" s="1"/>
  <c r="G684" i="25"/>
  <c r="G688" i="25" s="1"/>
  <c r="G690" i="25"/>
  <c r="G695" i="25" s="1"/>
  <c r="G697" i="25"/>
  <c r="G702" i="25" s="1"/>
  <c r="G704" i="25"/>
  <c r="G708" i="25" s="1"/>
  <c r="G535" i="25"/>
  <c r="G539" i="25" s="1"/>
  <c r="G541" i="25"/>
  <c r="G545" i="25" s="1"/>
  <c r="G547" i="25"/>
  <c r="G551" i="25" s="1"/>
  <c r="G553" i="25"/>
  <c r="G557" i="25" s="1"/>
  <c r="G559" i="25"/>
  <c r="G563" i="25" s="1"/>
  <c r="G565" i="25"/>
  <c r="G569" i="25" s="1"/>
  <c r="G571" i="25"/>
  <c r="G576" i="25" s="1"/>
  <c r="G578" i="25"/>
  <c r="G582" i="25" s="1"/>
  <c r="G584" i="25"/>
  <c r="G588" i="25" s="1"/>
  <c r="G590" i="25"/>
  <c r="G593" i="25" s="1"/>
  <c r="G595" i="25"/>
  <c r="G599" i="25" s="1"/>
  <c r="G601" i="25"/>
  <c r="G605" i="25" s="1"/>
  <c r="G607" i="25"/>
  <c r="G612" i="25" s="1"/>
  <c r="G614" i="25"/>
  <c r="G619" i="25" s="1"/>
  <c r="G621" i="25"/>
  <c r="G625" i="25" s="1"/>
  <c r="G627" i="25"/>
  <c r="G628" i="25"/>
  <c r="G634" i="25"/>
  <c r="G638" i="25" s="1"/>
  <c r="G640" i="25"/>
  <c r="G644" i="25" s="1"/>
  <c r="G486" i="25"/>
  <c r="G490" i="25" s="1"/>
  <c r="G492" i="25"/>
  <c r="G496" i="25" s="1"/>
  <c r="G498" i="25"/>
  <c r="G502" i="25" s="1"/>
  <c r="G504" i="25"/>
  <c r="G508" i="25" s="1"/>
  <c r="G510" i="25"/>
  <c r="G514" i="25" s="1"/>
  <c r="G516" i="25"/>
  <c r="G520" i="25" s="1"/>
  <c r="G522" i="25"/>
  <c r="G525" i="25" s="1"/>
  <c r="G527" i="25"/>
  <c r="G531" i="25" s="1"/>
  <c r="G442" i="25"/>
  <c r="G446" i="25" s="1"/>
  <c r="G448" i="25"/>
  <c r="G452" i="25" s="1"/>
  <c r="G454" i="25"/>
  <c r="G458" i="25" s="1"/>
  <c r="G460" i="25"/>
  <c r="G464" i="25" s="1"/>
  <c r="G466" i="25"/>
  <c r="G470" i="25" s="1"/>
  <c r="G472" i="25"/>
  <c r="G476" i="25" s="1"/>
  <c r="G478" i="25"/>
  <c r="G482" i="25" s="1"/>
  <c r="G379" i="25"/>
  <c r="G383" i="25" s="1"/>
  <c r="G385" i="25"/>
  <c r="G389" i="25" s="1"/>
  <c r="G391" i="25"/>
  <c r="G395" i="25" s="1"/>
  <c r="G397" i="25"/>
  <c r="G400" i="25" s="1"/>
  <c r="G402" i="25"/>
  <c r="G406" i="25" s="1"/>
  <c r="G408" i="25"/>
  <c r="G412" i="25" s="1"/>
  <c r="G414" i="25"/>
  <c r="G418" i="25" s="1"/>
  <c r="G420" i="25"/>
  <c r="G424" i="25" s="1"/>
  <c r="G426" i="25"/>
  <c r="G431" i="25" s="1"/>
  <c r="G433" i="25"/>
  <c r="G438" i="25" s="1"/>
  <c r="G315" i="25"/>
  <c r="G320" i="25" s="1"/>
  <c r="G322" i="25"/>
  <c r="G326" i="25" s="1"/>
  <c r="G328" i="25"/>
  <c r="G331" i="25" s="1"/>
  <c r="G333" i="25"/>
  <c r="G337" i="25" s="1"/>
  <c r="G339" i="25"/>
  <c r="G343" i="25" s="1"/>
  <c r="G345" i="25"/>
  <c r="G349" i="25" s="1"/>
  <c r="G351" i="25"/>
  <c r="G355" i="25" s="1"/>
  <c r="G357" i="25"/>
  <c r="G362" i="25" s="1"/>
  <c r="G364" i="25"/>
  <c r="G369" i="25" s="1"/>
  <c r="G231" i="25"/>
  <c r="G236" i="25" s="1"/>
  <c r="G238" i="25"/>
  <c r="G243" i="25" s="1"/>
  <c r="G245" i="25"/>
  <c r="G249" i="25" s="1"/>
  <c r="G251" i="25"/>
  <c r="G254" i="25" s="1"/>
  <c r="G256" i="25"/>
  <c r="G260" i="25" s="1"/>
  <c r="G262" i="25"/>
  <c r="G266" i="25" s="1"/>
  <c r="G268" i="25"/>
  <c r="G272" i="25" s="1"/>
  <c r="G274" i="25"/>
  <c r="G279" i="25" s="1"/>
  <c r="G281" i="25"/>
  <c r="G286" i="25" s="1"/>
  <c r="G288" i="25"/>
  <c r="G289" i="25"/>
  <c r="G295" i="25"/>
  <c r="G299" i="25" s="1"/>
  <c r="G301" i="25"/>
  <c r="G305" i="25" s="1"/>
  <c r="G155" i="25"/>
  <c r="G160" i="25" s="1"/>
  <c r="G162" i="25"/>
  <c r="G166" i="25" s="1"/>
  <c r="L68" i="28" s="1"/>
  <c r="G168" i="25"/>
  <c r="G172" i="25" s="1"/>
  <c r="L58" i="28" s="1"/>
  <c r="G178" i="25"/>
  <c r="L59" i="28" s="1"/>
  <c r="G180" i="25"/>
  <c r="G184" i="25" s="1"/>
  <c r="L60" i="28" s="1"/>
  <c r="G186" i="25"/>
  <c r="G190" i="25" s="1"/>
  <c r="G192" i="25"/>
  <c r="G196" i="25" s="1"/>
  <c r="G198" i="25"/>
  <c r="G202" i="25" s="1"/>
  <c r="L66" i="28" s="1"/>
  <c r="G204" i="25"/>
  <c r="G208" i="25" s="1"/>
  <c r="L67" i="28" s="1"/>
  <c r="G210" i="25"/>
  <c r="G211" i="25"/>
  <c r="G217" i="25"/>
  <c r="G72" i="25"/>
  <c r="G77" i="25" s="1"/>
  <c r="G79" i="25"/>
  <c r="G83" i="25" s="1"/>
  <c r="G85" i="25"/>
  <c r="G89" i="25" s="1"/>
  <c r="G91" i="25"/>
  <c r="G96" i="25" s="1"/>
  <c r="G98" i="25"/>
  <c r="G102" i="25" s="1"/>
  <c r="G104" i="25"/>
  <c r="G108" i="25" s="1"/>
  <c r="G110" i="25"/>
  <c r="G114" i="25" s="1"/>
  <c r="G116" i="25"/>
  <c r="G120" i="25" s="1"/>
  <c r="G122" i="25"/>
  <c r="G126" i="25" s="1"/>
  <c r="G128" i="25"/>
  <c r="G132" i="25" s="1"/>
  <c r="G134" i="25"/>
  <c r="G138" i="25" s="1"/>
  <c r="G140" i="25"/>
  <c r="G141" i="25"/>
  <c r="G147" i="25"/>
  <c r="G151" i="25" s="1"/>
  <c r="C40" i="34" l="1"/>
  <c r="F40" i="34"/>
  <c r="C41" i="34" s="1"/>
  <c r="L61" i="28"/>
  <c r="G376" i="25"/>
  <c r="G715" i="25"/>
  <c r="G221" i="25"/>
  <c r="G483" i="25"/>
  <c r="G439" i="25"/>
  <c r="G532" i="25"/>
  <c r="G632" i="25"/>
  <c r="G293" i="25"/>
  <c r="G312" i="25" s="1"/>
  <c r="H312" i="25" s="1"/>
  <c r="G215" i="25"/>
  <c r="L69" i="28" s="1"/>
  <c r="G145" i="25"/>
  <c r="F41" i="34" l="1"/>
  <c r="E16" i="34" s="1"/>
  <c r="G228" i="25"/>
  <c r="H228" i="25" s="1"/>
  <c r="L72" i="28"/>
  <c r="G152" i="25"/>
  <c r="G645" i="25"/>
  <c r="F18" i="34" l="1"/>
  <c r="G18" i="34" s="1"/>
  <c r="E15" i="34"/>
  <c r="F15" i="34" s="1"/>
  <c r="B15" i="34"/>
  <c r="B19" i="34" s="1"/>
  <c r="D19" i="34" s="1"/>
  <c r="F19" i="34" l="1"/>
  <c r="C14" i="33"/>
  <c r="D15" i="34"/>
  <c r="G19" i="34" l="1"/>
  <c r="L229" i="28"/>
  <c r="L228" i="28"/>
  <c r="L227" i="28"/>
  <c r="K216" i="28" s="1"/>
  <c r="M78" i="28" l="1"/>
  <c r="K106" i="28"/>
  <c r="L106" i="28" s="1"/>
  <c r="M106" i="28" s="1"/>
  <c r="K122" i="28"/>
  <c r="K220" i="28"/>
  <c r="L220" i="28" s="1"/>
  <c r="K212" i="28"/>
  <c r="L212" i="28" s="1"/>
  <c r="K208" i="28"/>
  <c r="K204" i="28"/>
  <c r="L204" i="28" s="1"/>
  <c r="K191" i="28"/>
  <c r="K187" i="28"/>
  <c r="K183" i="28"/>
  <c r="L183" i="28" s="1"/>
  <c r="K179" i="28"/>
  <c r="L179" i="28" s="1"/>
  <c r="K175" i="28"/>
  <c r="L175" i="28" s="1"/>
  <c r="K168" i="28"/>
  <c r="L168" i="28" s="1"/>
  <c r="K164" i="28"/>
  <c r="K160" i="28"/>
  <c r="L160" i="28" s="1"/>
  <c r="K153" i="28"/>
  <c r="L153" i="28" s="1"/>
  <c r="M153" i="28" s="1"/>
  <c r="K149" i="28"/>
  <c r="K145" i="28"/>
  <c r="L145" i="28" s="1"/>
  <c r="K138" i="28"/>
  <c r="L138" i="28" s="1"/>
  <c r="K134" i="28"/>
  <c r="K130" i="28"/>
  <c r="L130" i="28" s="1"/>
  <c r="K120" i="28"/>
  <c r="L120" i="28" s="1"/>
  <c r="K116" i="28"/>
  <c r="K112" i="28"/>
  <c r="L112" i="28" s="1"/>
  <c r="K99" i="28"/>
  <c r="K95" i="28"/>
  <c r="L95" i="28" s="1"/>
  <c r="K91" i="28"/>
  <c r="L91" i="28" s="1"/>
  <c r="K87" i="28"/>
  <c r="K83" i="28"/>
  <c r="L83" i="28" s="1"/>
  <c r="K205" i="28"/>
  <c r="L205" i="28" s="1"/>
  <c r="K184" i="28"/>
  <c r="L184" i="28" s="1"/>
  <c r="K172" i="28"/>
  <c r="L172" i="28" s="1"/>
  <c r="K146" i="28"/>
  <c r="L146" i="28" s="1"/>
  <c r="K131" i="28"/>
  <c r="K113" i="28"/>
  <c r="L113" i="28" s="1"/>
  <c r="K92" i="28"/>
  <c r="L92" i="28" s="1"/>
  <c r="K215" i="28"/>
  <c r="L215" i="28" s="1"/>
  <c r="K211" i="28"/>
  <c r="K207" i="28"/>
  <c r="L207" i="28" s="1"/>
  <c r="K194" i="28"/>
  <c r="L194" i="28" s="1"/>
  <c r="K190" i="28"/>
  <c r="K186" i="28"/>
  <c r="K182" i="28"/>
  <c r="L182" i="28" s="1"/>
  <c r="K178" i="28"/>
  <c r="L178" i="28" s="1"/>
  <c r="K174" i="28"/>
  <c r="L174" i="28" s="1"/>
  <c r="K167" i="28"/>
  <c r="L167" i="28" s="1"/>
  <c r="K163" i="28"/>
  <c r="K159" i="28"/>
  <c r="L159" i="28" s="1"/>
  <c r="K152" i="28"/>
  <c r="K148" i="28"/>
  <c r="L148" i="28" s="1"/>
  <c r="K141" i="28"/>
  <c r="L141" i="28" s="1"/>
  <c r="K137" i="28"/>
  <c r="L137" i="28" s="1"/>
  <c r="K133" i="28"/>
  <c r="K129" i="28"/>
  <c r="L129" i="28" s="1"/>
  <c r="K119" i="28"/>
  <c r="L119" i="28" s="1"/>
  <c r="K115" i="28"/>
  <c r="K111" i="28"/>
  <c r="L111" i="28" s="1"/>
  <c r="K98" i="28"/>
  <c r="L98" i="28" s="1"/>
  <c r="K94" i="28"/>
  <c r="L94" i="28" s="1"/>
  <c r="K90" i="28"/>
  <c r="K86" i="28"/>
  <c r="L86" i="28" s="1"/>
  <c r="K82" i="28"/>
  <c r="L82" i="28" s="1"/>
  <c r="L57" i="28"/>
  <c r="L79" i="28" s="1"/>
  <c r="K213" i="28"/>
  <c r="L213" i="28" s="1"/>
  <c r="K192" i="28"/>
  <c r="L192" i="28" s="1"/>
  <c r="K180" i="28"/>
  <c r="L180" i="28" s="1"/>
  <c r="K165" i="28"/>
  <c r="L165" i="28" s="1"/>
  <c r="K154" i="28"/>
  <c r="L154" i="28" s="1"/>
  <c r="K135" i="28"/>
  <c r="L135" i="28" s="1"/>
  <c r="K117" i="28"/>
  <c r="K96" i="28"/>
  <c r="K84" i="28"/>
  <c r="L84" i="28" s="1"/>
  <c r="K214" i="28"/>
  <c r="L214" i="28" s="1"/>
  <c r="K210" i="28"/>
  <c r="K206" i="28"/>
  <c r="L206" i="28" s="1"/>
  <c r="K193" i="28"/>
  <c r="K189" i="28"/>
  <c r="L189" i="28" s="1"/>
  <c r="K185" i="28"/>
  <c r="K181" i="28"/>
  <c r="L181" i="28" s="1"/>
  <c r="K177" i="28"/>
  <c r="L177" i="28" s="1"/>
  <c r="K173" i="28"/>
  <c r="L173" i="28" s="1"/>
  <c r="K166" i="28"/>
  <c r="L166" i="28" s="1"/>
  <c r="K162" i="28"/>
  <c r="K155" i="28"/>
  <c r="L155" i="28" s="1"/>
  <c r="K151" i="28"/>
  <c r="K147" i="28"/>
  <c r="K140" i="28"/>
  <c r="L140" i="28" s="1"/>
  <c r="K136" i="28"/>
  <c r="L136" i="28" s="1"/>
  <c r="K132" i="28"/>
  <c r="K128" i="28"/>
  <c r="L128" i="28" s="1"/>
  <c r="K118" i="28"/>
  <c r="L118" i="28" s="1"/>
  <c r="K114" i="28"/>
  <c r="K110" i="28"/>
  <c r="L110" i="28" s="1"/>
  <c r="K97" i="28"/>
  <c r="K93" i="28"/>
  <c r="L93" i="28" s="1"/>
  <c r="K89" i="28"/>
  <c r="K85" i="28"/>
  <c r="L85" i="28" s="1"/>
  <c r="K209" i="28"/>
  <c r="K188" i="28"/>
  <c r="K176" i="28"/>
  <c r="L176" i="28" s="1"/>
  <c r="K161" i="28"/>
  <c r="K150" i="28"/>
  <c r="K139" i="28"/>
  <c r="L139" i="28" s="1"/>
  <c r="K121" i="28"/>
  <c r="L121" i="28" s="1"/>
  <c r="K100" i="28"/>
  <c r="L100" i="28" s="1"/>
  <c r="K88" i="28"/>
  <c r="K49" i="28"/>
  <c r="L49" i="28" s="1"/>
  <c r="K45" i="28"/>
  <c r="L45" i="28" s="1"/>
  <c r="K41" i="28"/>
  <c r="L41" i="28" s="1"/>
  <c r="K37" i="28"/>
  <c r="K33" i="28"/>
  <c r="L33" i="28" s="1"/>
  <c r="K22" i="28"/>
  <c r="K18" i="28"/>
  <c r="K14" i="28"/>
  <c r="K10" i="28"/>
  <c r="K39" i="28"/>
  <c r="K31" i="28"/>
  <c r="L31" i="28" s="1"/>
  <c r="K16" i="28"/>
  <c r="K8" i="28"/>
  <c r="K42" i="28"/>
  <c r="L42" i="28" s="1"/>
  <c r="K34" i="28"/>
  <c r="L34" i="28" s="1"/>
  <c r="K19" i="28"/>
  <c r="K11" i="28"/>
  <c r="K48" i="28"/>
  <c r="K44" i="28"/>
  <c r="L44" i="28" s="1"/>
  <c r="K40" i="28"/>
  <c r="K36" i="28"/>
  <c r="L36" i="28" s="1"/>
  <c r="K32" i="28"/>
  <c r="L32" i="28" s="1"/>
  <c r="K21" i="28"/>
  <c r="K17" i="28"/>
  <c r="K13" i="28"/>
  <c r="K9" i="28"/>
  <c r="K47" i="28"/>
  <c r="K43" i="28"/>
  <c r="K35" i="28"/>
  <c r="L35" i="28" s="1"/>
  <c r="K20" i="28"/>
  <c r="K12" i="28"/>
  <c r="K46" i="28"/>
  <c r="L46" i="28" s="1"/>
  <c r="K38" i="28"/>
  <c r="K30" i="28"/>
  <c r="L30" i="28" s="1"/>
  <c r="K15" i="28"/>
  <c r="K7" i="28"/>
  <c r="G15" i="34"/>
  <c r="D220" i="28"/>
  <c r="C220" i="28"/>
  <c r="D213" i="28"/>
  <c r="C213" i="28"/>
  <c r="D212" i="28"/>
  <c r="C212" i="28"/>
  <c r="D207" i="28"/>
  <c r="C207" i="28"/>
  <c r="D206" i="28"/>
  <c r="C206" i="28"/>
  <c r="D205" i="28"/>
  <c r="C205" i="28"/>
  <c r="D204" i="28"/>
  <c r="C204" i="28"/>
  <c r="D194" i="28"/>
  <c r="C194" i="28"/>
  <c r="D192" i="28"/>
  <c r="C192" i="28"/>
  <c r="D189" i="28"/>
  <c r="C189" i="28"/>
  <c r="D184" i="28"/>
  <c r="C184" i="28"/>
  <c r="D183" i="28"/>
  <c r="C183" i="28"/>
  <c r="D182" i="28"/>
  <c r="C182" i="28"/>
  <c r="D181" i="28"/>
  <c r="C181" i="28"/>
  <c r="D180" i="28"/>
  <c r="C180" i="28"/>
  <c r="D179" i="28"/>
  <c r="C179" i="28"/>
  <c r="D178" i="28"/>
  <c r="C178" i="28"/>
  <c r="C177" i="28"/>
  <c r="D177" i="28"/>
  <c r="D176" i="28"/>
  <c r="C176" i="28"/>
  <c r="D175" i="28"/>
  <c r="C175" i="28"/>
  <c r="D174" i="28"/>
  <c r="C174" i="28"/>
  <c r="D173" i="28"/>
  <c r="C173" i="28"/>
  <c r="D172" i="28"/>
  <c r="C172" i="28"/>
  <c r="D160" i="28"/>
  <c r="C160" i="28"/>
  <c r="D167" i="28"/>
  <c r="C167" i="28"/>
  <c r="D159" i="28"/>
  <c r="C159" i="28"/>
  <c r="D154" i="28"/>
  <c r="C154" i="28"/>
  <c r="C155" i="28"/>
  <c r="D148" i="28"/>
  <c r="C148" i="28"/>
  <c r="D147" i="28"/>
  <c r="C147" i="28"/>
  <c r="D145" i="28"/>
  <c r="C145" i="28"/>
  <c r="D14" i="33" l="1"/>
  <c r="L217" i="28"/>
  <c r="L122" i="28"/>
  <c r="M122" i="28" s="1"/>
  <c r="L107" i="28"/>
  <c r="M204" i="28"/>
  <c r="D141" i="28"/>
  <c r="C141" i="28"/>
  <c r="D140" i="28"/>
  <c r="C140" i="28"/>
  <c r="D137" i="28"/>
  <c r="C137" i="28"/>
  <c r="D136" i="28"/>
  <c r="C136" i="28"/>
  <c r="D135" i="28"/>
  <c r="C135" i="28"/>
  <c r="D130" i="28"/>
  <c r="C130" i="28"/>
  <c r="D129" i="28"/>
  <c r="C129" i="28"/>
  <c r="D128" i="28"/>
  <c r="C128" i="28"/>
  <c r="D119" i="28"/>
  <c r="C119" i="28"/>
  <c r="D118" i="28"/>
  <c r="C118" i="28"/>
  <c r="D113" i="28"/>
  <c r="C113" i="28"/>
  <c r="D112" i="28"/>
  <c r="C112" i="28"/>
  <c r="D111" i="28"/>
  <c r="C111" i="28"/>
  <c r="D110" i="28"/>
  <c r="C110" i="28"/>
  <c r="D100" i="28"/>
  <c r="C100" i="28"/>
  <c r="D95" i="28"/>
  <c r="C95" i="28"/>
  <c r="D98" i="28"/>
  <c r="M96" i="28"/>
  <c r="M97" i="28"/>
  <c r="D92" i="28"/>
  <c r="C92" i="28"/>
  <c r="D91" i="28"/>
  <c r="C91" i="28"/>
  <c r="C86" i="28"/>
  <c r="D86" i="28"/>
  <c r="D85" i="28"/>
  <c r="C85" i="28"/>
  <c r="D84" i="28"/>
  <c r="C84" i="28"/>
  <c r="D83" i="28"/>
  <c r="C83" i="28"/>
  <c r="D82" i="28"/>
  <c r="C82" i="28"/>
  <c r="D72" i="28"/>
  <c r="C72" i="28"/>
  <c r="D69" i="28"/>
  <c r="C69" i="28"/>
  <c r="D68" i="28"/>
  <c r="C68" i="28"/>
  <c r="D67" i="28"/>
  <c r="C67" i="28"/>
  <c r="D66" i="28"/>
  <c r="C66" i="28"/>
  <c r="C61" i="28"/>
  <c r="D61" i="28"/>
  <c r="C60" i="28"/>
  <c r="C59" i="28"/>
  <c r="C58" i="28"/>
  <c r="C57" i="28"/>
  <c r="D49" i="28"/>
  <c r="C49" i="28"/>
  <c r="D46" i="28"/>
  <c r="C46" i="28"/>
  <c r="D45" i="28"/>
  <c r="C45" i="28"/>
  <c r="D44" i="28"/>
  <c r="C44" i="28"/>
  <c r="D42" i="28"/>
  <c r="C42" i="28"/>
  <c r="D41" i="28"/>
  <c r="C41" i="28"/>
  <c r="D36" i="28"/>
  <c r="C36" i="28"/>
  <c r="D34" i="28"/>
  <c r="C34" i="28"/>
  <c r="D33" i="28"/>
  <c r="C33" i="28"/>
  <c r="D32" i="28"/>
  <c r="C32" i="28"/>
  <c r="D31" i="28"/>
  <c r="C31" i="28"/>
  <c r="D30" i="28"/>
  <c r="C30" i="28"/>
  <c r="D22" i="28"/>
  <c r="C22" i="28"/>
  <c r="D19" i="28"/>
  <c r="C19" i="28"/>
  <c r="D18" i="28"/>
  <c r="C18" i="28"/>
  <c r="D17" i="28"/>
  <c r="C17" i="28"/>
  <c r="D16" i="28"/>
  <c r="C16" i="28"/>
  <c r="D15" i="28"/>
  <c r="C15" i="28"/>
  <c r="D14" i="28"/>
  <c r="C14" i="28"/>
  <c r="D8" i="28"/>
  <c r="C8" i="28"/>
  <c r="D7" i="28"/>
  <c r="C7" i="28"/>
  <c r="M211" i="28"/>
  <c r="M210" i="28"/>
  <c r="M209" i="28"/>
  <c r="M208" i="28"/>
  <c r="M199" i="28"/>
  <c r="M198" i="28"/>
  <c r="M197" i="28"/>
  <c r="M196" i="28"/>
  <c r="M195" i="28"/>
  <c r="M193" i="28"/>
  <c r="M192" i="28"/>
  <c r="M191" i="28"/>
  <c r="M190" i="28"/>
  <c r="M188" i="28"/>
  <c r="M187" i="28"/>
  <c r="M186" i="28"/>
  <c r="M185" i="28"/>
  <c r="M164" i="28"/>
  <c r="M163" i="28"/>
  <c r="M162" i="28"/>
  <c r="M161" i="28"/>
  <c r="M152" i="28"/>
  <c r="M151" i="28"/>
  <c r="M150" i="28"/>
  <c r="M149" i="28"/>
  <c r="M147" i="28"/>
  <c r="M134" i="28"/>
  <c r="M133" i="28"/>
  <c r="M132" i="28"/>
  <c r="M131" i="28"/>
  <c r="M117" i="28"/>
  <c r="M116" i="28"/>
  <c r="M115" i="28"/>
  <c r="M114" i="28"/>
  <c r="M105" i="28"/>
  <c r="M104" i="28"/>
  <c r="M103" i="28"/>
  <c r="M102" i="28"/>
  <c r="M101" i="28"/>
  <c r="M99" i="28"/>
  <c r="M90" i="28"/>
  <c r="M89" i="28"/>
  <c r="M88" i="28"/>
  <c r="M87" i="28"/>
  <c r="M77" i="28"/>
  <c r="M76" i="28"/>
  <c r="M75" i="28"/>
  <c r="M74" i="28"/>
  <c r="M73" i="28"/>
  <c r="M71" i="28"/>
  <c r="M70" i="28"/>
  <c r="M65" i="28"/>
  <c r="M64" i="28"/>
  <c r="M63" i="28"/>
  <c r="M62" i="28"/>
  <c r="M53" i="28"/>
  <c r="M52" i="28"/>
  <c r="M51" i="28"/>
  <c r="M50" i="28"/>
  <c r="M48" i="28"/>
  <c r="M47" i="28"/>
  <c r="M43" i="28"/>
  <c r="M40" i="28"/>
  <c r="M39" i="28"/>
  <c r="M38" i="28"/>
  <c r="M37" i="28"/>
  <c r="M26" i="28"/>
  <c r="M25" i="28"/>
  <c r="M24" i="28"/>
  <c r="M23" i="28"/>
  <c r="M21" i="28"/>
  <c r="M20" i="28"/>
  <c r="M13" i="28"/>
  <c r="M12" i="28"/>
  <c r="M11" i="28"/>
  <c r="M10" i="28"/>
  <c r="M9" i="28"/>
  <c r="L221" i="28"/>
  <c r="M207" i="28"/>
  <c r="M194" i="28"/>
  <c r="G58" i="25"/>
  <c r="M184" i="28"/>
  <c r="M183" i="28"/>
  <c r="M182" i="28"/>
  <c r="M181" i="28"/>
  <c r="M180" i="28"/>
  <c r="M179" i="28"/>
  <c r="M178" i="28"/>
  <c r="M175" i="28"/>
  <c r="M173" i="28"/>
  <c r="M215" i="28"/>
  <c r="M214" i="28"/>
  <c r="E14" i="33" l="1"/>
  <c r="L123" i="28"/>
  <c r="M168" i="28"/>
  <c r="M220" i="28"/>
  <c r="M221" i="28" s="1"/>
  <c r="C80" i="8"/>
  <c r="D125" i="28"/>
  <c r="B91" i="26"/>
  <c r="D91" i="26" s="1"/>
  <c r="B61" i="26"/>
  <c r="D61" i="26" s="1"/>
  <c r="E61" i="26" s="1"/>
  <c r="B58" i="26"/>
  <c r="D58" i="26" s="1"/>
  <c r="B55" i="26"/>
  <c r="D55" i="26"/>
  <c r="E55" i="26" s="1"/>
  <c r="D14" i="27"/>
  <c r="C4" i="27"/>
  <c r="D211" i="1"/>
  <c r="D123" i="1"/>
  <c r="B31" i="26"/>
  <c r="B30" i="26"/>
  <c r="B29" i="26"/>
  <c r="B28" i="26"/>
  <c r="B27" i="26"/>
  <c r="B26" i="26"/>
  <c r="B25" i="26"/>
  <c r="B24" i="26"/>
  <c r="B23" i="26"/>
  <c r="B21" i="26"/>
  <c r="B22" i="26"/>
  <c r="D85" i="26"/>
  <c r="E85" i="26" s="1"/>
  <c r="D82" i="26"/>
  <c r="D87" i="26" s="1"/>
  <c r="E87" i="26" s="1"/>
  <c r="E97" i="26" s="1"/>
  <c r="D79" i="26"/>
  <c r="E79" i="26" s="1"/>
  <c r="D39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7" i="4"/>
  <c r="E396" i="4"/>
  <c r="C395" i="4"/>
  <c r="D253" i="9"/>
  <c r="E272" i="9"/>
  <c r="E271" i="9"/>
  <c r="E270" i="9"/>
  <c r="E269" i="9"/>
  <c r="E268" i="9"/>
  <c r="E267" i="9"/>
  <c r="E266" i="9"/>
  <c r="E265" i="9"/>
  <c r="E264" i="9"/>
  <c r="E263" i="9"/>
  <c r="E262" i="9"/>
  <c r="E261" i="9"/>
  <c r="E259" i="9"/>
  <c r="E258" i="9"/>
  <c r="C257" i="9"/>
  <c r="E411" i="4" l="1"/>
  <c r="E395" i="4" s="1"/>
  <c r="D394" i="4" s="1"/>
  <c r="F392" i="4" s="1"/>
  <c r="E273" i="9"/>
  <c r="E257" i="9" s="1"/>
  <c r="D256" i="9" s="1"/>
  <c r="F254" i="9" s="1"/>
  <c r="M189" i="28"/>
  <c r="E91" i="26"/>
  <c r="D93" i="26"/>
  <c r="E93" i="26" s="1"/>
  <c r="E94" i="26" s="1"/>
  <c r="D63" i="26"/>
  <c r="E63" i="26" s="1"/>
  <c r="E67" i="26" s="1"/>
  <c r="E66" i="26"/>
  <c r="E82" i="26"/>
  <c r="E88" i="26"/>
  <c r="E58" i="26"/>
  <c r="E68" i="26" l="1"/>
  <c r="E69" i="26" s="1"/>
  <c r="E64" i="26"/>
  <c r="F69" i="26" l="1"/>
  <c r="E70" i="26"/>
  <c r="C154" i="11" l="1"/>
  <c r="E175" i="11"/>
  <c r="E174" i="11"/>
  <c r="E173" i="11"/>
  <c r="E172" i="11"/>
  <c r="E171" i="11"/>
  <c r="E170" i="11"/>
  <c r="E169" i="11"/>
  <c r="E168" i="11"/>
  <c r="E167" i="11"/>
  <c r="E166" i="11"/>
  <c r="E165" i="11"/>
  <c r="E164" i="11"/>
  <c r="E163" i="11"/>
  <c r="E162" i="11"/>
  <c r="E161" i="11"/>
  <c r="C160" i="11"/>
  <c r="C58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C64" i="10"/>
  <c r="C65" i="9"/>
  <c r="E38" i="5"/>
  <c r="E40" i="5"/>
  <c r="E42" i="5"/>
  <c r="E37" i="5"/>
  <c r="C186" i="4"/>
  <c r="C90" i="9"/>
  <c r="E102" i="9"/>
  <c r="E101" i="9"/>
  <c r="E100" i="9"/>
  <c r="E99" i="9"/>
  <c r="E98" i="9"/>
  <c r="E97" i="9"/>
  <c r="E96" i="9"/>
  <c r="C95" i="9"/>
  <c r="E92" i="8"/>
  <c r="E91" i="8"/>
  <c r="E90" i="8"/>
  <c r="E89" i="8"/>
  <c r="E88" i="8"/>
  <c r="E87" i="8"/>
  <c r="E86" i="8"/>
  <c r="C85" i="8"/>
  <c r="C253" i="7"/>
  <c r="E265" i="7"/>
  <c r="E264" i="7"/>
  <c r="E263" i="7"/>
  <c r="E262" i="7"/>
  <c r="E261" i="7"/>
  <c r="E260" i="7"/>
  <c r="E259" i="7"/>
  <c r="C258" i="7"/>
  <c r="E142" i="5"/>
  <c r="E141" i="5"/>
  <c r="E140" i="5"/>
  <c r="E139" i="5"/>
  <c r="E138" i="5"/>
  <c r="E137" i="5"/>
  <c r="E136" i="5"/>
  <c r="C135" i="5"/>
  <c r="E132" i="4"/>
  <c r="E131" i="4"/>
  <c r="E130" i="4"/>
  <c r="E129" i="4"/>
  <c r="E128" i="4"/>
  <c r="E127" i="4"/>
  <c r="E126" i="4"/>
  <c r="C125" i="4"/>
  <c r="E61" i="3"/>
  <c r="C127" i="3"/>
  <c r="D130" i="3" s="1"/>
  <c r="D124" i="3"/>
  <c r="F122" i="3" s="1"/>
  <c r="D121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C177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C154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C132" i="3"/>
  <c r="C96" i="3"/>
  <c r="D99" i="3" s="1"/>
  <c r="E117" i="3"/>
  <c r="E116" i="3"/>
  <c r="E115" i="3"/>
  <c r="E114" i="3"/>
  <c r="E113" i="3"/>
  <c r="E112" i="3"/>
  <c r="E111" i="3"/>
  <c r="E110" i="3"/>
  <c r="E109" i="3"/>
  <c r="E108" i="3"/>
  <c r="E107" i="3"/>
  <c r="E105" i="3"/>
  <c r="E104" i="3"/>
  <c r="E103" i="3"/>
  <c r="E102" i="3"/>
  <c r="C101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C76" i="3"/>
  <c r="E47" i="3"/>
  <c r="C30" i="3"/>
  <c r="D202" i="4"/>
  <c r="F200" i="4" s="1"/>
  <c r="D199" i="4"/>
  <c r="D560" i="4"/>
  <c r="D438" i="4"/>
  <c r="D414" i="4"/>
  <c r="D368" i="4"/>
  <c r="D343" i="4"/>
  <c r="E580" i="4"/>
  <c r="E579" i="4"/>
  <c r="E578" i="4"/>
  <c r="E577" i="4"/>
  <c r="E576" i="4"/>
  <c r="E575" i="4"/>
  <c r="E574" i="4"/>
  <c r="E573" i="4"/>
  <c r="E572" i="4"/>
  <c r="E571" i="4"/>
  <c r="E570" i="4"/>
  <c r="E568" i="4"/>
  <c r="E567" i="4"/>
  <c r="E566" i="4"/>
  <c r="E565" i="4"/>
  <c r="C564" i="4"/>
  <c r="E556" i="4"/>
  <c r="E555" i="4"/>
  <c r="E554" i="4"/>
  <c r="E553" i="4"/>
  <c r="E552" i="4"/>
  <c r="E551" i="4"/>
  <c r="E550" i="4"/>
  <c r="E549" i="4"/>
  <c r="E548" i="4"/>
  <c r="E547" i="4"/>
  <c r="E546" i="4"/>
  <c r="E544" i="4"/>
  <c r="E543" i="4"/>
  <c r="E542" i="4"/>
  <c r="E541" i="4"/>
  <c r="C540" i="4"/>
  <c r="D536" i="4"/>
  <c r="E532" i="4"/>
  <c r="E531" i="4"/>
  <c r="E530" i="4"/>
  <c r="E529" i="4"/>
  <c r="E528" i="4"/>
  <c r="E527" i="4"/>
  <c r="E526" i="4"/>
  <c r="E525" i="4"/>
  <c r="E524" i="4"/>
  <c r="E523" i="4"/>
  <c r="E522" i="4"/>
  <c r="E520" i="4"/>
  <c r="E519" i="4"/>
  <c r="E518" i="4"/>
  <c r="E517" i="4"/>
  <c r="C516" i="4"/>
  <c r="E507" i="4"/>
  <c r="E506" i="4"/>
  <c r="E505" i="4"/>
  <c r="E504" i="4"/>
  <c r="E503" i="4"/>
  <c r="E502" i="4"/>
  <c r="E501" i="4"/>
  <c r="E500" i="4"/>
  <c r="E499" i="4"/>
  <c r="E498" i="4"/>
  <c r="E497" i="4"/>
  <c r="E495" i="4"/>
  <c r="E494" i="4"/>
  <c r="E493" i="4"/>
  <c r="E492" i="4"/>
  <c r="C491" i="4"/>
  <c r="E483" i="4"/>
  <c r="E482" i="4"/>
  <c r="E481" i="4"/>
  <c r="E480" i="4"/>
  <c r="E479" i="4"/>
  <c r="E478" i="4"/>
  <c r="E477" i="4"/>
  <c r="E476" i="4"/>
  <c r="E475" i="4"/>
  <c r="E474" i="4"/>
  <c r="E473" i="4"/>
  <c r="E471" i="4"/>
  <c r="E470" i="4"/>
  <c r="E469" i="4"/>
  <c r="E468" i="4"/>
  <c r="C467" i="4"/>
  <c r="E458" i="4"/>
  <c r="E457" i="4"/>
  <c r="E456" i="4"/>
  <c r="E455" i="4"/>
  <c r="E454" i="4"/>
  <c r="E453" i="4"/>
  <c r="E452" i="4"/>
  <c r="E451" i="4"/>
  <c r="E450" i="4"/>
  <c r="E449" i="4"/>
  <c r="E448" i="4"/>
  <c r="E446" i="4"/>
  <c r="E445" i="4"/>
  <c r="E444" i="4"/>
  <c r="E443" i="4"/>
  <c r="C442" i="4"/>
  <c r="E434" i="4"/>
  <c r="E433" i="4"/>
  <c r="E432" i="4"/>
  <c r="E431" i="4"/>
  <c r="E430" i="4"/>
  <c r="E429" i="4"/>
  <c r="E428" i="4"/>
  <c r="E427" i="4"/>
  <c r="E426" i="4"/>
  <c r="E425" i="4"/>
  <c r="E424" i="4"/>
  <c r="E422" i="4"/>
  <c r="E421" i="4"/>
  <c r="E420" i="4"/>
  <c r="E419" i="4"/>
  <c r="C41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4" i="4"/>
  <c r="E373" i="4"/>
  <c r="C372" i="4"/>
  <c r="E364" i="4"/>
  <c r="E363" i="4"/>
  <c r="E362" i="4"/>
  <c r="E361" i="4"/>
  <c r="E360" i="4"/>
  <c r="E359" i="4"/>
  <c r="E358" i="4"/>
  <c r="E357" i="4"/>
  <c r="E356" i="4"/>
  <c r="E355" i="4"/>
  <c r="E354" i="4"/>
  <c r="E352" i="4"/>
  <c r="E351" i="4"/>
  <c r="E350" i="4"/>
  <c r="E349" i="4"/>
  <c r="C348" i="4"/>
  <c r="C318" i="4"/>
  <c r="D321" i="4" s="1"/>
  <c r="E339" i="4"/>
  <c r="E338" i="4"/>
  <c r="E337" i="4"/>
  <c r="E336" i="4"/>
  <c r="E335" i="4"/>
  <c r="E334" i="4"/>
  <c r="E333" i="4"/>
  <c r="E332" i="4"/>
  <c r="E331" i="4"/>
  <c r="E330" i="4"/>
  <c r="E329" i="4"/>
  <c r="E327" i="4"/>
  <c r="E326" i="4"/>
  <c r="E325" i="4"/>
  <c r="E324" i="4"/>
  <c r="C323" i="4"/>
  <c r="D300" i="4"/>
  <c r="E314" i="4"/>
  <c r="E313" i="4"/>
  <c r="E312" i="4"/>
  <c r="E311" i="4"/>
  <c r="E310" i="4"/>
  <c r="E308" i="4"/>
  <c r="E307" i="4"/>
  <c r="C306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C282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C258" i="4"/>
  <c r="C230" i="4"/>
  <c r="D233" i="4" s="1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C235" i="4"/>
  <c r="E150" i="11"/>
  <c r="E149" i="11"/>
  <c r="E148" i="11"/>
  <c r="E147" i="11"/>
  <c r="E146" i="11"/>
  <c r="E145" i="11"/>
  <c r="E144" i="11"/>
  <c r="E143" i="11"/>
  <c r="E142" i="11"/>
  <c r="E141" i="11"/>
  <c r="E140" i="11"/>
  <c r="E139" i="11"/>
  <c r="E138" i="11"/>
  <c r="E137" i="11"/>
  <c r="E136" i="11"/>
  <c r="E135" i="11"/>
  <c r="C134" i="11"/>
  <c r="C129" i="11"/>
  <c r="D134" i="10"/>
  <c r="C205" i="4"/>
  <c r="D131" i="10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C210" i="4"/>
  <c r="D208" i="4"/>
  <c r="E196" i="4"/>
  <c r="E194" i="4"/>
  <c r="E193" i="4"/>
  <c r="E192" i="4"/>
  <c r="C191" i="4"/>
  <c r="E157" i="4"/>
  <c r="E156" i="4"/>
  <c r="E155" i="4"/>
  <c r="E154" i="4"/>
  <c r="E153" i="4"/>
  <c r="E152" i="4"/>
  <c r="E151" i="4"/>
  <c r="E150" i="4"/>
  <c r="E149" i="4"/>
  <c r="E148" i="4"/>
  <c r="E147" i="4"/>
  <c r="C95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C101" i="4"/>
  <c r="E81" i="4"/>
  <c r="E84" i="4"/>
  <c r="E82" i="4"/>
  <c r="E83" i="4"/>
  <c r="E87" i="4"/>
  <c r="E85" i="4"/>
  <c r="E86" i="4"/>
  <c r="C107" i="5"/>
  <c r="D110" i="5" s="1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C112" i="5"/>
  <c r="C76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C82" i="5"/>
  <c r="D104" i="5"/>
  <c r="F102" i="5" s="1"/>
  <c r="C101" i="5"/>
  <c r="C51" i="5"/>
  <c r="D54" i="5" s="1"/>
  <c r="E72" i="5"/>
  <c r="E71" i="5"/>
  <c r="E70" i="5"/>
  <c r="E69" i="5"/>
  <c r="E68" i="5"/>
  <c r="E67" i="5"/>
  <c r="E66" i="5"/>
  <c r="E65" i="5"/>
  <c r="E64" i="5"/>
  <c r="E63" i="5"/>
  <c r="E62" i="5"/>
  <c r="E60" i="5"/>
  <c r="E59" i="5"/>
  <c r="E58" i="5"/>
  <c r="E57" i="5"/>
  <c r="C56" i="5"/>
  <c r="B26" i="5"/>
  <c r="C183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C189" i="6"/>
  <c r="D163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C165" i="6"/>
  <c r="F155" i="6"/>
  <c r="D157" i="6"/>
  <c r="D154" i="6"/>
  <c r="D129" i="6"/>
  <c r="D132" i="6" s="1"/>
  <c r="E150" i="6"/>
  <c r="E149" i="6"/>
  <c r="E148" i="6"/>
  <c r="E147" i="6"/>
  <c r="E146" i="6"/>
  <c r="E145" i="6"/>
  <c r="E144" i="6"/>
  <c r="E143" i="6"/>
  <c r="E142" i="6"/>
  <c r="E141" i="6"/>
  <c r="E140" i="6"/>
  <c r="E138" i="6"/>
  <c r="E137" i="6"/>
  <c r="E136" i="6"/>
  <c r="E135" i="6"/>
  <c r="C134" i="6"/>
  <c r="B29" i="6"/>
  <c r="C228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C234" i="7"/>
  <c r="D160" i="7"/>
  <c r="D163" i="7" s="1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C210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C187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C165" i="7"/>
  <c r="D138" i="7"/>
  <c r="D135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C140" i="7"/>
  <c r="D132" i="7"/>
  <c r="F130" i="7" s="1"/>
  <c r="D104" i="7"/>
  <c r="D107" i="7" s="1"/>
  <c r="D129" i="7"/>
  <c r="E125" i="7"/>
  <c r="E124" i="7"/>
  <c r="E123" i="7"/>
  <c r="E122" i="7"/>
  <c r="E121" i="7"/>
  <c r="E120" i="7"/>
  <c r="E119" i="7"/>
  <c r="E118" i="7"/>
  <c r="E117" i="7"/>
  <c r="E116" i="7"/>
  <c r="E115" i="7"/>
  <c r="E113" i="7"/>
  <c r="E112" i="7"/>
  <c r="E111" i="7"/>
  <c r="E110" i="7"/>
  <c r="C109" i="7"/>
  <c r="B79" i="7"/>
  <c r="B31" i="7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C177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C154" i="8"/>
  <c r="D130" i="8"/>
  <c r="D124" i="8"/>
  <c r="F122" i="8" s="1"/>
  <c r="D121" i="8"/>
  <c r="D96" i="8"/>
  <c r="D99" i="8" s="1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C132" i="8"/>
  <c r="E117" i="8"/>
  <c r="E116" i="8"/>
  <c r="E115" i="8"/>
  <c r="E114" i="8"/>
  <c r="E113" i="8"/>
  <c r="E112" i="8"/>
  <c r="E111" i="8"/>
  <c r="E110" i="8"/>
  <c r="E109" i="8"/>
  <c r="E108" i="8"/>
  <c r="E107" i="8"/>
  <c r="E105" i="8"/>
  <c r="E104" i="8"/>
  <c r="E103" i="8"/>
  <c r="E102" i="8"/>
  <c r="C101" i="8"/>
  <c r="C55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C61" i="8"/>
  <c r="B30" i="8"/>
  <c r="D422" i="9"/>
  <c r="D398" i="9"/>
  <c r="D230" i="9"/>
  <c r="D205" i="9"/>
  <c r="E442" i="9"/>
  <c r="E441" i="9"/>
  <c r="E440" i="9"/>
  <c r="E439" i="9"/>
  <c r="E438" i="9"/>
  <c r="E437" i="9"/>
  <c r="E436" i="9"/>
  <c r="E435" i="9"/>
  <c r="E434" i="9"/>
  <c r="E433" i="9"/>
  <c r="E432" i="9"/>
  <c r="E430" i="9"/>
  <c r="E429" i="9"/>
  <c r="E428" i="9"/>
  <c r="E427" i="9"/>
  <c r="C426" i="9"/>
  <c r="E418" i="9"/>
  <c r="E417" i="9"/>
  <c r="E416" i="9"/>
  <c r="E415" i="9"/>
  <c r="E414" i="9"/>
  <c r="E413" i="9"/>
  <c r="E412" i="9"/>
  <c r="E411" i="9"/>
  <c r="E410" i="9"/>
  <c r="E409" i="9"/>
  <c r="E408" i="9"/>
  <c r="E406" i="9"/>
  <c r="E405" i="9"/>
  <c r="E404" i="9"/>
  <c r="E403" i="9"/>
  <c r="C402" i="9"/>
  <c r="E394" i="9"/>
  <c r="E393" i="9"/>
  <c r="E392" i="9"/>
  <c r="E391" i="9"/>
  <c r="E390" i="9"/>
  <c r="E389" i="9"/>
  <c r="E388" i="9"/>
  <c r="E387" i="9"/>
  <c r="E386" i="9"/>
  <c r="E385" i="9"/>
  <c r="E384" i="9"/>
  <c r="E382" i="9"/>
  <c r="E381" i="9"/>
  <c r="E380" i="9"/>
  <c r="E379" i="9"/>
  <c r="C378" i="9"/>
  <c r="E369" i="9"/>
  <c r="E368" i="9"/>
  <c r="E367" i="9"/>
  <c r="E366" i="9"/>
  <c r="E365" i="9"/>
  <c r="E364" i="9"/>
  <c r="E363" i="9"/>
  <c r="E362" i="9"/>
  <c r="E361" i="9"/>
  <c r="E360" i="9"/>
  <c r="E359" i="9"/>
  <c r="E357" i="9"/>
  <c r="E356" i="9"/>
  <c r="E355" i="9"/>
  <c r="E354" i="9"/>
  <c r="C353" i="9"/>
  <c r="E345" i="9"/>
  <c r="E344" i="9"/>
  <c r="E343" i="9"/>
  <c r="E342" i="9"/>
  <c r="E341" i="9"/>
  <c r="E340" i="9"/>
  <c r="E339" i="9"/>
  <c r="E338" i="9"/>
  <c r="E337" i="9"/>
  <c r="E336" i="9"/>
  <c r="E335" i="9"/>
  <c r="E333" i="9"/>
  <c r="E332" i="9"/>
  <c r="E331" i="9"/>
  <c r="E330" i="9"/>
  <c r="C329" i="9"/>
  <c r="E320" i="9"/>
  <c r="E319" i="9"/>
  <c r="E318" i="9"/>
  <c r="E317" i="9"/>
  <c r="E316" i="9"/>
  <c r="E315" i="9"/>
  <c r="E314" i="9"/>
  <c r="E313" i="9"/>
  <c r="E312" i="9"/>
  <c r="E311" i="9"/>
  <c r="E310" i="9"/>
  <c r="E308" i="9"/>
  <c r="E307" i="9"/>
  <c r="E306" i="9"/>
  <c r="E305" i="9"/>
  <c r="C304" i="9"/>
  <c r="E296" i="9"/>
  <c r="E295" i="9"/>
  <c r="E294" i="9"/>
  <c r="E293" i="9"/>
  <c r="E292" i="9"/>
  <c r="E291" i="9"/>
  <c r="E290" i="9"/>
  <c r="E289" i="9"/>
  <c r="E288" i="9"/>
  <c r="E287" i="9"/>
  <c r="E286" i="9"/>
  <c r="E284" i="9"/>
  <c r="E283" i="9"/>
  <c r="E282" i="9"/>
  <c r="E281" i="9"/>
  <c r="C28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6" i="9"/>
  <c r="E235" i="9"/>
  <c r="C234" i="9"/>
  <c r="E226" i="9"/>
  <c r="E225" i="9"/>
  <c r="E224" i="9"/>
  <c r="E223" i="9"/>
  <c r="E222" i="9"/>
  <c r="E221" i="9"/>
  <c r="E220" i="9"/>
  <c r="E219" i="9"/>
  <c r="E218" i="9"/>
  <c r="E217" i="9"/>
  <c r="E216" i="9"/>
  <c r="E214" i="9"/>
  <c r="E213" i="9"/>
  <c r="E212" i="9"/>
  <c r="E211" i="9"/>
  <c r="C210" i="9"/>
  <c r="D208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C164" i="9"/>
  <c r="D160" i="9"/>
  <c r="D182" i="9"/>
  <c r="E151" i="11" l="1"/>
  <c r="E134" i="11" s="1"/>
  <c r="D133" i="11" s="1"/>
  <c r="F130" i="11" s="1"/>
  <c r="E176" i="11"/>
  <c r="E160" i="11" s="1"/>
  <c r="D159" i="11" s="1"/>
  <c r="F155" i="11" s="1"/>
  <c r="E80" i="10"/>
  <c r="E64" i="10" s="1"/>
  <c r="D63" i="10" s="1"/>
  <c r="F59" i="10" s="1"/>
  <c r="E103" i="9"/>
  <c r="E95" i="9" s="1"/>
  <c r="D94" i="9" s="1"/>
  <c r="F91" i="9" s="1"/>
  <c r="E443" i="9"/>
  <c r="E419" i="9"/>
  <c r="E402" i="9" s="1"/>
  <c r="D401" i="9" s="1"/>
  <c r="F399" i="9" s="1"/>
  <c r="E143" i="5"/>
  <c r="E135" i="5" s="1"/>
  <c r="D134" i="5" s="1"/>
  <c r="F131" i="5" s="1"/>
  <c r="E133" i="4"/>
  <c r="E125" i="4" s="1"/>
  <c r="D124" i="4" s="1"/>
  <c r="F121" i="4" s="1"/>
  <c r="E315" i="4"/>
  <c r="E306" i="4" s="1"/>
  <c r="D305" i="4" s="1"/>
  <c r="F301" i="4" s="1"/>
  <c r="E297" i="9"/>
  <c r="E280" i="9" s="1"/>
  <c r="D279" i="9" s="1"/>
  <c r="F277" i="9" s="1"/>
  <c r="E321" i="9"/>
  <c r="E346" i="9"/>
  <c r="E329" i="9" s="1"/>
  <c r="D328" i="9" s="1"/>
  <c r="F325" i="9" s="1"/>
  <c r="E370" i="9"/>
  <c r="E395" i="9"/>
  <c r="E169" i="8"/>
  <c r="E154" i="8" s="1"/>
  <c r="D153" i="8" s="1"/>
  <c r="F151" i="8" s="1"/>
  <c r="E93" i="8"/>
  <c r="E85" i="8" s="1"/>
  <c r="D84" i="8" s="1"/>
  <c r="F81" i="8" s="1"/>
  <c r="E266" i="7"/>
  <c r="E258" i="7" s="1"/>
  <c r="D257" i="7" s="1"/>
  <c r="F254" i="7" s="1"/>
  <c r="E365" i="4"/>
  <c r="E348" i="4" s="1"/>
  <c r="D347" i="4" s="1"/>
  <c r="F344" i="4" s="1"/>
  <c r="E147" i="3"/>
  <c r="E132" i="3" s="1"/>
  <c r="D131" i="3" s="1"/>
  <c r="F128" i="3" s="1"/>
  <c r="E192" i="3"/>
  <c r="E177" i="3" s="1"/>
  <c r="D176" i="3" s="1"/>
  <c r="F173" i="3" s="1"/>
  <c r="E169" i="3"/>
  <c r="E154" i="3" s="1"/>
  <c r="D153" i="3" s="1"/>
  <c r="F151" i="3" s="1"/>
  <c r="E118" i="3"/>
  <c r="E101" i="3" s="1"/>
  <c r="D100" i="3" s="1"/>
  <c r="F97" i="3" s="1"/>
  <c r="E93" i="3"/>
  <c r="E76" i="3" s="1"/>
  <c r="D75" i="3" s="1"/>
  <c r="F72" i="3" s="1"/>
  <c r="E273" i="4"/>
  <c r="E258" i="4" s="1"/>
  <c r="D257" i="4" s="1"/>
  <c r="F254" i="4" s="1"/>
  <c r="E557" i="4"/>
  <c r="E540" i="4" s="1"/>
  <c r="D539" i="4" s="1"/>
  <c r="F537" i="4" s="1"/>
  <c r="E581" i="4"/>
  <c r="E227" i="4"/>
  <c r="E210" i="4" s="1"/>
  <c r="D209" i="4" s="1"/>
  <c r="F206" i="4" s="1"/>
  <c r="E340" i="4"/>
  <c r="E323" i="4" s="1"/>
  <c r="D322" i="4" s="1"/>
  <c r="F319" i="4" s="1"/>
  <c r="E435" i="4"/>
  <c r="E418" i="4" s="1"/>
  <c r="D417" i="4" s="1"/>
  <c r="F415" i="4" s="1"/>
  <c r="E508" i="4"/>
  <c r="E491" i="4" s="1"/>
  <c r="D490" i="4" s="1"/>
  <c r="F488" i="4" s="1"/>
  <c r="E533" i="4"/>
  <c r="E516" i="4" s="1"/>
  <c r="D515" i="4" s="1"/>
  <c r="F512" i="4" s="1"/>
  <c r="E250" i="4"/>
  <c r="E235" i="4" s="1"/>
  <c r="D234" i="4" s="1"/>
  <c r="F231" i="4" s="1"/>
  <c r="E297" i="4"/>
  <c r="E282" i="4" s="1"/>
  <c r="D281" i="4" s="1"/>
  <c r="F277" i="4" s="1"/>
  <c r="E459" i="4"/>
  <c r="E442" i="4" s="1"/>
  <c r="D441" i="4" s="1"/>
  <c r="F439" i="4" s="1"/>
  <c r="E484" i="4"/>
  <c r="E467" i="4" s="1"/>
  <c r="D466" i="4" s="1"/>
  <c r="F463" i="4" s="1"/>
  <c r="E388" i="4"/>
  <c r="E372" i="4" s="1"/>
  <c r="D371" i="4" s="1"/>
  <c r="F369" i="4" s="1"/>
  <c r="E564" i="4"/>
  <c r="D563" i="4" s="1"/>
  <c r="F561" i="4" s="1"/>
  <c r="E195" i="4"/>
  <c r="E191" i="4" s="1"/>
  <c r="D190" i="4" s="1"/>
  <c r="F187" i="4" s="1"/>
  <c r="E117" i="4"/>
  <c r="E101" i="4" s="1"/>
  <c r="D100" i="4" s="1"/>
  <c r="F96" i="4" s="1"/>
  <c r="E127" i="5"/>
  <c r="E112" i="5" s="1"/>
  <c r="D111" i="5" s="1"/>
  <c r="F108" i="5" s="1"/>
  <c r="E180" i="7"/>
  <c r="E165" i="7" s="1"/>
  <c r="D164" i="7" s="1"/>
  <c r="F161" i="7" s="1"/>
  <c r="E98" i="5"/>
  <c r="E82" i="5" s="1"/>
  <c r="D81" i="5" s="1"/>
  <c r="F77" i="5" s="1"/>
  <c r="E73" i="5"/>
  <c r="E56" i="5" s="1"/>
  <c r="D55" i="5" s="1"/>
  <c r="F52" i="5" s="1"/>
  <c r="E151" i="6"/>
  <c r="E134" i="6" s="1"/>
  <c r="D133" i="6" s="1"/>
  <c r="F130" i="6" s="1"/>
  <c r="E180" i="6"/>
  <c r="E165" i="6" s="1"/>
  <c r="D164" i="6" s="1"/>
  <c r="F161" i="6" s="1"/>
  <c r="E205" i="6"/>
  <c r="E189" i="6" s="1"/>
  <c r="D188" i="6" s="1"/>
  <c r="F184" i="6" s="1"/>
  <c r="E202" i="7"/>
  <c r="E250" i="7"/>
  <c r="E234" i="7" s="1"/>
  <c r="D233" i="7" s="1"/>
  <c r="F229" i="7" s="1"/>
  <c r="E225" i="7"/>
  <c r="E210" i="7" s="1"/>
  <c r="D209" i="7" s="1"/>
  <c r="F206" i="7" s="1"/>
  <c r="E157" i="7"/>
  <c r="E140" i="7" s="1"/>
  <c r="D139" i="7" s="1"/>
  <c r="F136" i="7" s="1"/>
  <c r="E187" i="7"/>
  <c r="D186" i="7" s="1"/>
  <c r="F184" i="7" s="1"/>
  <c r="E126" i="7"/>
  <c r="E109" i="7" s="1"/>
  <c r="D108" i="7" s="1"/>
  <c r="F105" i="7" s="1"/>
  <c r="E192" i="8"/>
  <c r="E177" i="8" s="1"/>
  <c r="D176" i="8" s="1"/>
  <c r="F173" i="8" s="1"/>
  <c r="E147" i="8"/>
  <c r="E132" i="8" s="1"/>
  <c r="D131" i="8" s="1"/>
  <c r="F128" i="8" s="1"/>
  <c r="E118" i="8"/>
  <c r="E101" i="8" s="1"/>
  <c r="D100" i="8" s="1"/>
  <c r="F97" i="8" s="1"/>
  <c r="E77" i="8"/>
  <c r="E61" i="8"/>
  <c r="D60" i="8" s="1"/>
  <c r="F56" i="8" s="1"/>
  <c r="E227" i="9"/>
  <c r="E210" i="9" s="1"/>
  <c r="D209" i="9" s="1"/>
  <c r="F206" i="9" s="1"/>
  <c r="E304" i="9"/>
  <c r="D303" i="9" s="1"/>
  <c r="F301" i="9" s="1"/>
  <c r="E353" i="9"/>
  <c r="D352" i="9" s="1"/>
  <c r="F350" i="9" s="1"/>
  <c r="E378" i="9"/>
  <c r="D377" i="9" s="1"/>
  <c r="F374" i="9" s="1"/>
  <c r="E250" i="9"/>
  <c r="E234" i="9" s="1"/>
  <c r="D233" i="9" s="1"/>
  <c r="F231" i="9" s="1"/>
  <c r="E426" i="9"/>
  <c r="D425" i="9" s="1"/>
  <c r="F423" i="9" s="1"/>
  <c r="E179" i="9"/>
  <c r="E164" i="9" s="1"/>
  <c r="D163" i="9" s="1"/>
  <c r="F161" i="9" s="1"/>
  <c r="D140" i="9" l="1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C142" i="9"/>
  <c r="D134" i="9"/>
  <c r="F132" i="9" s="1"/>
  <c r="D106" i="9"/>
  <c r="D109" i="9" s="1"/>
  <c r="E127" i="9"/>
  <c r="E126" i="9"/>
  <c r="E125" i="9"/>
  <c r="E124" i="9"/>
  <c r="E123" i="9"/>
  <c r="E122" i="9"/>
  <c r="E121" i="9"/>
  <c r="E120" i="9"/>
  <c r="E119" i="9"/>
  <c r="E118" i="9"/>
  <c r="E117" i="9"/>
  <c r="E115" i="9"/>
  <c r="E114" i="9"/>
  <c r="E113" i="9"/>
  <c r="E112" i="9"/>
  <c r="C111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C71" i="9"/>
  <c r="D368" i="10"/>
  <c r="D344" i="10"/>
  <c r="D199" i="10"/>
  <c r="D174" i="10"/>
  <c r="E388" i="10"/>
  <c r="E387" i="10"/>
  <c r="E386" i="10"/>
  <c r="E385" i="10"/>
  <c r="E384" i="10"/>
  <c r="E383" i="10"/>
  <c r="E382" i="10"/>
  <c r="E381" i="10"/>
  <c r="E380" i="10"/>
  <c r="E379" i="10"/>
  <c r="E378" i="10"/>
  <c r="E376" i="10"/>
  <c r="E375" i="10"/>
  <c r="E374" i="10"/>
  <c r="E373" i="10"/>
  <c r="C372" i="10"/>
  <c r="E364" i="10"/>
  <c r="E363" i="10"/>
  <c r="E362" i="10"/>
  <c r="E361" i="10"/>
  <c r="E360" i="10"/>
  <c r="E359" i="10"/>
  <c r="E358" i="10"/>
  <c r="E357" i="10"/>
  <c r="E356" i="10"/>
  <c r="E355" i="10"/>
  <c r="E354" i="10"/>
  <c r="E352" i="10"/>
  <c r="E351" i="10"/>
  <c r="E350" i="10"/>
  <c r="E349" i="10"/>
  <c r="C348" i="10"/>
  <c r="E340" i="10"/>
  <c r="E339" i="10"/>
  <c r="E338" i="10"/>
  <c r="E337" i="10"/>
  <c r="E336" i="10"/>
  <c r="E335" i="10"/>
  <c r="E334" i="10"/>
  <c r="E333" i="10"/>
  <c r="E332" i="10"/>
  <c r="E331" i="10"/>
  <c r="E330" i="10"/>
  <c r="E328" i="10"/>
  <c r="E327" i="10"/>
  <c r="E326" i="10"/>
  <c r="E325" i="10"/>
  <c r="C324" i="10"/>
  <c r="E315" i="10"/>
  <c r="E314" i="10"/>
  <c r="E313" i="10"/>
  <c r="E312" i="10"/>
  <c r="E311" i="10"/>
  <c r="E310" i="10"/>
  <c r="E309" i="10"/>
  <c r="E308" i="10"/>
  <c r="E307" i="10"/>
  <c r="E306" i="10"/>
  <c r="E305" i="10"/>
  <c r="E303" i="10"/>
  <c r="E302" i="10"/>
  <c r="E301" i="10"/>
  <c r="E300" i="10"/>
  <c r="C299" i="10"/>
  <c r="E291" i="10"/>
  <c r="E290" i="10"/>
  <c r="E289" i="10"/>
  <c r="E288" i="10"/>
  <c r="E287" i="10"/>
  <c r="E286" i="10"/>
  <c r="E285" i="10"/>
  <c r="E284" i="10"/>
  <c r="E283" i="10"/>
  <c r="E282" i="10"/>
  <c r="E281" i="10"/>
  <c r="E279" i="10"/>
  <c r="E278" i="10"/>
  <c r="E277" i="10"/>
  <c r="E276" i="10"/>
  <c r="C275" i="10"/>
  <c r="E266" i="10"/>
  <c r="E265" i="10"/>
  <c r="E264" i="10"/>
  <c r="E263" i="10"/>
  <c r="E262" i="10"/>
  <c r="E261" i="10"/>
  <c r="E260" i="10"/>
  <c r="E259" i="10"/>
  <c r="E258" i="10"/>
  <c r="E257" i="10"/>
  <c r="E256" i="10"/>
  <c r="E254" i="10"/>
  <c r="E253" i="10"/>
  <c r="E252" i="10"/>
  <c r="E251" i="10"/>
  <c r="C250" i="10"/>
  <c r="E242" i="10"/>
  <c r="E241" i="10"/>
  <c r="E240" i="10"/>
  <c r="E239" i="10"/>
  <c r="E238" i="10"/>
  <c r="E237" i="10"/>
  <c r="E236" i="10"/>
  <c r="E235" i="10"/>
  <c r="E234" i="10"/>
  <c r="E233" i="10"/>
  <c r="E232" i="10"/>
  <c r="E230" i="10"/>
  <c r="E229" i="10"/>
  <c r="E228" i="10"/>
  <c r="E227" i="10"/>
  <c r="C226" i="10"/>
  <c r="D222" i="10"/>
  <c r="E218" i="10"/>
  <c r="E217" i="10"/>
  <c r="E216" i="10"/>
  <c r="E215" i="10"/>
  <c r="E214" i="10"/>
  <c r="E213" i="10"/>
  <c r="E212" i="10"/>
  <c r="E211" i="10"/>
  <c r="E210" i="10"/>
  <c r="E209" i="10"/>
  <c r="E208" i="10"/>
  <c r="E207" i="10"/>
  <c r="E205" i="10"/>
  <c r="E204" i="10"/>
  <c r="C203" i="10"/>
  <c r="E195" i="10"/>
  <c r="E194" i="10"/>
  <c r="E193" i="10"/>
  <c r="E192" i="10"/>
  <c r="E191" i="10"/>
  <c r="E190" i="10"/>
  <c r="E189" i="10"/>
  <c r="E188" i="10"/>
  <c r="E187" i="10"/>
  <c r="E186" i="10"/>
  <c r="E185" i="10"/>
  <c r="E183" i="10"/>
  <c r="E182" i="10"/>
  <c r="E181" i="10"/>
  <c r="E180" i="10"/>
  <c r="C179" i="10"/>
  <c r="D177" i="10"/>
  <c r="B156" i="10"/>
  <c r="E170" i="10"/>
  <c r="E169" i="10"/>
  <c r="E168" i="10"/>
  <c r="E167" i="10"/>
  <c r="E166" i="10"/>
  <c r="E164" i="10"/>
  <c r="E163" i="10"/>
  <c r="C162" i="10"/>
  <c r="D106" i="10"/>
  <c r="D109" i="10" s="1"/>
  <c r="E127" i="10"/>
  <c r="E126" i="10"/>
  <c r="E125" i="10"/>
  <c r="E124" i="10"/>
  <c r="E123" i="10"/>
  <c r="E122" i="10"/>
  <c r="E121" i="10"/>
  <c r="E120" i="10"/>
  <c r="E119" i="10"/>
  <c r="E118" i="10"/>
  <c r="E117" i="10"/>
  <c r="E115" i="10"/>
  <c r="E114" i="10"/>
  <c r="E113" i="10"/>
  <c r="E112" i="10"/>
  <c r="C111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C87" i="10"/>
  <c r="D462" i="11"/>
  <c r="E482" i="11"/>
  <c r="E481" i="11"/>
  <c r="E480" i="11"/>
  <c r="E479" i="11"/>
  <c r="E478" i="11"/>
  <c r="E477" i="11"/>
  <c r="E476" i="11"/>
  <c r="E475" i="11"/>
  <c r="E474" i="11"/>
  <c r="E473" i="11"/>
  <c r="E472" i="11"/>
  <c r="E470" i="11"/>
  <c r="E469" i="11"/>
  <c r="E468" i="11"/>
  <c r="E467" i="11"/>
  <c r="C466" i="11"/>
  <c r="D271" i="11"/>
  <c r="D268" i="11"/>
  <c r="E458" i="11"/>
  <c r="E457" i="11"/>
  <c r="E456" i="11"/>
  <c r="E455" i="11"/>
  <c r="E454" i="11"/>
  <c r="E453" i="11"/>
  <c r="E452" i="11"/>
  <c r="E451" i="11"/>
  <c r="E450" i="11"/>
  <c r="E449" i="11"/>
  <c r="E448" i="11"/>
  <c r="E446" i="11"/>
  <c r="E445" i="11"/>
  <c r="E444" i="11"/>
  <c r="E443" i="11"/>
  <c r="C442" i="11"/>
  <c r="E434" i="11"/>
  <c r="E433" i="11"/>
  <c r="E432" i="11"/>
  <c r="E431" i="11"/>
  <c r="E430" i="11"/>
  <c r="E429" i="11"/>
  <c r="E428" i="11"/>
  <c r="E427" i="11"/>
  <c r="E426" i="11"/>
  <c r="E425" i="11"/>
  <c r="E424" i="11"/>
  <c r="E422" i="11"/>
  <c r="E421" i="11"/>
  <c r="E420" i="11"/>
  <c r="E419" i="11"/>
  <c r="C418" i="11"/>
  <c r="E409" i="11"/>
  <c r="E408" i="11"/>
  <c r="E407" i="11"/>
  <c r="E406" i="11"/>
  <c r="E405" i="11"/>
  <c r="E404" i="11"/>
  <c r="E403" i="11"/>
  <c r="E402" i="11"/>
  <c r="E401" i="11"/>
  <c r="E400" i="11"/>
  <c r="E399" i="11"/>
  <c r="E397" i="11"/>
  <c r="E396" i="11"/>
  <c r="E395" i="11"/>
  <c r="E394" i="11"/>
  <c r="C393" i="11"/>
  <c r="E385" i="11"/>
  <c r="E384" i="11"/>
  <c r="E383" i="11"/>
  <c r="E382" i="11"/>
  <c r="E381" i="11"/>
  <c r="E380" i="11"/>
  <c r="E379" i="11"/>
  <c r="E378" i="11"/>
  <c r="E377" i="11"/>
  <c r="E376" i="11"/>
  <c r="E375" i="11"/>
  <c r="E373" i="11"/>
  <c r="E372" i="11"/>
  <c r="E371" i="11"/>
  <c r="E370" i="11"/>
  <c r="C369" i="11"/>
  <c r="E360" i="11"/>
  <c r="E359" i="11"/>
  <c r="E358" i="11"/>
  <c r="E357" i="11"/>
  <c r="E356" i="11"/>
  <c r="E355" i="11"/>
  <c r="E354" i="11"/>
  <c r="E353" i="11"/>
  <c r="E352" i="11"/>
  <c r="E351" i="11"/>
  <c r="E350" i="11"/>
  <c r="E348" i="11"/>
  <c r="E347" i="11"/>
  <c r="E346" i="11"/>
  <c r="E345" i="11"/>
  <c r="C344" i="11"/>
  <c r="E336" i="11"/>
  <c r="E335" i="11"/>
  <c r="E334" i="11"/>
  <c r="E333" i="11"/>
  <c r="E332" i="11"/>
  <c r="E331" i="11"/>
  <c r="E330" i="11"/>
  <c r="E329" i="11"/>
  <c r="E328" i="11"/>
  <c r="E327" i="11"/>
  <c r="E326" i="11"/>
  <c r="E324" i="11"/>
  <c r="E323" i="11"/>
  <c r="E322" i="11"/>
  <c r="E321" i="11"/>
  <c r="C320" i="11"/>
  <c r="E312" i="11"/>
  <c r="E311" i="11"/>
  <c r="E310" i="11"/>
  <c r="E309" i="11"/>
  <c r="E308" i="11"/>
  <c r="E307" i="11"/>
  <c r="E306" i="11"/>
  <c r="E305" i="11"/>
  <c r="E304" i="11"/>
  <c r="E303" i="11"/>
  <c r="E302" i="11"/>
  <c r="E301" i="11"/>
  <c r="E299" i="11"/>
  <c r="E298" i="11"/>
  <c r="C297" i="11"/>
  <c r="E289" i="11"/>
  <c r="E288" i="11"/>
  <c r="E287" i="11"/>
  <c r="E286" i="11"/>
  <c r="E285" i="11"/>
  <c r="E284" i="11"/>
  <c r="E283" i="11"/>
  <c r="E282" i="11"/>
  <c r="E281" i="11"/>
  <c r="E280" i="11"/>
  <c r="E279" i="11"/>
  <c r="E277" i="11"/>
  <c r="E276" i="11"/>
  <c r="E275" i="11"/>
  <c r="E274" i="11"/>
  <c r="C273" i="11"/>
  <c r="E262" i="11"/>
  <c r="E258" i="11"/>
  <c r="E264" i="11"/>
  <c r="E263" i="11"/>
  <c r="E261" i="11"/>
  <c r="E260" i="11"/>
  <c r="E257" i="11"/>
  <c r="C256" i="11"/>
  <c r="E242" i="11"/>
  <c r="D230" i="11"/>
  <c r="D83" i="11"/>
  <c r="F81" i="11" s="1"/>
  <c r="D179" i="11"/>
  <c r="D182" i="11" s="1"/>
  <c r="E200" i="11"/>
  <c r="E199" i="11"/>
  <c r="E198" i="11"/>
  <c r="E197" i="11"/>
  <c r="E196" i="11"/>
  <c r="E195" i="11"/>
  <c r="E194" i="11"/>
  <c r="E193" i="11"/>
  <c r="E192" i="11"/>
  <c r="E191" i="11"/>
  <c r="E190" i="11"/>
  <c r="E188" i="11"/>
  <c r="E187" i="11"/>
  <c r="E186" i="11"/>
  <c r="E185" i="11"/>
  <c r="C184" i="11"/>
  <c r="E372" i="12"/>
  <c r="E371" i="12"/>
  <c r="E370" i="12"/>
  <c r="E369" i="12"/>
  <c r="E368" i="12"/>
  <c r="E367" i="12"/>
  <c r="E366" i="12"/>
  <c r="E365" i="12"/>
  <c r="E364" i="12"/>
  <c r="E363" i="12"/>
  <c r="E362" i="12"/>
  <c r="E360" i="12"/>
  <c r="E359" i="12"/>
  <c r="E358" i="12"/>
  <c r="E357" i="12"/>
  <c r="C356" i="12"/>
  <c r="D352" i="12"/>
  <c r="E373" i="12" l="1"/>
  <c r="E171" i="10"/>
  <c r="E196" i="10"/>
  <c r="E179" i="10" s="1"/>
  <c r="D178" i="10" s="1"/>
  <c r="F175" i="10" s="1"/>
  <c r="E243" i="10"/>
  <c r="E226" i="10" s="1"/>
  <c r="D225" i="10" s="1"/>
  <c r="F223" i="10" s="1"/>
  <c r="E267" i="10"/>
  <c r="E250" i="10" s="1"/>
  <c r="D249" i="10" s="1"/>
  <c r="F247" i="10" s="1"/>
  <c r="E365" i="10"/>
  <c r="E316" i="10"/>
  <c r="E341" i="10"/>
  <c r="E324" i="10" s="1"/>
  <c r="D323" i="10" s="1"/>
  <c r="F320" i="10" s="1"/>
  <c r="E292" i="10"/>
  <c r="E275" i="10" s="1"/>
  <c r="D274" i="10" s="1"/>
  <c r="F271" i="10" s="1"/>
  <c r="E389" i="10"/>
  <c r="E157" i="9"/>
  <c r="E142" i="9" s="1"/>
  <c r="D141" i="9" s="1"/>
  <c r="F138" i="9" s="1"/>
  <c r="E87" i="9"/>
  <c r="E71" i="9" s="1"/>
  <c r="D70" i="9" s="1"/>
  <c r="F66" i="9" s="1"/>
  <c r="E128" i="9"/>
  <c r="E111" i="9" s="1"/>
  <c r="D110" i="9" s="1"/>
  <c r="F107" i="9" s="1"/>
  <c r="E348" i="10"/>
  <c r="D347" i="10" s="1"/>
  <c r="F345" i="10" s="1"/>
  <c r="E219" i="10"/>
  <c r="E203" i="10" s="1"/>
  <c r="D202" i="10" s="1"/>
  <c r="F200" i="10" s="1"/>
  <c r="E299" i="10"/>
  <c r="D298" i="10" s="1"/>
  <c r="F296" i="10" s="1"/>
  <c r="E372" i="10"/>
  <c r="D371" i="10" s="1"/>
  <c r="F369" i="10" s="1"/>
  <c r="E162" i="10"/>
  <c r="D161" i="10" s="1"/>
  <c r="F157" i="10" s="1"/>
  <c r="E128" i="10"/>
  <c r="E111" i="10" s="1"/>
  <c r="D110" i="10" s="1"/>
  <c r="F107" i="10" s="1"/>
  <c r="E103" i="10"/>
  <c r="E87" i="10" s="1"/>
  <c r="D86" i="10" s="1"/>
  <c r="F84" i="10" s="1"/>
  <c r="E290" i="11"/>
  <c r="E273" i="11" s="1"/>
  <c r="D272" i="11" s="1"/>
  <c r="F269" i="11" s="1"/>
  <c r="E265" i="11"/>
  <c r="E256" i="11" s="1"/>
  <c r="D255" i="11" s="1"/>
  <c r="F251" i="11" s="1"/>
  <c r="E435" i="11"/>
  <c r="E418" i="11" s="1"/>
  <c r="D417" i="11" s="1"/>
  <c r="F414" i="11" s="1"/>
  <c r="E337" i="11"/>
  <c r="E320" i="11" s="1"/>
  <c r="D319" i="11" s="1"/>
  <c r="F317" i="11" s="1"/>
  <c r="E361" i="11"/>
  <c r="E344" i="11" s="1"/>
  <c r="D343" i="11" s="1"/>
  <c r="F341" i="11" s="1"/>
  <c r="E386" i="11"/>
  <c r="E369" i="11" s="1"/>
  <c r="D368" i="11" s="1"/>
  <c r="F365" i="11" s="1"/>
  <c r="E410" i="11"/>
  <c r="E393" i="11" s="1"/>
  <c r="D392" i="11" s="1"/>
  <c r="F390" i="11" s="1"/>
  <c r="E459" i="11"/>
  <c r="E442" i="11" s="1"/>
  <c r="D441" i="11" s="1"/>
  <c r="F439" i="11" s="1"/>
  <c r="E483" i="11"/>
  <c r="E466" i="11" s="1"/>
  <c r="D465" i="11" s="1"/>
  <c r="F463" i="11" s="1"/>
  <c r="E313" i="11"/>
  <c r="E297" i="11" s="1"/>
  <c r="D296" i="11" s="1"/>
  <c r="F294" i="11" s="1"/>
  <c r="E201" i="11"/>
  <c r="E184" i="11" s="1"/>
  <c r="D183" i="11" s="1"/>
  <c r="F180" i="11" s="1"/>
  <c r="E356" i="12"/>
  <c r="D355" i="12" s="1"/>
  <c r="F353" i="12" s="1"/>
  <c r="E348" i="12"/>
  <c r="E347" i="12"/>
  <c r="E346" i="12"/>
  <c r="E345" i="12"/>
  <c r="E344" i="12"/>
  <c r="E343" i="12"/>
  <c r="E342" i="12"/>
  <c r="E341" i="12"/>
  <c r="E340" i="12"/>
  <c r="E339" i="12"/>
  <c r="E338" i="12"/>
  <c r="E336" i="12"/>
  <c r="E335" i="12"/>
  <c r="E334" i="12"/>
  <c r="E333" i="12"/>
  <c r="C332" i="12"/>
  <c r="B327" i="12"/>
  <c r="E299" i="12"/>
  <c r="E298" i="12"/>
  <c r="E297" i="12"/>
  <c r="E296" i="12"/>
  <c r="E295" i="12"/>
  <c r="E294" i="12"/>
  <c r="E293" i="12"/>
  <c r="E292" i="12"/>
  <c r="E291" i="12"/>
  <c r="E290" i="12"/>
  <c r="E289" i="12"/>
  <c r="E287" i="12"/>
  <c r="E286" i="12"/>
  <c r="E285" i="12"/>
  <c r="E284" i="12"/>
  <c r="C283" i="12"/>
  <c r="E323" i="12"/>
  <c r="E322" i="12"/>
  <c r="E321" i="12"/>
  <c r="E320" i="12"/>
  <c r="E319" i="12"/>
  <c r="E318" i="12"/>
  <c r="E317" i="12"/>
  <c r="E316" i="12"/>
  <c r="E315" i="12"/>
  <c r="E314" i="12"/>
  <c r="E313" i="12"/>
  <c r="E311" i="12"/>
  <c r="E310" i="12"/>
  <c r="E309" i="12"/>
  <c r="E308" i="12"/>
  <c r="C307" i="12"/>
  <c r="E274" i="12"/>
  <c r="E273" i="12"/>
  <c r="E272" i="12"/>
  <c r="E271" i="12"/>
  <c r="E270" i="12"/>
  <c r="E269" i="12"/>
  <c r="E268" i="12"/>
  <c r="E267" i="12"/>
  <c r="E266" i="12"/>
  <c r="E265" i="12"/>
  <c r="E264" i="12"/>
  <c r="E262" i="12"/>
  <c r="E261" i="12"/>
  <c r="E260" i="12"/>
  <c r="E259" i="12"/>
  <c r="C258" i="12"/>
  <c r="C234" i="12"/>
  <c r="E250" i="12"/>
  <c r="E249" i="12"/>
  <c r="E248" i="12"/>
  <c r="E247" i="12"/>
  <c r="E246" i="12"/>
  <c r="E245" i="12"/>
  <c r="E244" i="12"/>
  <c r="E243" i="12"/>
  <c r="E242" i="12"/>
  <c r="E241" i="12"/>
  <c r="E240" i="12"/>
  <c r="E238" i="12"/>
  <c r="E237" i="12"/>
  <c r="E236" i="12"/>
  <c r="E235" i="12"/>
  <c r="D230" i="12"/>
  <c r="B230" i="12"/>
  <c r="E216" i="12"/>
  <c r="E213" i="12"/>
  <c r="E226" i="12"/>
  <c r="E225" i="12"/>
  <c r="E224" i="12"/>
  <c r="E223" i="12"/>
  <c r="E222" i="12"/>
  <c r="E221" i="12"/>
  <c r="E220" i="12"/>
  <c r="E219" i="12"/>
  <c r="E218" i="12"/>
  <c r="E217" i="12"/>
  <c r="E215" i="12"/>
  <c r="E212" i="12"/>
  <c r="C211" i="12"/>
  <c r="D207" i="12"/>
  <c r="B207" i="12"/>
  <c r="D185" i="12"/>
  <c r="D182" i="12"/>
  <c r="E203" i="12"/>
  <c r="E202" i="12"/>
  <c r="E201" i="12"/>
  <c r="E200" i="12"/>
  <c r="E199" i="12"/>
  <c r="E198" i="12"/>
  <c r="E196" i="12"/>
  <c r="E195" i="12"/>
  <c r="E197" i="12"/>
  <c r="C187" i="12"/>
  <c r="E194" i="12"/>
  <c r="E193" i="12"/>
  <c r="E191" i="12"/>
  <c r="E190" i="12"/>
  <c r="E189" i="12"/>
  <c r="E188" i="12"/>
  <c r="E275" i="12" l="1"/>
  <c r="E300" i="12"/>
  <c r="E283" i="12" s="1"/>
  <c r="D282" i="12" s="1"/>
  <c r="F279" i="12" s="1"/>
  <c r="E349" i="12"/>
  <c r="E332" i="12" s="1"/>
  <c r="D331" i="12" s="1"/>
  <c r="F328" i="12" s="1"/>
  <c r="E324" i="12"/>
  <c r="E307" i="12" s="1"/>
  <c r="D306" i="12" s="1"/>
  <c r="F304" i="12" s="1"/>
  <c r="E258" i="12"/>
  <c r="D257" i="12" s="1"/>
  <c r="F255" i="12" s="1"/>
  <c r="E251" i="12"/>
  <c r="E234" i="12" s="1"/>
  <c r="D233" i="12" s="1"/>
  <c r="F231" i="12" s="1"/>
  <c r="E227" i="12"/>
  <c r="E211" i="12" s="1"/>
  <c r="D210" i="12" s="1"/>
  <c r="F208" i="12" s="1"/>
  <c r="E204" i="12"/>
  <c r="E187" i="12" s="1"/>
  <c r="D186" i="12" s="1"/>
  <c r="F183" i="12" s="1"/>
  <c r="D162" i="12" l="1"/>
  <c r="E86" i="12"/>
  <c r="D43" i="12"/>
  <c r="D46" i="12" l="1"/>
  <c r="G33" i="25"/>
  <c r="G37" i="25" s="1"/>
  <c r="G27" i="25"/>
  <c r="G31" i="25" s="1"/>
  <c r="G21" i="25"/>
  <c r="G25" i="25" s="1"/>
  <c r="G15" i="25"/>
  <c r="G19" i="25" s="1"/>
  <c r="L7" i="28" s="1"/>
  <c r="G64" i="25"/>
  <c r="G68" i="25" s="1"/>
  <c r="G57" i="25"/>
  <c r="G62" i="25" s="1"/>
  <c r="G51" i="25"/>
  <c r="G55" i="25" s="1"/>
  <c r="L18" i="28" s="1"/>
  <c r="G45" i="25"/>
  <c r="G49" i="25" s="1"/>
  <c r="G39" i="25"/>
  <c r="G43" i="25" s="1"/>
  <c r="M42" i="28"/>
  <c r="M36" i="28"/>
  <c r="M41" i="28"/>
  <c r="M32" i="28"/>
  <c r="M31" i="28"/>
  <c r="M34" i="28"/>
  <c r="M45" i="28"/>
  <c r="M33" i="28"/>
  <c r="M30" i="28"/>
  <c r="M49" i="28"/>
  <c r="M44" i="28"/>
  <c r="M68" i="28"/>
  <c r="M67" i="28"/>
  <c r="M66" i="28"/>
  <c r="L16" i="28" l="1"/>
  <c r="M16" i="28" s="1"/>
  <c r="L8" i="28"/>
  <c r="M8" i="28" s="1"/>
  <c r="L19" i="28"/>
  <c r="M19" i="28" s="1"/>
  <c r="L15" i="28"/>
  <c r="M15" i="28" s="1"/>
  <c r="L22" i="28"/>
  <c r="M22" i="28" s="1"/>
  <c r="L14" i="28"/>
  <c r="M14" i="28" s="1"/>
  <c r="L17" i="28"/>
  <c r="M17" i="28" s="1"/>
  <c r="M7" i="28"/>
  <c r="G69" i="25"/>
  <c r="M98" i="28"/>
  <c r="M35" i="28"/>
  <c r="G722" i="25" l="1"/>
  <c r="G727" i="25" s="1"/>
  <c r="L54" i="28"/>
  <c r="M46" i="28"/>
  <c r="M54" i="28" s="1"/>
  <c r="L27" i="28"/>
  <c r="M18" i="28"/>
  <c r="M27" i="28" s="1"/>
  <c r="G728" i="25" l="1"/>
  <c r="G729" i="25" s="1"/>
  <c r="D58" i="28"/>
  <c r="D57" i="28"/>
  <c r="M69" i="28"/>
  <c r="M61" i="28"/>
  <c r="M58" i="28"/>
  <c r="M100" i="28"/>
  <c r="M95" i="28"/>
  <c r="M94" i="28"/>
  <c r="M92" i="28"/>
  <c r="M86" i="28"/>
  <c r="M91" i="28"/>
  <c r="M85" i="28"/>
  <c r="M83" i="28"/>
  <c r="M93" i="28"/>
  <c r="M84" i="28"/>
  <c r="M82" i="28"/>
  <c r="M107" i="28" l="1"/>
  <c r="M59" i="28"/>
  <c r="D59" i="28"/>
  <c r="M72" i="28"/>
  <c r="M113" i="28"/>
  <c r="M110" i="28"/>
  <c r="M121" i="28"/>
  <c r="M120" i="28"/>
  <c r="M119" i="28"/>
  <c r="M118" i="28"/>
  <c r="M111" i="28"/>
  <c r="M60" i="28" l="1"/>
  <c r="D60" i="28"/>
  <c r="M112" i="28"/>
  <c r="M123" i="28" s="1"/>
  <c r="M138" i="28"/>
  <c r="M137" i="28"/>
  <c r="M57" i="28" l="1"/>
  <c r="M79" i="28" s="1"/>
  <c r="M141" i="28"/>
  <c r="M140" i="28"/>
  <c r="M155" i="28" l="1"/>
  <c r="D155" i="28"/>
  <c r="M139" i="28"/>
  <c r="M136" i="28"/>
  <c r="M129" i="28"/>
  <c r="M128" i="28"/>
  <c r="M130" i="28"/>
  <c r="M154" i="28" l="1"/>
  <c r="M148" i="28"/>
  <c r="M146" i="28"/>
  <c r="M177" i="28"/>
  <c r="M172" i="28" l="1"/>
  <c r="M167" i="28"/>
  <c r="M165" i="28"/>
  <c r="M160" i="28"/>
  <c r="M166" i="28"/>
  <c r="M176" i="28"/>
  <c r="M159" i="28"/>
  <c r="L142" i="28"/>
  <c r="M135" i="28"/>
  <c r="M142" i="28" s="1"/>
  <c r="L156" i="28" l="1"/>
  <c r="L169" i="28"/>
  <c r="M169" i="28"/>
  <c r="M145" i="28"/>
  <c r="M156" i="28" s="1"/>
  <c r="L200" i="28" l="1"/>
  <c r="L222" i="28" s="1"/>
  <c r="M213" i="28"/>
  <c r="M212" i="28"/>
  <c r="M205" i="28"/>
  <c r="C6" i="15"/>
  <c r="D6" i="15" s="1"/>
  <c r="E6" i="15" s="1"/>
  <c r="F6" i="15" s="1"/>
  <c r="M206" i="28" l="1"/>
  <c r="M217" i="28" s="1"/>
  <c r="M174" i="28"/>
  <c r="M200" i="28" s="1"/>
  <c r="M222" i="28" l="1"/>
  <c r="A7" i="13"/>
  <c r="G30" i="13"/>
  <c r="G31" i="13" s="1"/>
  <c r="G32" i="13" s="1"/>
  <c r="G19" i="13"/>
  <c r="G17" i="13"/>
  <c r="E23" i="2"/>
  <c r="G20" i="13" l="1"/>
  <c r="G24" i="13" s="1"/>
  <c r="G33" i="13"/>
  <c r="G34" i="13" s="1"/>
  <c r="G35" i="13" l="1"/>
  <c r="G36" i="13" s="1"/>
  <c r="G37" i="13" l="1"/>
  <c r="G38" i="13" s="1"/>
  <c r="G39" i="13" l="1"/>
  <c r="G40" i="13" s="1"/>
  <c r="G41" i="13" l="1"/>
  <c r="G42" i="13" s="1"/>
  <c r="C36" i="7" l="1"/>
  <c r="E46" i="7"/>
  <c r="E42" i="7"/>
  <c r="E43" i="7"/>
  <c r="E38" i="7"/>
  <c r="E50" i="7"/>
  <c r="E49" i="7"/>
  <c r="E48" i="7"/>
  <c r="E47" i="7"/>
  <c r="E45" i="7"/>
  <c r="E44" i="7"/>
  <c r="E40" i="7"/>
  <c r="E39" i="7"/>
  <c r="E37" i="7"/>
  <c r="E51" i="7"/>
  <c r="E52" i="7" l="1"/>
  <c r="E36" i="7" s="1"/>
  <c r="D35" i="7" s="1"/>
  <c r="E108" i="12" l="1"/>
  <c r="E107" i="12"/>
  <c r="E106" i="12"/>
  <c r="E105" i="12"/>
  <c r="E104" i="12"/>
  <c r="E103" i="12"/>
  <c r="E102" i="12"/>
  <c r="E101" i="12"/>
  <c r="E100" i="12"/>
  <c r="E99" i="12"/>
  <c r="C98" i="12"/>
  <c r="E178" i="12"/>
  <c r="E177" i="12"/>
  <c r="E176" i="12"/>
  <c r="E175" i="12"/>
  <c r="E174" i="12"/>
  <c r="E173" i="12"/>
  <c r="E172" i="12"/>
  <c r="E171" i="12"/>
  <c r="E170" i="12"/>
  <c r="E169" i="12"/>
  <c r="E168" i="12"/>
  <c r="E167" i="12"/>
  <c r="E166" i="12"/>
  <c r="E165" i="12"/>
  <c r="C164" i="12"/>
  <c r="E90" i="12"/>
  <c r="E89" i="12"/>
  <c r="E88" i="12"/>
  <c r="E87" i="12"/>
  <c r="E85" i="12"/>
  <c r="E84" i="12"/>
  <c r="E83" i="12"/>
  <c r="E82" i="12"/>
  <c r="E81" i="12"/>
  <c r="E80" i="12"/>
  <c r="E79" i="12"/>
  <c r="E78" i="12"/>
  <c r="E77" i="12"/>
  <c r="E76" i="12"/>
  <c r="C75" i="12"/>
  <c r="E64" i="12"/>
  <c r="E63" i="12"/>
  <c r="E62" i="12"/>
  <c r="E61" i="12"/>
  <c r="E60" i="12"/>
  <c r="E59" i="12"/>
  <c r="E58" i="12"/>
  <c r="E57" i="12"/>
  <c r="E56" i="12"/>
  <c r="E55" i="12"/>
  <c r="E54" i="12"/>
  <c r="E52" i="12"/>
  <c r="E51" i="12"/>
  <c r="E50" i="12"/>
  <c r="E49" i="12"/>
  <c r="C48" i="12"/>
  <c r="E126" i="12"/>
  <c r="E122" i="12"/>
  <c r="E121" i="12"/>
  <c r="C139" i="12"/>
  <c r="E143" i="12"/>
  <c r="E142" i="12"/>
  <c r="E155" i="12"/>
  <c r="E154" i="12"/>
  <c r="E153" i="12"/>
  <c r="E152" i="12"/>
  <c r="E151" i="12"/>
  <c r="E150" i="12"/>
  <c r="E149" i="12"/>
  <c r="E148" i="12"/>
  <c r="E147" i="12"/>
  <c r="E146" i="12"/>
  <c r="E145" i="12"/>
  <c r="E144" i="12"/>
  <c r="E141" i="12"/>
  <c r="E140" i="12"/>
  <c r="E130" i="12"/>
  <c r="E129" i="12"/>
  <c r="E128" i="12"/>
  <c r="E127" i="12"/>
  <c r="E125" i="12"/>
  <c r="E124" i="12"/>
  <c r="E123" i="12"/>
  <c r="E120" i="12"/>
  <c r="E119" i="12"/>
  <c r="E118" i="12"/>
  <c r="E117" i="12"/>
  <c r="C116" i="12"/>
  <c r="E246" i="11"/>
  <c r="E245" i="11"/>
  <c r="E244" i="11"/>
  <c r="E243" i="11"/>
  <c r="E241" i="11"/>
  <c r="E240" i="11"/>
  <c r="E239" i="11"/>
  <c r="E238" i="11"/>
  <c r="E237" i="11"/>
  <c r="E236" i="11"/>
  <c r="E235" i="11"/>
  <c r="E234" i="11"/>
  <c r="E233" i="11"/>
  <c r="C232" i="11"/>
  <c r="E223" i="11"/>
  <c r="E222" i="11"/>
  <c r="E221" i="11"/>
  <c r="E220" i="11"/>
  <c r="E219" i="11"/>
  <c r="E218" i="11"/>
  <c r="E217" i="11"/>
  <c r="E216" i="11"/>
  <c r="E215" i="11"/>
  <c r="E214" i="11"/>
  <c r="E213" i="11"/>
  <c r="E212" i="11"/>
  <c r="E211" i="11"/>
  <c r="E210" i="11"/>
  <c r="E209" i="11"/>
  <c r="C208" i="11"/>
  <c r="E77" i="11"/>
  <c r="E75" i="11"/>
  <c r="E74" i="11"/>
  <c r="E73" i="11"/>
  <c r="C72" i="11"/>
  <c r="E125" i="11"/>
  <c r="E124" i="11"/>
  <c r="E123" i="11"/>
  <c r="E122" i="11"/>
  <c r="E121" i="11"/>
  <c r="E120" i="11"/>
  <c r="E119" i="11"/>
  <c r="E118" i="11"/>
  <c r="C117" i="11"/>
  <c r="E103" i="11"/>
  <c r="E102" i="11"/>
  <c r="E100" i="11"/>
  <c r="E99" i="11"/>
  <c r="E98" i="11"/>
  <c r="E107" i="11"/>
  <c r="E106" i="11"/>
  <c r="E105" i="11"/>
  <c r="E104" i="11"/>
  <c r="E101" i="11"/>
  <c r="E97" i="11"/>
  <c r="E96" i="11"/>
  <c r="E95" i="11"/>
  <c r="E94" i="11"/>
  <c r="E93" i="11"/>
  <c r="E92" i="11"/>
  <c r="C91" i="11"/>
  <c r="E57" i="11"/>
  <c r="E59" i="11"/>
  <c r="E58" i="11"/>
  <c r="E56" i="11"/>
  <c r="E55" i="11"/>
  <c r="E54" i="11"/>
  <c r="E63" i="11"/>
  <c r="E62" i="11"/>
  <c r="E61" i="11"/>
  <c r="E60" i="11"/>
  <c r="E53" i="11"/>
  <c r="E52" i="11"/>
  <c r="E51" i="11"/>
  <c r="E50" i="11"/>
  <c r="E49" i="11"/>
  <c r="E48" i="11"/>
  <c r="C47" i="11"/>
  <c r="E152" i="10"/>
  <c r="E151" i="10"/>
  <c r="E150" i="10"/>
  <c r="E149" i="10"/>
  <c r="E148" i="10"/>
  <c r="E147" i="10"/>
  <c r="E146" i="10"/>
  <c r="E145" i="10"/>
  <c r="E144" i="10"/>
  <c r="E143" i="10"/>
  <c r="E142" i="10"/>
  <c r="E141" i="10"/>
  <c r="E140" i="10"/>
  <c r="E139" i="10"/>
  <c r="E138" i="10"/>
  <c r="E137" i="10"/>
  <c r="C136" i="10"/>
  <c r="E65" i="12" l="1"/>
  <c r="E48" i="12" s="1"/>
  <c r="D47" i="12" s="1"/>
  <c r="F44" i="12" s="1"/>
  <c r="E98" i="12"/>
  <c r="F95" i="12" s="1"/>
  <c r="E91" i="12"/>
  <c r="E75" i="12" s="1"/>
  <c r="D74" i="12" s="1"/>
  <c r="E179" i="12"/>
  <c r="E164" i="12" s="1"/>
  <c r="D163" i="12" s="1"/>
  <c r="F160" i="12" s="1"/>
  <c r="E156" i="12"/>
  <c r="E139" i="12" s="1"/>
  <c r="D138" i="12" s="1"/>
  <c r="F135" i="12" s="1"/>
  <c r="E131" i="12"/>
  <c r="E116" i="12" s="1"/>
  <c r="D115" i="12" s="1"/>
  <c r="F112" i="12" s="1"/>
  <c r="E247" i="11"/>
  <c r="E126" i="11"/>
  <c r="E117" i="11" s="1"/>
  <c r="D116" i="11" s="1"/>
  <c r="F112" i="11" s="1"/>
  <c r="E76" i="11"/>
  <c r="E72" i="11" s="1"/>
  <c r="D71" i="11" s="1"/>
  <c r="F68" i="11" s="1"/>
  <c r="E224" i="11"/>
  <c r="E208" i="11" s="1"/>
  <c r="D207" i="11" s="1"/>
  <c r="F205" i="11" s="1"/>
  <c r="E108" i="11"/>
  <c r="E91" i="11" s="1"/>
  <c r="D90" i="11" s="1"/>
  <c r="E64" i="11"/>
  <c r="E47" i="11" s="1"/>
  <c r="D46" i="11" s="1"/>
  <c r="F43" i="11" s="1"/>
  <c r="E153" i="10"/>
  <c r="E136" i="10" s="1"/>
  <c r="D135" i="10" s="1"/>
  <c r="F417" i="10" s="1"/>
  <c r="F418" i="10" s="1"/>
  <c r="E55" i="10"/>
  <c r="E54" i="10"/>
  <c r="E53" i="10"/>
  <c r="E52" i="10"/>
  <c r="E51" i="10"/>
  <c r="E50" i="10"/>
  <c r="E49" i="10"/>
  <c r="E48" i="10"/>
  <c r="E47" i="10"/>
  <c r="C45" i="10"/>
  <c r="E46" i="10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C187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C45" i="9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C35" i="8"/>
  <c r="F23" i="26" l="1"/>
  <c r="G23" i="26" s="1"/>
  <c r="F69" i="12"/>
  <c r="F376" i="12" s="1"/>
  <c r="F377" i="12" s="1"/>
  <c r="F21" i="26" s="1"/>
  <c r="G21" i="26" s="1"/>
  <c r="F87" i="11"/>
  <c r="F486" i="11" s="1"/>
  <c r="F487" i="11" s="1"/>
  <c r="F22" i="26" s="1"/>
  <c r="G22" i="26" s="1"/>
  <c r="D316" i="11"/>
  <c r="E232" i="11"/>
  <c r="D231" i="11" s="1"/>
  <c r="F228" i="11" s="1"/>
  <c r="E62" i="9"/>
  <c r="E45" i="9" s="1"/>
  <c r="D44" i="9" s="1"/>
  <c r="F41" i="9" s="1"/>
  <c r="E202" i="9"/>
  <c r="E187" i="9" s="1"/>
  <c r="D186" i="9" s="1"/>
  <c r="F183" i="9" s="1"/>
  <c r="E52" i="8"/>
  <c r="E35" i="8" s="1"/>
  <c r="D34" i="8" s="1"/>
  <c r="F31" i="8" s="1"/>
  <c r="E45" i="10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C84" i="7"/>
  <c r="F471" i="9" l="1"/>
  <c r="F472" i="9" s="1"/>
  <c r="F473" i="9" s="1"/>
  <c r="F470" i="9"/>
  <c r="F24" i="26"/>
  <c r="G24" i="26" s="1"/>
  <c r="F219" i="8"/>
  <c r="F419" i="10"/>
  <c r="F420" i="10" s="1"/>
  <c r="F378" i="12"/>
  <c r="E101" i="7"/>
  <c r="E84" i="7" s="1"/>
  <c r="D83" i="7" s="1"/>
  <c r="F80" i="7" s="1"/>
  <c r="F269" i="7" s="1"/>
  <c r="F270" i="7" s="1"/>
  <c r="F26" i="26" s="1"/>
  <c r="F220" i="8" l="1"/>
  <c r="F221" i="8" s="1"/>
  <c r="F222" i="8" s="1"/>
  <c r="F488" i="11"/>
  <c r="F489" i="11" s="1"/>
  <c r="F379" i="12"/>
  <c r="C70" i="4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C84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C109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C34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C59" i="6"/>
  <c r="E47" i="5"/>
  <c r="E46" i="5"/>
  <c r="E45" i="5"/>
  <c r="E44" i="5"/>
  <c r="E43" i="5"/>
  <c r="E41" i="5"/>
  <c r="E39" i="5"/>
  <c r="E36" i="5"/>
  <c r="E35" i="5"/>
  <c r="E34" i="5"/>
  <c r="E33" i="5"/>
  <c r="E32" i="5"/>
  <c r="C31" i="5"/>
  <c r="E46" i="3"/>
  <c r="E50" i="3"/>
  <c r="E51" i="3"/>
  <c r="C36" i="3"/>
  <c r="E41" i="3"/>
  <c r="E40" i="3"/>
  <c r="E37" i="3"/>
  <c r="E38" i="3"/>
  <c r="E45" i="3"/>
  <c r="E44" i="3"/>
  <c r="E43" i="3"/>
  <c r="E42" i="3"/>
  <c r="E49" i="3"/>
  <c r="E48" i="3"/>
  <c r="F25" i="26" l="1"/>
  <c r="G25" i="26" s="1"/>
  <c r="F271" i="7"/>
  <c r="F272" i="7" s="1"/>
  <c r="G26" i="26"/>
  <c r="E51" i="6"/>
  <c r="E34" i="6" s="1"/>
  <c r="D33" i="6" s="1"/>
  <c r="F30" i="6" s="1"/>
  <c r="E126" i="6"/>
  <c r="E109" i="6" s="1"/>
  <c r="D108" i="6" s="1"/>
  <c r="F105" i="6" s="1"/>
  <c r="E101" i="6"/>
  <c r="E84" i="6" s="1"/>
  <c r="D83" i="6" s="1"/>
  <c r="F80" i="6" s="1"/>
  <c r="E76" i="6"/>
  <c r="E59" i="6" s="1"/>
  <c r="D58" i="6" s="1"/>
  <c r="F55" i="6" s="1"/>
  <c r="E48" i="5"/>
  <c r="E31" i="5" s="1"/>
  <c r="D30" i="5" s="1"/>
  <c r="E52" i="3"/>
  <c r="E36" i="3" s="1"/>
  <c r="D35" i="3" s="1"/>
  <c r="F31" i="3" s="1"/>
  <c r="F27" i="5" l="1"/>
  <c r="F208" i="6"/>
  <c r="F209" i="6" s="1"/>
  <c r="F27" i="26" s="1"/>
  <c r="G27" i="26" s="1"/>
  <c r="F146" i="5" l="1"/>
  <c r="F147" i="5" s="1"/>
  <c r="F210" i="6"/>
  <c r="F211" i="6" s="1"/>
  <c r="F148" i="5" l="1"/>
  <c r="F149" i="5" s="1"/>
  <c r="F28" i="26"/>
  <c r="G28" i="26" s="1"/>
  <c r="E146" i="4"/>
  <c r="E145" i="4"/>
  <c r="E144" i="4"/>
  <c r="E143" i="4"/>
  <c r="E142" i="4"/>
  <c r="C141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C166" i="4"/>
  <c r="E91" i="4"/>
  <c r="E90" i="4"/>
  <c r="E89" i="4"/>
  <c r="E88" i="4"/>
  <c r="E80" i="4"/>
  <c r="E79" i="4"/>
  <c r="E78" i="4"/>
  <c r="E77" i="4"/>
  <c r="E76" i="4"/>
  <c r="C75" i="4"/>
  <c r="E62" i="4"/>
  <c r="E61" i="4"/>
  <c r="E60" i="4"/>
  <c r="E59" i="4"/>
  <c r="E58" i="4"/>
  <c r="E57" i="4"/>
  <c r="E56" i="4"/>
  <c r="E66" i="4"/>
  <c r="E65" i="4"/>
  <c r="E64" i="4"/>
  <c r="E63" i="4"/>
  <c r="E54" i="4"/>
  <c r="E53" i="4"/>
  <c r="E51" i="4"/>
  <c r="C50" i="4"/>
  <c r="E55" i="4"/>
  <c r="E52" i="4"/>
  <c r="E183" i="4" l="1"/>
  <c r="E166" i="4" s="1"/>
  <c r="D165" i="4" s="1"/>
  <c r="F162" i="4" s="1"/>
  <c r="E158" i="4"/>
  <c r="E141" i="4" s="1"/>
  <c r="D140" i="4" s="1"/>
  <c r="F137" i="4" s="1"/>
  <c r="E92" i="4"/>
  <c r="E75" i="4" s="1"/>
  <c r="D74" i="4" s="1"/>
  <c r="F71" i="4" s="1"/>
  <c r="E67" i="4"/>
  <c r="E50" i="4" s="1"/>
  <c r="D49" i="4" l="1"/>
  <c r="F46" i="4" s="1"/>
  <c r="F584" i="4" s="1"/>
  <c r="F585" i="4" l="1"/>
  <c r="F29" i="26" s="1"/>
  <c r="G29" i="26" s="1"/>
  <c r="E67" i="3"/>
  <c r="E66" i="3"/>
  <c r="E65" i="3"/>
  <c r="E64" i="3"/>
  <c r="E63" i="3"/>
  <c r="E62" i="3"/>
  <c r="C60" i="3"/>
  <c r="E26" i="2"/>
  <c r="E25" i="2"/>
  <c r="E24" i="2"/>
  <c r="C22" i="2"/>
  <c r="F586" i="4" l="1"/>
  <c r="F587" i="4" s="1"/>
  <c r="E27" i="2"/>
  <c r="E22" i="2" s="1"/>
  <c r="D21" i="2" s="1"/>
  <c r="F18" i="2" s="1"/>
  <c r="F30" i="2" s="1"/>
  <c r="F31" i="26" s="1"/>
  <c r="G31" i="26" s="1"/>
  <c r="E68" i="3"/>
  <c r="E60" i="3" s="1"/>
  <c r="D59" i="3" s="1"/>
  <c r="F56" i="3" s="1"/>
  <c r="F195" i="3" l="1"/>
  <c r="F31" i="2"/>
  <c r="F32" i="2" s="1"/>
  <c r="F221" i="3" l="1"/>
  <c r="F222" i="3" s="1"/>
  <c r="F220" i="3"/>
  <c r="F30" i="26" s="1"/>
  <c r="G30" i="26" s="1"/>
  <c r="G32" i="26" s="1"/>
  <c r="B16" i="34" l="1"/>
  <c r="D16" i="27"/>
  <c r="D18" i="27" s="1"/>
  <c r="D19" i="27" s="1"/>
  <c r="H20" i="27" s="1"/>
  <c r="H21" i="27" s="1"/>
  <c r="E96" i="26"/>
  <c r="E98" i="26" s="1"/>
  <c r="E99" i="26" s="1"/>
  <c r="F99" i="26" l="1"/>
  <c r="E100" i="26"/>
  <c r="G34" i="26"/>
  <c r="G35" i="26" s="1"/>
  <c r="G36" i="26" s="1"/>
  <c r="D17" i="34"/>
  <c r="F17" i="34" s="1"/>
  <c r="G17" i="34" s="1"/>
  <c r="D16" i="34"/>
  <c r="F16" i="34" l="1"/>
  <c r="D23" i="34"/>
  <c r="B22" i="34"/>
  <c r="B23" i="34" s="1"/>
  <c r="F20" i="34" l="1"/>
  <c r="C17" i="33" s="1"/>
  <c r="D17" i="33" s="1"/>
  <c r="E17" i="33" s="1"/>
  <c r="C15" i="33"/>
  <c r="C16" i="33" s="1"/>
  <c r="G16" i="34"/>
  <c r="G21" i="34" s="1"/>
  <c r="G20" i="34"/>
  <c r="C20" i="33" s="1"/>
  <c r="D20" i="33" s="1"/>
  <c r="E20" i="33" s="1"/>
  <c r="F22" i="34" l="1"/>
  <c r="F23" i="34" s="1"/>
  <c r="D15" i="33"/>
  <c r="D16" i="33" s="1"/>
  <c r="E15" i="33" l="1"/>
  <c r="E16" i="33" s="1"/>
  <c r="G22" i="34"/>
  <c r="G23" i="34" s="1"/>
  <c r="B23" i="36" l="1"/>
  <c r="G6" i="37"/>
  <c r="A7" i="37"/>
</calcChain>
</file>

<file path=xl/comments1.xml><?xml version="1.0" encoding="utf-8"?>
<comments xmlns="http://schemas.openxmlformats.org/spreadsheetml/2006/main">
  <authors>
    <author>Алексей</author>
    <author>Сергей</author>
    <author>Alex Sosedko</author>
    <author>Alex</author>
  </authors>
  <commentList>
    <comment ref="F1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A18" authorId="1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 позиции по смете&gt;</t>
        </r>
      </text>
    </comment>
    <comment ref="B18" authorId="1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ПИР::&lt;Наименование (текстовая часть) расценки&gt;</t>
        </r>
      </text>
    </comment>
    <comment ref="C18" authorId="1" shapeId="0">
      <text>
        <r>
          <rPr>
            <sz val="8"/>
            <color indexed="81"/>
            <rFont val="Tahoma"/>
            <family val="2"/>
            <charset val="204"/>
          </rPr>
          <t xml:space="preserve"> ПИР::&lt;Ед. измерения по расценке&gt;</t>
        </r>
      </text>
    </comment>
    <comment ref="D18" authorId="1" shapeId="0">
      <text>
        <r>
          <rPr>
            <sz val="8"/>
            <color indexed="81"/>
            <rFont val="Tahoma"/>
            <family val="2"/>
            <charset val="204"/>
          </rPr>
          <t xml:space="preserve"> ПИР::&lt;Количество всего (физ. объем) по позиции&gt;</t>
        </r>
      </text>
    </comment>
    <comment ref="E18" authorId="2" shapeId="0">
      <text>
        <r>
          <rPr>
            <sz val="8"/>
            <color indexed="81"/>
            <rFont val="Tahoma"/>
            <family val="2"/>
            <charset val="204"/>
          </rPr>
          <t xml:space="preserve"> ПИР::&lt;Обоснование (код) позиции&gt;&lt;Обоснование коэффициентов&gt; &lt;Наименование коэффициентов&gt;</t>
        </r>
      </text>
    </comment>
    <comment ref="F18" authorId="1" shapeId="0">
      <text>
        <r>
          <rPr>
            <sz val="8"/>
            <color indexed="81"/>
            <rFont val="Tahoma"/>
            <family val="2"/>
            <charset val="204"/>
          </rPr>
          <t xml:space="preserve"> ПИР::&lt;Расчет стомости&gt;</t>
        </r>
      </text>
    </comment>
    <comment ref="G18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ПИР::&lt;Стоимость&gt;&lt;Стоимость КОС&gt;</t>
        </r>
      </text>
    </comment>
    <comment ref="A1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 &lt;подпись 390 значение&gt;</t>
        </r>
      </text>
    </comment>
    <comment ref="A1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Хвост::___________________________ &lt;подпись 300 значение&gt;</t>
        </r>
      </text>
    </comment>
    <comment ref="A11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Хвост::___________________________ &lt;подпись 310 значение&gt;</t>
        </r>
      </text>
    </comment>
  </commentList>
</comments>
</file>

<file path=xl/comments2.xml><?xml version="1.0" encoding="utf-8"?>
<comments xmlns="http://schemas.openxmlformats.org/spreadsheetml/2006/main">
  <authors>
    <author>Алексей</author>
    <author>Сергей</author>
    <author>Alex Sosedko</author>
    <author>Alex</author>
  </authors>
  <commentList>
    <comment ref="F1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A19" authorId="1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 позиции по смете&gt;</t>
        </r>
      </text>
    </comment>
    <comment ref="B19" authorId="1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ПИР::&lt;Наименование (текстовая часть) расценки&gt;</t>
        </r>
      </text>
    </comment>
    <comment ref="C19" authorId="1" shapeId="0">
      <text>
        <r>
          <rPr>
            <sz val="8"/>
            <color indexed="81"/>
            <rFont val="Tahoma"/>
            <family val="2"/>
            <charset val="204"/>
          </rPr>
          <t xml:space="preserve"> ПИР::&lt;Ед. измерения по расценке&gt;</t>
        </r>
      </text>
    </comment>
    <comment ref="D19" authorId="1" shapeId="0">
      <text>
        <r>
          <rPr>
            <sz val="8"/>
            <color indexed="81"/>
            <rFont val="Tahoma"/>
            <family val="2"/>
            <charset val="204"/>
          </rPr>
          <t xml:space="preserve"> ПИР::&lt;Количество всего (физ. объем) по позиции&gt;</t>
        </r>
      </text>
    </comment>
    <comment ref="E19" authorId="2" shapeId="0">
      <text>
        <r>
          <rPr>
            <sz val="8"/>
            <color indexed="81"/>
            <rFont val="Tahoma"/>
            <family val="2"/>
            <charset val="204"/>
          </rPr>
          <t xml:space="preserve"> ПИР::&lt;Обоснование (код) позиции&gt;&lt;Обоснование коэффициентов&gt; &lt;Наименование коэффициентов&gt;</t>
        </r>
      </text>
    </comment>
    <comment ref="F19" authorId="1" shapeId="0">
      <text>
        <r>
          <rPr>
            <sz val="8"/>
            <color indexed="81"/>
            <rFont val="Tahoma"/>
            <family val="2"/>
            <charset val="204"/>
          </rPr>
          <t xml:space="preserve"> ПИР::&lt;Расчет стомости&gt;</t>
        </r>
      </text>
    </comment>
    <comment ref="G19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ПИР::&lt;Стоимость&gt;&lt;Стоимость КОС&gt;</t>
        </r>
      </text>
    </comment>
    <comment ref="A6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 &lt;подпись 390 значение&gt;</t>
        </r>
      </text>
    </comment>
    <comment ref="A6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Хвост::___________________________ &lt;подпись 300 значение&gt;</t>
        </r>
      </text>
    </comment>
    <comment ref="A6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Хвост::___________________________ &lt;подпись 310 значение&gt;</t>
        </r>
      </text>
    </comment>
  </commentList>
</comments>
</file>

<file path=xl/comments3.xml><?xml version="1.0" encoding="utf-8"?>
<comments xmlns="http://schemas.openxmlformats.org/spreadsheetml/2006/main">
  <authors>
    <author>Alex Sosedko</author>
    <author>kdedova</author>
  </authors>
  <commentList>
    <comment ref="A1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 &lt;Номер позиции по смете&gt;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 &lt;Наименование (текстовая часть) расценки&gt;                                         &lt;Формула расчета стоимости единицы&gt;
&lt;Обоснование коэффициентов&gt;</t>
        </r>
      </text>
    </comment>
    <comment ref="C14" authorId="1" shapeId="0">
      <text>
        <r>
          <rPr>
            <sz val="8"/>
            <color indexed="81"/>
            <rFont val="Tahoma"/>
            <family val="2"/>
            <charset val="204"/>
          </rPr>
          <t xml:space="preserve"> ЛокСмета::&lt;Обоснование (код) позиции&gt;
&lt;Комментарии из базы данных к расценке&gt;
&lt;Примечание&gt;</t>
        </r>
      </text>
    </comment>
    <comment ref="D1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 &lt;Ед. измерения по расценке&gt;</t>
        </r>
      </text>
    </comment>
    <comment ref="E1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 &lt;Количество всего (физ. объем) по позиции&gt; </t>
        </r>
      </text>
    </comment>
    <comment ref="F1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ЛокСмета::&lt;ПЗ по позиции на единицу в базисных ценах с учетом всех к-тов&gt;</t>
        </r>
      </text>
    </comment>
    <comment ref="G1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ЛокСмета::&lt;ИТОГО ПЗ по позиции для БИМ&gt;</t>
        </r>
      </text>
    </comment>
    <comment ref="A4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 &lt;Текстовая часть (итоги)&gt;</t>
        </r>
      </text>
    </comment>
    <comment ref="G4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 &lt;Прямые затраты (итоги)&gt;</t>
        </r>
      </text>
    </comment>
  </commentList>
</comments>
</file>

<file path=xl/comments4.xml><?xml version="1.0" encoding="utf-8"?>
<comments xmlns="http://schemas.openxmlformats.org/spreadsheetml/2006/main">
  <authors>
    <author>Alex Sosedko</author>
    <author>kdedova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 &lt;Номер позиции по смете&gt;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 &lt;Наименование (текстовая часть) расценки&gt;                                         &lt;Формула расчета стоимости единицы&gt;
&lt;Обоснование коэффициентов&gt;</t>
        </r>
      </text>
    </comment>
    <comment ref="C11" authorId="1" shapeId="0">
      <text>
        <r>
          <rPr>
            <sz val="8"/>
            <color indexed="81"/>
            <rFont val="Tahoma"/>
            <family val="2"/>
            <charset val="204"/>
          </rPr>
          <t xml:space="preserve"> ЛокСмета::&lt;Обоснование (код) позиции&gt;
&lt;Комментарии из базы данных к расценке&gt;
&lt;Примечание&gt;</t>
        </r>
      </text>
    </comment>
    <comment ref="D1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 &lt;Ед. измерения по расценке&gt;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 &lt;Количество всего (физ. объем) по позиции&gt; </t>
        </r>
      </text>
    </comment>
    <comment ref="F1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ЛокСмета::&lt;ПЗ по позиции на единицу в базисных ценах с учетом всех к-тов&gt;</t>
        </r>
      </text>
    </comment>
    <comment ref="G1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ЛокСмета::&lt;ИТОГО ПЗ по позиции для БИМ&gt;</t>
        </r>
      </text>
    </comment>
    <comment ref="A72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 &lt;Текстовая часть (итоги)&gt;</t>
        </r>
      </text>
    </comment>
    <comment ref="G72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 &lt;Прямые затраты (итоги)&gt;</t>
        </r>
      </text>
    </comment>
  </commentList>
</comments>
</file>

<file path=xl/sharedStrings.xml><?xml version="1.0" encoding="utf-8"?>
<sst xmlns="http://schemas.openxmlformats.org/spreadsheetml/2006/main" count="11083" uniqueCount="2430">
  <si>
    <t>га</t>
  </si>
  <si>
    <t>Подэтап 7.2 Благоустройство санитарной зоны</t>
  </si>
  <si>
    <t>Понижающий коэффициент, учитывающий разницу в трудоемкости работ по проектируемому объекту и объекту-аналогу</t>
  </si>
  <si>
    <t>Понижающий коэффициент, учитывающий разницу в трудоемкости работ по проектируемому объекту и объекту-аналогу. Минимальное значение 0.1</t>
  </si>
  <si>
    <t>Проектная документация</t>
  </si>
  <si>
    <t>Кст=0,4</t>
  </si>
  <si>
    <t xml:space="preserve">Разделы документации </t>
  </si>
  <si>
    <t>Генплан и транспорт</t>
  </si>
  <si>
    <t xml:space="preserve">Дендрологический план </t>
  </si>
  <si>
    <t>Посадочные и разбивочные чертежи озеленения</t>
  </si>
  <si>
    <t>Вертикальная планировка</t>
  </si>
  <si>
    <t>Дорожная сеть</t>
  </si>
  <si>
    <t>Ливнестоки</t>
  </si>
  <si>
    <t xml:space="preserve">Смета на строительство </t>
  </si>
  <si>
    <t>Разбивочные чертежи  планировки</t>
  </si>
  <si>
    <t>Коэффициент, учитывающий сейсмичность: 9 баллов и более. Коэффициент применяется к стоимости проектирования следующих разделов П+Р: ПЗУ (ППО в части вертикальной планировки и организации рельефа, транспорта); в полном объеме АР и КР (ТКР, ИЛО); в части монтажных элементов ИОС; доля СМ на выполняемый объем</t>
  </si>
  <si>
    <t>* (1+0,3)</t>
  </si>
  <si>
    <t>При определении базовой цены на проектирование на территории, озелененной свыше 30% площади применяется коэффициент (Общ.положения п.1.9)</t>
  </si>
  <si>
    <t>К2=1,1 ОУ п. 1.9 (Ценообразующий)</t>
  </si>
  <si>
    <t xml:space="preserve"> кабин</t>
  </si>
  <si>
    <t>Пояснительная записка</t>
  </si>
  <si>
    <t>Схема планировочной организации земельного участка</t>
  </si>
  <si>
    <t>Архитектурные решения</t>
  </si>
  <si>
    <t>Конструктивные и объемно-планировочные решения</t>
  </si>
  <si>
    <t>Инженерное оборудование, сети, инженерно-технические мероприятия, технологические решения. Система электроснабжения</t>
  </si>
  <si>
    <t>Инженерное оборудование, сети, инженерно-технические мероприятия, технологические решения. Системы водоснабжения и водоотведения</t>
  </si>
  <si>
    <t>Инженерное оборудование, сети, инженерно-технические мероприятия, технологические решения. Путевое развитие</t>
  </si>
  <si>
    <t>Инженерное оборудование, сети, инженерно-технические мероприятия, технологические решения. Отопление, вентиляция и кондиционирование воздуха</t>
  </si>
  <si>
    <t>Инженерное оборудование, сети, инженерно-технические мероприятия, технологические решения. Сети связи</t>
  </si>
  <si>
    <t>Инженерное оборудование, сети, инженерно-технические мероприятия, технологические решения. Технологические решения</t>
  </si>
  <si>
    <t>Проект организации строительства</t>
  </si>
  <si>
    <t>Перечень мероприятий по охране окружающей среды</t>
  </si>
  <si>
    <t>Мероприятия по обеспечению пожарной безопасности</t>
  </si>
  <si>
    <t>Мероприятия по обеспечению энергетической эффективности</t>
  </si>
  <si>
    <t>Смета на строительство</t>
  </si>
  <si>
    <t>К1= 1,18965
(Методика, 707/пр. Приложение 5, табл.5.1, п.2.3)- Усложняющий</t>
  </si>
  <si>
    <t>Инженерное оборудование, сети инженерно-технические мероприятия, технологические решения</t>
  </si>
  <si>
    <t>Электроснабжение</t>
  </si>
  <si>
    <t>Водоснабжение</t>
  </si>
  <si>
    <t>Водоотведение</t>
  </si>
  <si>
    <t>Отопление, вентиляция, кондиционирование воздуха</t>
  </si>
  <si>
    <t>Связь</t>
  </si>
  <si>
    <t>Газоснабжение</t>
  </si>
  <si>
    <t>Технологические решения</t>
  </si>
  <si>
    <t>Охрана окружающей среды (ООС)</t>
  </si>
  <si>
    <t>Мероприятия по обеспечению доступа инвалидов</t>
  </si>
  <si>
    <t>Для нескольких объектов цена привязки типовой или повторно применяемой проектной документации определяется по ценам Справочников с применением коэффициента К=1+(N1-1)*N2, где N1 - количество объектов (второй и последующие объекты проектируются повторно), N2-коэффициент привязки (МУ 2009 г. Часть III п. 3.2)</t>
  </si>
  <si>
    <t>Железные дороги. 2014 г. Таблица 10. Отдельные здания и сооружения, п.20
Теплые туалеты от 4 до 16 человек
Осн. Показатель Х=1 (кабина)
Количество=5</t>
  </si>
  <si>
    <t>Индекс на 1 кв. 2023 к 01.01.2001 на пр. раб.</t>
  </si>
  <si>
    <t>Ктек.=5,32</t>
  </si>
  <si>
    <t xml:space="preserve">ИТОГО по смете : </t>
  </si>
  <si>
    <t xml:space="preserve">НДС -20% </t>
  </si>
  <si>
    <t xml:space="preserve">ИТОГО с НДС: </t>
  </si>
  <si>
    <t>МАФЫ</t>
  </si>
  <si>
    <t xml:space="preserve">тип </t>
  </si>
  <si>
    <t>Ориентировочные технические характеристики проектируемых зданий и сооружений</t>
  </si>
  <si>
    <t>по объекту «Благоустройство туристической деревни поляна Азау и прилегающей территории»</t>
  </si>
  <si>
    <t>№ п/п</t>
  </si>
  <si>
    <t>Наименование объектов, систем</t>
  </si>
  <si>
    <t>Ед. изм. основного показателя</t>
  </si>
  <si>
    <t>Основной технический показатель</t>
  </si>
  <si>
    <t>Уровень</t>
  </si>
  <si>
    <t>ответственности</t>
  </si>
  <si>
    <t>Этап 1. Благоустройство въездной группы</t>
  </si>
  <si>
    <t>1.1.</t>
  </si>
  <si>
    <t>Площадь</t>
  </si>
  <si>
    <t>1.2.</t>
  </si>
  <si>
    <t>Арка/стела</t>
  </si>
  <si>
    <t>1.3.</t>
  </si>
  <si>
    <t>Система автоматического туристско-информационного центра (ТИЦ)</t>
  </si>
  <si>
    <t>1.4.</t>
  </si>
  <si>
    <t>Навигация</t>
  </si>
  <si>
    <t>1.5.</t>
  </si>
  <si>
    <t>Освещение</t>
  </si>
  <si>
    <t>1.6.</t>
  </si>
  <si>
    <t>Парковочный стояночный карман</t>
  </si>
  <si>
    <t>1.7.</t>
  </si>
  <si>
    <t>Шлагбаум</t>
  </si>
  <si>
    <t>1.8.</t>
  </si>
  <si>
    <t>МАФ</t>
  </si>
  <si>
    <t>пониженный</t>
  </si>
  <si>
    <t>1.9.</t>
  </si>
  <si>
    <t>Общественный туалет</t>
  </si>
  <si>
    <t>Этап 2. Благоустройство центральной площади и площади зоны выката</t>
  </si>
  <si>
    <t>2.1.</t>
  </si>
  <si>
    <t>2.2.</t>
  </si>
  <si>
    <t>Кинотеатр на открытом воздухе</t>
  </si>
  <si>
    <t>2.3.</t>
  </si>
  <si>
    <t xml:space="preserve">Пешеходные зоны </t>
  </si>
  <si>
    <t>2.4.</t>
  </si>
  <si>
    <t>Открытый камин</t>
  </si>
  <si>
    <t>2.5.</t>
  </si>
  <si>
    <t>Каток</t>
  </si>
  <si>
    <t>габариты 40 х 20м</t>
  </si>
  <si>
    <t>2.6.</t>
  </si>
  <si>
    <t>2.7.</t>
  </si>
  <si>
    <t>2.8.</t>
  </si>
  <si>
    <t>2.9.</t>
  </si>
  <si>
    <t>Иллюминация</t>
  </si>
  <si>
    <t>2.10.</t>
  </si>
  <si>
    <t>2.11.</t>
  </si>
  <si>
    <t>Фотозона</t>
  </si>
  <si>
    <t>2.12.</t>
  </si>
  <si>
    <t xml:space="preserve">2.13. </t>
  </si>
  <si>
    <t>Ливневые лотки</t>
  </si>
  <si>
    <t>Этап 3. Благоустройство дорожной (уличной) сети</t>
  </si>
  <si>
    <t>3.1.</t>
  </si>
  <si>
    <t>3.2.</t>
  </si>
  <si>
    <t>Пешеходная зона</t>
  </si>
  <si>
    <t>3.3.</t>
  </si>
  <si>
    <t>Велодорожки</t>
  </si>
  <si>
    <t>3.4.</t>
  </si>
  <si>
    <t>3.5.</t>
  </si>
  <si>
    <t>3.6.</t>
  </si>
  <si>
    <t>3.7.</t>
  </si>
  <si>
    <t>Остановочные пункты для общественного транспорта</t>
  </si>
  <si>
    <t>3.8.</t>
  </si>
  <si>
    <t>Площадки для размещения НТО</t>
  </si>
  <si>
    <t xml:space="preserve">3.9. </t>
  </si>
  <si>
    <t>Этап 4 (Лот №1). Благоустройство зоны рекреации</t>
  </si>
  <si>
    <t>4.1.</t>
  </si>
  <si>
    <t>4.2.</t>
  </si>
  <si>
    <t>Пешеходные тропы</t>
  </si>
  <si>
    <t>4.3.</t>
  </si>
  <si>
    <t>Зона пикника</t>
  </si>
  <si>
    <t>4.4.</t>
  </si>
  <si>
    <t>4.5.</t>
  </si>
  <si>
    <t>Озеленение</t>
  </si>
  <si>
    <t>4.6.</t>
  </si>
  <si>
    <t>4.7.</t>
  </si>
  <si>
    <t>4.8.</t>
  </si>
  <si>
    <t>4.9.</t>
  </si>
  <si>
    <t>Подпорные стены и габионы</t>
  </si>
  <si>
    <t>Этап 5 (Лот №2). Благоустройство зоны рекреации</t>
  </si>
  <si>
    <t>5.1.</t>
  </si>
  <si>
    <t>5.2.</t>
  </si>
  <si>
    <t>5.3.</t>
  </si>
  <si>
    <t>5.4.</t>
  </si>
  <si>
    <t>5.5.</t>
  </si>
  <si>
    <t>5.6.</t>
  </si>
  <si>
    <t>5.7.</t>
  </si>
  <si>
    <t>5.8.</t>
  </si>
  <si>
    <t>Этап 6 (Лот №3). Благоустройство парковой зоны</t>
  </si>
  <si>
    <t>6.1.</t>
  </si>
  <si>
    <t>Подэтап 6.1 – Благоустройство парковой зоны</t>
  </si>
  <si>
    <t>6.1.1.</t>
  </si>
  <si>
    <t>6.1.2.</t>
  </si>
  <si>
    <t>Родельбан</t>
  </si>
  <si>
    <t>6.1.3.</t>
  </si>
  <si>
    <t>Лестница здоровья</t>
  </si>
  <si>
    <t>6.1.4.</t>
  </si>
  <si>
    <t>6.1.5.</t>
  </si>
  <si>
    <t>6.1.6.</t>
  </si>
  <si>
    <t>6.1.7.</t>
  </si>
  <si>
    <t>6.1.8.</t>
  </si>
  <si>
    <t>Подэтап 6.2 - Благоустройство детского парка</t>
  </si>
  <si>
    <t>6.2.1.</t>
  </si>
  <si>
    <t>6.2.2.</t>
  </si>
  <si>
    <t>Площадка для игр</t>
  </si>
  <si>
    <t>6.2.3.</t>
  </si>
  <si>
    <t>6.2.4.</t>
  </si>
  <si>
    <t>Веревочный парк «скай-парк» и полоса препятствий</t>
  </si>
  <si>
    <t>6.2.5.</t>
  </si>
  <si>
    <t>Скалодром</t>
  </si>
  <si>
    <t>6.2.6.</t>
  </si>
  <si>
    <t>6.2.7.</t>
  </si>
  <si>
    <t>6.2.8.</t>
  </si>
  <si>
    <t>Подэтап 6.3 – Благоустройство зоны воркаута</t>
  </si>
  <si>
    <t>6.3.1.</t>
  </si>
  <si>
    <t>6.3.2.</t>
  </si>
  <si>
    <t>Зона воркаута</t>
  </si>
  <si>
    <t>6.3.3.</t>
  </si>
  <si>
    <t>6.3.4.</t>
  </si>
  <si>
    <t>6.3.5.</t>
  </si>
  <si>
    <t>6.3.6.</t>
  </si>
  <si>
    <t>Подэтап 6.4 – Благоустройство парка активного отдыха</t>
  </si>
  <si>
    <t>6.4.1.</t>
  </si>
  <si>
    <t>6.4.2.</t>
  </si>
  <si>
    <r>
      <t>Каток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и пункт проката</t>
    </r>
  </si>
  <si>
    <t>6.4.3.</t>
  </si>
  <si>
    <t>6.4.4.</t>
  </si>
  <si>
    <t>6.4.5.</t>
  </si>
  <si>
    <t xml:space="preserve">Универсальная детская площадка </t>
  </si>
  <si>
    <t>м2</t>
  </si>
  <si>
    <t>250 - 500</t>
  </si>
  <si>
    <t>6.4.6.</t>
  </si>
  <si>
    <t>Площадка воркаут</t>
  </si>
  <si>
    <t>6.4.7.</t>
  </si>
  <si>
    <t>6.4.8.</t>
  </si>
  <si>
    <t>6.4.9.</t>
  </si>
  <si>
    <t>Площадки размещения НТО</t>
  </si>
  <si>
    <t>6.4.10.</t>
  </si>
  <si>
    <t>6.4.11.</t>
  </si>
  <si>
    <t>Подпорные стенки и габионы</t>
  </si>
  <si>
    <t>6.4.12.</t>
  </si>
  <si>
    <t>Этап 7 (Лот №4)</t>
  </si>
  <si>
    <t>Подэтап 7.1 Благоустройство зоны рекреации</t>
  </si>
  <si>
    <t>7.1.1.</t>
  </si>
  <si>
    <t>7.1.2.</t>
  </si>
  <si>
    <t>7.1.3.</t>
  </si>
  <si>
    <t>7.1.4.</t>
  </si>
  <si>
    <t>Прогулочная зона</t>
  </si>
  <si>
    <t>7.1.5.</t>
  </si>
  <si>
    <t>7.1.6.</t>
  </si>
  <si>
    <t>7.1.7.</t>
  </si>
  <si>
    <t>Общественные туалеты</t>
  </si>
  <si>
    <t>7.1.8.</t>
  </si>
  <si>
    <t>7.2.1.</t>
  </si>
  <si>
    <t>7.2.2.</t>
  </si>
  <si>
    <t>К1= 1,1556
(Методика, 707/пр. Приложение 5, табл.5.1, п.2.3)- Усложняющий</t>
  </si>
  <si>
    <t>км</t>
  </si>
  <si>
    <t>объект</t>
  </si>
  <si>
    <t>Сметная документация</t>
  </si>
  <si>
    <t xml:space="preserve">Смета № 7.1 ПД </t>
  </si>
  <si>
    <t>площадка</t>
  </si>
  <si>
    <t>К1= 1,20696
(Методика, 707/пр. Приложение 5, табл.5.1, п.2.3)- Усложняющий</t>
  </si>
  <si>
    <t>A * Количество*Кст
53.22 тыс.руб * 1*0,4*1,20696</t>
  </si>
  <si>
    <t>Пункт проката</t>
  </si>
  <si>
    <t>Детская площадка</t>
  </si>
  <si>
    <t>A * Количество*Кст
38,06 тыс.руб * 1*0,4*1,20696</t>
  </si>
  <si>
    <t xml:space="preserve">Площадка воркаут ( Комплексная спортивная площадка) </t>
  </si>
  <si>
    <t>A * Количество*Кст
49,37 тыс.руб * 1*0,4*1,20696</t>
  </si>
  <si>
    <t xml:space="preserve">Пешеходные зоны в подогревом </t>
  </si>
  <si>
    <t>Дополнительно к базовой цене применяется коэффициент, учитывающий влияние усложняющих факторов при: проектировании дорожных конструкций с морозозащитными слоями с использованием теплоизоляции (Глава 1 п.12)</t>
  </si>
  <si>
    <t>К2=1,04</t>
  </si>
  <si>
    <t xml:space="preserve">до 0,5 км </t>
  </si>
  <si>
    <t xml:space="preserve">СБЦ Городские инженерные сооружения и коммуникации изд. 2008 г. Глава 1. Городские улицы и дороги Таблица 1 Транспортные развязки в одном уровне (площади) и пешеходные улицы, п.3 при длине до 0,5 км </t>
  </si>
  <si>
    <t>Архитектурно-строительные решения</t>
  </si>
  <si>
    <t>Мероприятия по безопасности движения</t>
  </si>
  <si>
    <t>Проект организации строительства (ПОС)</t>
  </si>
  <si>
    <t>ОВОС, Охрана окружающей среды в период строительства и эксплуатации объекта</t>
  </si>
  <si>
    <t xml:space="preserve"> К=Хзад / Хмин:2. </t>
  </si>
  <si>
    <t>К1= 1,1613
(Методика, 707/пр. Приложение 5, табл.5.1, п.2.3)- Усложняющий</t>
  </si>
  <si>
    <t>При использовании габионной конструкции к базовым ценам пунктов 11, 18 таблицы № 10 настоящего Справочника применяется коэффициент 0,8;</t>
  </si>
  <si>
    <t>К2=0,8 Глава 2 п. 2.1.9. (Ценообразующий)</t>
  </si>
  <si>
    <t>п.м</t>
  </si>
  <si>
    <t>открытый каток</t>
  </si>
  <si>
    <t>Железные дороги. 2014 г. Таблица 10. Отдельные здания и сооружения, п.20
Теплые туалеты от 4 до 16 человек
Осн. Показатель Х=1 (кабина)
Количество=4</t>
  </si>
  <si>
    <t>Архитектурные решения. Конструктивные и объемно-планировочные решения</t>
  </si>
  <si>
    <t>Инженерное оборудование. Технологические решения: система электроснабжения</t>
  </si>
  <si>
    <t>Инженерное оборудование. Технологические решения: система водоснабжения и водоотведения</t>
  </si>
  <si>
    <t>Инженерное оборудование. Технологические решения: отопление, вентиляция, тепловые сети</t>
  </si>
  <si>
    <t>Инженерное оборудование. Технологические решения: сети связи</t>
  </si>
  <si>
    <t>Инженерное оборудование. Технологические решения: технологические решения</t>
  </si>
  <si>
    <t>Мероприятия по энергоэффективности</t>
  </si>
  <si>
    <t xml:space="preserve">м2 </t>
  </si>
  <si>
    <t>К1= 1,22752
(Методика, 707/пр. Приложение 5, табл.5.1, п.2.3)- Усложняющий</t>
  </si>
  <si>
    <t>Базовая цена проектирования объектов с применением микропроцессоров определяется с ценообразующим коэффициентом (Глава 2.1, п.2.12)</t>
  </si>
  <si>
    <t>К2=1,15</t>
  </si>
  <si>
    <t>В случае прокладки площадочных сетей по застроенной территории действующего предприятия к цене вводится ценообразующий коэффициент (Глава 2.5, п.2.5.13)</t>
  </si>
  <si>
    <t>К3=1,2</t>
  </si>
  <si>
    <t>К1= 1,2777
(Методика, 707/пр. Приложение 5, табл.5.1, п.2.3)- Усложняющий</t>
  </si>
  <si>
    <t>(А+В*Хзад.)* Количество*Кст
(0тыс.руб+0,211*5) * 1*0,4*1,2777</t>
  </si>
  <si>
    <t xml:space="preserve">Это  относиться к парковке или является ограждением ? </t>
  </si>
  <si>
    <t xml:space="preserve">Какое кол-во ? </t>
  </si>
  <si>
    <t xml:space="preserve">Это современные  мультимедийные системы : 1.Экран динамического табло; 2.Стойка SOS-INFO   3. WI-FI ;4. Зарядные устройства USB, или администротивно-бытовое здание или павильон ? </t>
  </si>
  <si>
    <t>Какие виды навигации ?  Указатели или современные  мультимедийные системы.</t>
  </si>
  <si>
    <t xml:space="preserve">Какая площадъ? </t>
  </si>
  <si>
    <t xml:space="preserve">Открытй камин как памятник </t>
  </si>
  <si>
    <t xml:space="preserve">Какая протяженность? </t>
  </si>
  <si>
    <t xml:space="preserve">Какая площадъ?  Это объект кап. Строения ? Или переносная композиция? </t>
  </si>
  <si>
    <t xml:space="preserve">Это световая иллюминация фасадов зданий или деревьев? </t>
  </si>
  <si>
    <t xml:space="preserve">Какая протяженность п.м ? </t>
  </si>
  <si>
    <t>Коммунальные инженерные сети и сооружения, 2012 г. Раздел 3. Таблица 2. Наружное освещение улиц, магистралей, проездов, площадей, парков, скверов, бульваров, жилых дворовых территорий, кладбищ, территорий школ, детских садов, яслей-садов, поликлиник и больниц п.1</t>
  </si>
  <si>
    <t xml:space="preserve"> объект до 100 м.п.</t>
  </si>
  <si>
    <t>Проект полосы отвода</t>
  </si>
  <si>
    <t>Технологические и конструктивные решения линейного объекта. Искусственные сооружения (инженерное обустройство, сети)</t>
  </si>
  <si>
    <t>Конструктивные решения</t>
  </si>
  <si>
    <t>Искусственные сооружения</t>
  </si>
  <si>
    <t>Обустройство</t>
  </si>
  <si>
    <t>Водоснабжение и водоотведение</t>
  </si>
  <si>
    <t>Связь, сигнализация, АСУ</t>
  </si>
  <si>
    <t>Здания и сооружения, входящие в инфраструктуру объекта</t>
  </si>
  <si>
    <t>Проект организации работ по сносу (демонтажу)</t>
  </si>
  <si>
    <t>Мероприятия по охране окружающей среды</t>
  </si>
  <si>
    <t>К1= 1,191225
(Методика, 707/пр. Приложение 5, табл.5.1, п.2.3)- Усложняющий</t>
  </si>
  <si>
    <t>Базовая цена проектирования освещения площадей и транспортных развязок с пересечением в двух и более уровнях и использовании при этом осветительных установок высотой 20 м и более определяются с коэффициентом (Глава 2.2, п.2.2.6)</t>
  </si>
  <si>
    <t>К2=1,3</t>
  </si>
  <si>
    <t>Базовая цена проектирования освещения улиц, магистралей, проездов, площадей, парков, скверов, бульваров, жилых дворовых территорий, кладбищ, больниц с количеством пунктов питания 2 и более определяется с коэффициентом (Глава 2.2, п.2.2.12)</t>
  </si>
  <si>
    <t>К=1,25</t>
  </si>
  <si>
    <t>Какая площадъ?  Открытый пункт или как Административное здание ?</t>
  </si>
  <si>
    <t>По ГОСТ Р 52766-2007 организация остановочных пунктов  относится к обустройству дорог общего пользования, поэтому для их проектирования можно воспользоваться СБЦП «Автомобильные дороги общего пользования»  с учетом данных Раздела 5 «Таблицы относительной стоимости» (взять только разделы : Организация и безопасность движения и обустройство дорог, Охрана окружающей среды, ПОС и сметная документация). За ед. изм. проектирования принять  одну дорогу протяженностью до 2 км. Применить необходимые коэфф. на условия проектирования из ТЧ.</t>
  </si>
  <si>
    <t>В Справочниках базовых цен на проектные работы для строительства «Городские инженерные сооружения и коммуникации» изд. 2008 г. и «Автомобильные дороги общего пользования изд. 2007 г. стоимость проектирования автобусных остановок, а также заездных карманов к ним, не учтена. Стоимость проектирования заездных карманов можно учесть применительно коэффициентом на дополнительную полосу движения, введя его по пропорции общей протяженности объекта и суммарной протяженности заездных карманов.</t>
  </si>
  <si>
    <t xml:space="preserve">Какая площадь для размещения НТО (Рыночная площадь)?   Будут предусмотрены павильонные ? Какая площадь павильонов? </t>
  </si>
  <si>
    <t>Какая протяженность?</t>
  </si>
  <si>
    <t xml:space="preserve">Какая площадь обогрева? </t>
  </si>
  <si>
    <t>Какая площадь?</t>
  </si>
  <si>
    <t>Озеленение входит в раздел СБЦ  Территориального планирования. ( Благоустройство)</t>
  </si>
  <si>
    <t xml:space="preserve">Какая площадь ? </t>
  </si>
  <si>
    <t xml:space="preserve">Какая площадь  пункта проката? Какая площадъ катка. Каток крытый или открытый ?  </t>
  </si>
  <si>
    <t xml:space="preserve">Какая протяженность п.м ?  </t>
  </si>
  <si>
    <t>Какая площадь га ? Это ландшафтный дизайн ?   Если Ландшафтный дизайн  то  применяется СБЦ "Объекты жилищно-гражданского строительства", М., 2010 г. Если посев газона, то это учтено разделом  СБЦ Территориальное планирование и планировка территорий</t>
  </si>
  <si>
    <t>УТОЧНИТЬ ОБЪЕМЫ</t>
  </si>
  <si>
    <t>A * Количество*Кст
49.37 тыс.руб * 1*0,4*1,20696</t>
  </si>
  <si>
    <t>Объекты жилищно-гражданского строительства. 2010 г. Раздел 4. Таблица 10. Плоскостные сооружения п.12 (Площадки для игровых видов спорта, площадью:)</t>
  </si>
  <si>
    <t>A * Количество*Кст
7.05 тыс.руб * 1*0,4*1,20696</t>
  </si>
  <si>
    <t>Полоса препятствий</t>
  </si>
  <si>
    <t>A * Количество*Кст
15.52 тыс.руб * 1*0,4*1,20696</t>
  </si>
  <si>
    <t>полоса</t>
  </si>
  <si>
    <t>A * Количество*Кст
26.81 тыс.руб * 1*0,4*1,20696</t>
  </si>
  <si>
    <t>скаладром+ веревочный парк</t>
  </si>
  <si>
    <t>м3</t>
  </si>
  <si>
    <t>Железные дороги. 2014 г. Таблица 10. Отдельные здания и сооружения, п.20
Теплые туалеты от 4 до 16 человек
Осн. Показатель Х=1 (кабина)
Количество=1</t>
  </si>
  <si>
    <t>Объекты жилищно-гражданского строительства. 2010 г. Раздел 4. Таблица 10. Плоскостные сооружения п.1 (Тропа здоровья длиной 500-3000 п.м.)</t>
  </si>
  <si>
    <t>тропа</t>
  </si>
  <si>
    <t>A * Количество*Кст
42.32 тыс.руб * 1*0,4*1,20696</t>
  </si>
  <si>
    <t>К3=2,05= (1+3*0,35)
Методика, 707/пр. Глава IX, п.152</t>
  </si>
  <si>
    <t>Вариант 1</t>
  </si>
  <si>
    <t>Вариант 2</t>
  </si>
  <si>
    <t>(м2)</t>
  </si>
  <si>
    <t>При проектировании комплексов базовая цена генерального плана, вертикальной планировки, благоустройства, озеленения и внутриплощадочных инженерных сетей определяется с применением к цене комплекса следующего коэффициента в зависимости от площади отведенного участка и степени застройки объемными сооружениями: территория от 0,5 до 3 га, площадь застройки до 30% (Глава 2.3, п.2.3.7)</t>
  </si>
  <si>
    <t>К1= 0,25
(Глава 2.3, п.2.3.7)- Ценообразующий</t>
  </si>
  <si>
    <t>дорога</t>
  </si>
  <si>
    <t>Трасса</t>
  </si>
  <si>
    <t>Земляное полотно</t>
  </si>
  <si>
    <t>Водопропускные трубы и водоотвод</t>
  </si>
  <si>
    <t>Дорожная одежда</t>
  </si>
  <si>
    <t>Организация и безопасность движения, обустройство дорог</t>
  </si>
  <si>
    <t>Организация содержания автомобильных дорог</t>
  </si>
  <si>
    <t>Ресурсоемкость строительства с обоснованием использования зарубежных технологий и материалов</t>
  </si>
  <si>
    <t>Охрана окружающей среды</t>
  </si>
  <si>
    <t>Разработка проектной документации на строительство сооружений в сложных условиях определяется с применением коэффициента к стоимости проектных работ: сейсмичность 9 баллов (Основные положения, п.3.12, п/п 1.3)</t>
  </si>
  <si>
    <t>К1= 1,24
ОУ п. 3.12 п/п 1.3- Ценобразующий</t>
  </si>
  <si>
    <t>При проектировании объектов на расстоянии до 25 км от границ городов с населением от 500 тыс. до 1 миллиона человек к базовым ценам следует применять коэффициент (Основные положения, п.3.13)</t>
  </si>
  <si>
    <t>Разработка раздела ОВОС осуществляется на предпроектной стадии проектирования, стоимость разработки может быть определена дополнительно и составлять 20% от цены обоснования инвестиций в строительство (Основные положения, п.3.7.21)</t>
  </si>
  <si>
    <t>Проектирование участков автодороги с пешеходными и велосипедными дорожками и тротуарами (Прим. к табл.2, п.7)</t>
  </si>
  <si>
    <t>Пешеходные  и велосепедные дорожки</t>
  </si>
  <si>
    <t>Иллюминация  на деревьях</t>
  </si>
  <si>
    <t>К=1,25
Глава 2.2, п.2.2.12</t>
  </si>
  <si>
    <t>К2=1,3
Глава 2.2, п.2.2.6</t>
  </si>
  <si>
    <t xml:space="preserve">Объекты жилищно-гражданского строительства. 2010 г. Раздел 4. Таблица 14. Культурно-просветительные здания п.7 Летние кинотеатры по количеству мест ( до 100) </t>
  </si>
  <si>
    <t>Базовая цена проектирования объекта строительства в сложных (стесненных) условиях окружающей среды (объект в исторической среде, в зоне охраняемого ландшафта) определяется по согласованию с заказчиком с применением коэффициента к стоимости разработки проектной документации (Раздел 2, п.2.3)</t>
  </si>
  <si>
    <t>К1= 1,1
(Раздел 2, п.2.3)- Ценообразующий</t>
  </si>
  <si>
    <t>мест</t>
  </si>
  <si>
    <t xml:space="preserve">Объекты жилищно-гражданского строительства. 2010 г. Раздел 4. Таблица 8. Сооружения для зимних видов спорта п.1 Открытая площадка для хоккея с
шайбой площадью 1945 м2
</t>
  </si>
  <si>
    <t>A * Количество
53.22 тыс.руб  * 1 *0.4*1.1* 1,20696</t>
  </si>
  <si>
    <t>К1= 0,25
Глава 2.3, п.2.3.7 - Ценообразующий</t>
  </si>
  <si>
    <t>Кст=1</t>
  </si>
  <si>
    <t>Без стадии</t>
  </si>
  <si>
    <t>Цена * Кол-во ед.измер * Кол-во объектов
21 тыс.руб * 1 * 1 = 21 тыс.руб</t>
  </si>
  <si>
    <t>Игровые площадки из оригинальных объёмных элементов (из металла, бетона, дерева). Объемные знаки из различных твердых материалов. Объемные декоративно-архитектурные композиции для входов в здания и сооружения, украшение арок. Декоративные композиции фонтанов, вазонов, скамей и др. подобных элементов. Композиции для фасадов зданий, мостов, въездов и пр.</t>
  </si>
  <si>
    <t>переезд</t>
  </si>
  <si>
    <t>автоматическое управление шлагбаумом</t>
  </si>
  <si>
    <t>Инженерное оборудование, сети, инженерно-технические мероприятия, технологические решения</t>
  </si>
  <si>
    <t>К1= 1,05192
(Методика, 707/пр. Приложение 5, табл.5.1, п.2.3)- Усложняющий</t>
  </si>
  <si>
    <t>К1= 1,06365
(Методика, 707/пр. Приложение 5, табл.5.1, п.2.3)- Усложняющий</t>
  </si>
  <si>
    <t>Кст=0,48</t>
  </si>
  <si>
    <t>Технологические и конструктивные решения линейного объекта. Искусственные сооружения (инженерное обустройство, сети). Организация движения</t>
  </si>
  <si>
    <t>Технологические и конструктивные решения линейного объекта. Искусственные сооружения (инженерное обустройство, сети). Земляное полотно, верхнее строение пути на перегонах</t>
  </si>
  <si>
    <t>Технологические и конструктивные решения линейного объекта. Искусственные сооружения (инженерное обустройство, сети). Станции</t>
  </si>
  <si>
    <t>Технологические и конструктивные решения линейного объекта. Искусственные сооружения (инженерное обустройство, сети). Искусственные сооружения</t>
  </si>
  <si>
    <t>Технологические и конструктивные решения линейного объекта. Искусственные сооружения (инженерное обустройство, сети).СЦБ</t>
  </si>
  <si>
    <t>Технологические и конструктивные решения линейного объекта. Искусственные сооружения (инженерное обустройство, сети). Локомотивное и вагонное хозяйство (технологическая часть)</t>
  </si>
  <si>
    <t>Технологические и конструктивные решения линейного объекта. Искусственные сооружения (инженерное обустройство, сети). Электроснабжение</t>
  </si>
  <si>
    <t>Технологические и конструктивные решения линейного объекта. Искусственные сооружения (инженерное обустройство, сети). Водоснабжение и водоотведение</t>
  </si>
  <si>
    <t>Технологические и конструктивные решения линейного объекта. Искусственные сооружения (инженерное обустройство, сети). Связь</t>
  </si>
  <si>
    <t xml:space="preserve">Заказчик </t>
  </si>
  <si>
    <t>(наименование организации)</t>
  </si>
  <si>
    <t>"Утвержден"    «    »________________2020 г.</t>
  </si>
  <si>
    <t>(наименование работ и затрат, наименование объекта)</t>
  </si>
  <si>
    <t>Наименование работ</t>
  </si>
  <si>
    <t>Обоснование цены</t>
  </si>
  <si>
    <t>Ед. изм.</t>
  </si>
  <si>
    <t>Кол-во</t>
  </si>
  <si>
    <t>Стоимость работ, тыс. руб.</t>
  </si>
  <si>
    <t>1</t>
  </si>
  <si>
    <t>1.1</t>
  </si>
  <si>
    <t>1.2</t>
  </si>
  <si>
    <t>Итого</t>
  </si>
  <si>
    <t>Приказ Министерства регионального развития РФ  Рекомендуемый коэффициент, учитывающих регионально-климатические условиядля Краснодарского края</t>
  </si>
  <si>
    <t>Всего с учетом коэффициентов по разделу 1</t>
  </si>
  <si>
    <t>Работы, не учтенный НЦС и относящие к СМР</t>
  </si>
  <si>
    <t>2.1</t>
  </si>
  <si>
    <t>Фасонные части из полиэтилена (отводы, тройники)</t>
  </si>
  <si>
    <t>ЛСР№02-02 (п14-20)</t>
  </si>
  <si>
    <t>2.2</t>
  </si>
  <si>
    <t>Фасонные части из полиэтилена (седловой отвод)</t>
  </si>
  <si>
    <t>ЛСР02-01  (п 21-23)</t>
  </si>
  <si>
    <t>2.3</t>
  </si>
  <si>
    <t>Фасонные части из полиэтилена (неразьемные соединения)</t>
  </si>
  <si>
    <t>ЛСР02-02  (п 24-26)</t>
  </si>
  <si>
    <t>2,4</t>
  </si>
  <si>
    <t>Футляры на выходе из земли</t>
  </si>
  <si>
    <t>ЛСР02-02  (п 33-36)</t>
  </si>
  <si>
    <t>Итого стоимость работ, не учтенных НЦС, относящие к СМР по разделу 3</t>
  </si>
  <si>
    <t>Итого по разделам 1,2,3</t>
  </si>
  <si>
    <t>Временные здания и сооружения. 3,1%</t>
  </si>
  <si>
    <t>Итого с временными зданиями и сооружениями</t>
  </si>
  <si>
    <t xml:space="preserve">Производствол работ в зимнее время 0,54% </t>
  </si>
  <si>
    <t>Итого с производством работ в зимнее время</t>
  </si>
  <si>
    <t>Строительный контроль 2,14%</t>
  </si>
  <si>
    <t>Итого со строительным контролем</t>
  </si>
  <si>
    <t xml:space="preserve">Непредвиденные затраты 2 % </t>
  </si>
  <si>
    <t>Итого с непредвиденными затратами</t>
  </si>
  <si>
    <t>Итого по состоянию на 4-й кв.2019г. По разделам 1-4</t>
  </si>
  <si>
    <t xml:space="preserve"> НДС 20%</t>
  </si>
  <si>
    <t xml:space="preserve"> ВСЕГО с учетом НДС</t>
  </si>
  <si>
    <t xml:space="preserve">Составил :        </t>
  </si>
  <si>
    <t xml:space="preserve">подпись (должность Ф.И.О. контактный телефон) </t>
  </si>
  <si>
    <t>НЦС81-02-14-2022, табл.14-01-005-07</t>
  </si>
  <si>
    <t>Наружные инженерные сети водопровода из высокопрочных чугунных труб с шаровидным графитом (ВЧШГ), разработка сухого грунта в отвал, без креплений (группа грунтов 4)</t>
  </si>
  <si>
    <t xml:space="preserve">Цена за единицу на 01.01.2022,               тыс. руб. </t>
  </si>
  <si>
    <t>Сети ливневой канализации</t>
  </si>
  <si>
    <t>Сети хоз бытовой канализации 200 м</t>
  </si>
  <si>
    <t>НЦС81-02-14-2022, табл.14-01-005-01</t>
  </si>
  <si>
    <t>Коэффициент перехода от цен базового  района (Московская область) к уровню цен субъектов Северо-Кавказский федеральный округ:  Кабардино-Балкарская Республика</t>
  </si>
  <si>
    <t xml:space="preserve">НЦС81-02-14-2022  ТЧ табл. 11 
(сети канализации)  </t>
  </si>
  <si>
    <t>Благоустройство санитарной зоны</t>
  </si>
  <si>
    <t>Озеленение территорий парков, скверов и бульваров</t>
  </si>
  <si>
    <t>Коэффициент на сейсмичность</t>
  </si>
  <si>
    <t>2023 г.</t>
  </si>
  <si>
    <t>2024 г.</t>
  </si>
  <si>
    <t>Министерство экономического развития</t>
  </si>
  <si>
    <t>Российской Федерации</t>
  </si>
  <si>
    <t>Прогноз индексов цен производителей1 и индексов-дефляторов по видам экономической деятельности, в % г/г  (Базовый)</t>
  </si>
  <si>
    <r>
      <t>отчет</t>
    </r>
    <r>
      <rPr>
        <b/>
        <vertAlign val="superscript"/>
        <sz val="13"/>
        <rFont val="Arial"/>
        <family val="2"/>
        <charset val="204"/>
      </rPr>
      <t>2</t>
    </r>
  </si>
  <si>
    <t>оценка</t>
  </si>
  <si>
    <t>прогноз</t>
  </si>
  <si>
    <t>Промышленность (BCDE)</t>
  </si>
  <si>
    <t xml:space="preserve">  дефлятор</t>
  </si>
  <si>
    <t xml:space="preserve">  ИЦП</t>
  </si>
  <si>
    <t xml:space="preserve">   в т. ч.  без продукции ТЭКа (нефть, нефтепродукты, уголь, газ, энергетика)</t>
  </si>
  <si>
    <t>Добыча полезных ископаемых            (Раздел B)</t>
  </si>
  <si>
    <t xml:space="preserve">Добыча топливно-энергетических полезных ископаемых (05, 06+09) </t>
  </si>
  <si>
    <t>Добыча угля (05)</t>
  </si>
  <si>
    <r>
      <t xml:space="preserve">  уголь энергетический каменный</t>
    </r>
    <r>
      <rPr>
        <i/>
        <vertAlign val="superscript"/>
        <sz val="13"/>
        <color indexed="8"/>
        <rFont val="Arial"/>
        <family val="2"/>
        <charset val="204"/>
      </rPr>
      <t>2</t>
    </r>
  </si>
  <si>
    <t>Добыча сырой нефти и природного газа (06+09)</t>
  </si>
  <si>
    <t xml:space="preserve">Добыча металлических руд и прочих полезных ископаемых (07, 08) </t>
  </si>
  <si>
    <t>Добыча металлических руд (07)</t>
  </si>
  <si>
    <t>Добыча прочих полезных ископаемых (08)</t>
  </si>
  <si>
    <t>Обрабатывающие производства     (Раздел C)</t>
  </si>
  <si>
    <t>Производство пищевых продуктов, напитков и табачных изделий (10, 11, 12)</t>
  </si>
  <si>
    <t>Производство текстильных изделий, 
Производство одежды, 
Производство кожи и изделий из кожи (13, 14, 15)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</si>
  <si>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</si>
  <si>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Производство бумаги и бумажных изделий (17)</t>
  </si>
  <si>
    <t>Производство нефтепродуктов (19.2)</t>
  </si>
  <si>
    <t>Производство химических веществ и химических продуктов, Производство лекарственных средств и материалов, применяемых в медицинских целях, 
Производство резиновых и пластмассовых изделий (20, 21, 22)</t>
  </si>
  <si>
    <t>Производство прочей неметаллической минеральной продукции (23)</t>
  </si>
  <si>
    <t xml:space="preserve">Производство черных металлов 
(24.1, 24.2, 24.3, 24.5) </t>
  </si>
  <si>
    <t>Производство основных драгоценных металлов и прочих цветных металлов, производство ядерного топлива (24.4)</t>
  </si>
  <si>
    <t>Производство готовых металлических изделий, кроме машин и оборудования (25)</t>
  </si>
  <si>
    <t>Продукция машиностроения (26, 27, 28, 29, 30, 33)</t>
  </si>
  <si>
    <t>Прочие</t>
  </si>
  <si>
    <t>Обеспечение электрической энергией, газом и паром; кондиционирование воздуха (Раздел D)</t>
  </si>
  <si>
    <t xml:space="preserve">  индекс цен производителей (ИЦП)</t>
  </si>
  <si>
    <t>Водоснабжение; водоотведение, организация сбора и утилизация отходов, деятельность по ликвидации загрязнений (Раздел E)</t>
  </si>
  <si>
    <t>Сельское хозяйство</t>
  </si>
  <si>
    <t xml:space="preserve"> - растениеводство</t>
  </si>
  <si>
    <t xml:space="preserve"> - животноводство</t>
  </si>
  <si>
    <t xml:space="preserve">  индекс цен реализации продукции сельхозпроизводителями</t>
  </si>
  <si>
    <t>Транспорт, вкл. трубопроводный</t>
  </si>
  <si>
    <r>
      <t xml:space="preserve">  дефлятор</t>
    </r>
    <r>
      <rPr>
        <b/>
        <vertAlign val="superscript"/>
        <sz val="13"/>
        <color indexed="8"/>
        <rFont val="Arial"/>
        <family val="2"/>
        <charset val="204"/>
      </rPr>
      <t>4</t>
    </r>
  </si>
  <si>
    <r>
      <t xml:space="preserve">  ИЦП</t>
    </r>
    <r>
      <rPr>
        <vertAlign val="superscript"/>
        <sz val="13"/>
        <rFont val="Arial"/>
        <family val="2"/>
        <charset val="204"/>
      </rPr>
      <t>5</t>
    </r>
  </si>
  <si>
    <r>
      <t xml:space="preserve">  ИЦП</t>
    </r>
    <r>
      <rPr>
        <vertAlign val="superscript"/>
        <sz val="13"/>
        <rFont val="Arial"/>
        <family val="2"/>
        <charset val="204"/>
      </rPr>
      <t>5</t>
    </r>
    <r>
      <rPr>
        <sz val="13"/>
        <rFont val="Arial"/>
        <family val="2"/>
        <charset val="204"/>
      </rPr>
      <t xml:space="preserve"> с исключением трубопроводн. транспорта</t>
    </r>
  </si>
  <si>
    <r>
      <t>Инвестиции в основной капитал</t>
    </r>
    <r>
      <rPr>
        <b/>
        <vertAlign val="superscript"/>
        <sz val="13"/>
        <color indexed="8"/>
        <rFont val="Arial"/>
        <family val="2"/>
        <charset val="204"/>
      </rPr>
      <t xml:space="preserve"> 6</t>
    </r>
  </si>
  <si>
    <t>поменять</t>
  </si>
  <si>
    <t xml:space="preserve">  индексы цен </t>
  </si>
  <si>
    <t>Строительство</t>
  </si>
  <si>
    <r>
      <t xml:space="preserve">Потребительский рынок </t>
    </r>
    <r>
      <rPr>
        <b/>
        <vertAlign val="superscript"/>
        <sz val="13"/>
        <color indexed="8"/>
        <rFont val="Arial"/>
        <family val="2"/>
        <charset val="204"/>
      </rPr>
      <t>7</t>
    </r>
  </si>
  <si>
    <t xml:space="preserve">  оборот розничной торговли, дефлятор</t>
  </si>
  <si>
    <t xml:space="preserve">  ИПЦ на товары</t>
  </si>
  <si>
    <t xml:space="preserve">  платные услуги населению, дефлятор</t>
  </si>
  <si>
    <t xml:space="preserve">  ИПЦ на услуги</t>
  </si>
  <si>
    <r>
      <rPr>
        <vertAlign val="superscript"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- на продукцию, реализованную на внутренний рынок</t>
    </r>
  </si>
  <si>
    <r>
      <rPr>
        <vertAlign val="superscript"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- индексы-дефляторы, выделены курсивом - оценка</t>
    </r>
  </si>
  <si>
    <r>
      <rPr>
        <vertAlign val="superscript"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- в соответствии с Общероссийским классификаторои продукции по видам экономической деятельности (ОКПД2) ОК 034-2014 (КПЕС 2008)  уголь, за исключением антрацита, угля коксующегося и угля бурого (05.10.10.130)</t>
    </r>
  </si>
  <si>
    <r>
      <rPr>
        <vertAlign val="superscript"/>
        <sz val="10"/>
        <color theme="1"/>
        <rFont val="Arial"/>
        <family val="2"/>
        <charset val="204"/>
      </rPr>
      <t>4</t>
    </r>
    <r>
      <rPr>
        <sz val="10"/>
        <color theme="1"/>
        <rFont val="Arial"/>
        <family val="2"/>
        <charset val="204"/>
      </rPr>
      <t xml:space="preserve"> - по виду деятельности "Транспортировка и хранение"</t>
    </r>
  </si>
  <si>
    <r>
      <rPr>
        <vertAlign val="superscript"/>
        <sz val="10"/>
        <color theme="1"/>
        <rFont val="Arial"/>
        <family val="2"/>
        <charset val="204"/>
      </rPr>
      <t>5</t>
    </r>
    <r>
      <rPr>
        <sz val="10"/>
        <color theme="1"/>
        <rFont val="Arial"/>
        <family val="2"/>
        <charset val="204"/>
      </rPr>
      <t xml:space="preserve"> - индекс тарифов на грузовые перевозки</t>
    </r>
  </si>
  <si>
    <r>
      <rPr>
        <vertAlign val="superscript"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 - за счет всех источников финансирования</t>
    </r>
  </si>
  <si>
    <r>
      <rPr>
        <vertAlign val="superscript"/>
        <sz val="10"/>
        <color theme="1"/>
        <rFont val="Arial"/>
        <family val="2"/>
        <charset val="204"/>
      </rPr>
      <t>7</t>
    </r>
    <r>
      <rPr>
        <sz val="10"/>
        <color theme="1"/>
        <rFont val="Arial"/>
        <family val="2"/>
        <charset val="204"/>
      </rPr>
      <t>- с учетом НДС, косвенных налогов, торгово-транспортной наценки</t>
    </r>
  </si>
  <si>
    <t xml:space="preserve">Ипр - индекс-дефлятор, определенный по отрасли "Инвестиции в основной капитал (капитальные вложения)", публикуемый Министерством экономического развития Российской Федерации для прогноза социально-экономического развития Российской Федерации;
</t>
  </si>
  <si>
    <t>2025 г.</t>
  </si>
  <si>
    <t xml:space="preserve">Освещение </t>
  </si>
  <si>
    <t>Светильники на стальных опорап х с люминесцентными
лампами</t>
  </si>
  <si>
    <t>100 м2</t>
  </si>
  <si>
    <t>1 га</t>
  </si>
  <si>
    <t>Малые архитектурные формы (МАФ)</t>
  </si>
  <si>
    <t>Малые архитектурные формы для объектов здравоохранения</t>
  </si>
  <si>
    <t>Коэффициект, учитывающие изменение стоимости строительства на территории( субъектов РФ связанные с климатическими условиями (Крп)</t>
  </si>
  <si>
    <t>2</t>
  </si>
  <si>
    <t>Итого по п. 2</t>
  </si>
  <si>
    <t>3</t>
  </si>
  <si>
    <t xml:space="preserve">Озеленение </t>
  </si>
  <si>
    <t>4</t>
  </si>
  <si>
    <t>Итого по п. 4</t>
  </si>
  <si>
    <t>5</t>
  </si>
  <si>
    <t>Подпорная стена габионной конструкции</t>
  </si>
  <si>
    <t>1 п.м</t>
  </si>
  <si>
    <t>Коэффициент, учитывающие изменение стоимости строительства на территории( субъектов РФ связанные с климатическими условиями (Крп)</t>
  </si>
  <si>
    <t>Коэффициент на строительство в высокогорных условиях:
Высота над уровнем моря , м 1300-200</t>
  </si>
  <si>
    <t>Итого по п. 5</t>
  </si>
  <si>
    <t>НЦС81-02-17-2023,
табл.17-01-001-01</t>
  </si>
  <si>
    <t>НЦС81-02-17-2023  ТЧ табл. 1</t>
  </si>
  <si>
    <t>НЦС81-02-17-2023  ТЧ п. 20</t>
  </si>
  <si>
    <t>Итого пересчет в уровень цен на 2025 г. по индексам Минэкономразвития РФ</t>
  </si>
  <si>
    <t>НЦС81-02-16-2023,
табл.16-07-001-02</t>
  </si>
  <si>
    <t>НЦС81-02-16-2023  ТЧ Табл. 4</t>
  </si>
  <si>
    <t>НЦС81-02-16-2023  ТЧ Табл. 6 п. 7</t>
  </si>
  <si>
    <t>НЦС81-02-16-2023  ТЧ  п. 27</t>
  </si>
  <si>
    <t>НЦС81-02-16-2023,
табл.16-03-001-01</t>
  </si>
  <si>
    <t>НЦС81-02-19-2023,
табл.19-06-001-01</t>
  </si>
  <si>
    <t>НЦС81-02-19-2023  ТЧ Табл. 1</t>
  </si>
  <si>
    <t>НЦС81-02-19-2023    ТЧ Табл. 3 п. 7</t>
  </si>
  <si>
    <t>НЦС81-02-16-2023  ТЧ  п. 29</t>
  </si>
  <si>
    <t>До письменного разъяснения Федерального агенства биотуалеты следует рассматривать как передвижные здания контейнерного типа санитарно-бытового назначения. Согласно п. 1.6 ГСН 81-05-01-2001 приобретение подобного рода сооружений осуществляется за счет собственных средств заказчика или подрядчика.
Затраты подрядчика на износ (или арендную плату) зданий санитарно-бытового назначения контейнерного типа и на их перемещение компенсируются нормой накладных расходов (п.2.3 приложения 6 к МДС 81.33.2004), а затраты на подготовку и восстановление площадки - за счет титульных временных зданий и сооружений (п.4 приложения 2 к ГСН 81-05-01-2001). Затраты на обслуживание биотуалетов в сметной документации и при заключении договора следует учитывать дополнительно в составе прочих затрат.</t>
  </si>
  <si>
    <t xml:space="preserve"> блочно-модульные здания контейнерного типа являются результатами строительства и имеют прочную связь с землей. Следует учитывать, что если фундаментов нет, то это некапитальное строение (п. 10-2 ст. 1 ГрК РФ) и под требования ФЗ № 384 и ГОСТ 27751-2014 не попадает.</t>
  </si>
  <si>
    <t>Кроме того, с точки зрения ФЗ № 384 (который имеет приоритет перед ГОСТ 27751-2014 "Надежность строительных конструкций и оснований. Основные положения"), идентификационные признаки указываются в задании на проектирование (ч. 11 ст. 4 ФЗ № 383). К идентификационным признакам относится уровень ответственности объекта. К зданиям и сооружениям пониженного уровня ответственности относятся здания и сооружения временного (сезонного) назначения, а также здания и сооружения вспомогательного использования, связанные с осуществлением строительства или реконструкции либо расположенные на земельных участках, предоставленных для индивидуального жилищного строительства (ч. 10 ст. 4 ФЗ № 384).</t>
  </si>
  <si>
    <t>22. При  строительстве автомобильных дорог в горной местности в зависимости от высоты
над уровнем моря к Показателям НЦС рекомендуется учитыватъ коэффиценты, приведенные
в Таблице 4.</t>
  </si>
  <si>
    <t xml:space="preserve">НЦС81-02-08-2023  ТЧ Табл.4 
</t>
  </si>
  <si>
    <t>НЦС81-02-08-2023  ТЧ Табл. 9</t>
  </si>
  <si>
    <t>НЦС81-02-08-2023  ТЧ Табл. 3 п. 11</t>
  </si>
  <si>
    <t>НЦС81-02-08-2023  ТЧ  п. 29</t>
  </si>
  <si>
    <t>Общественные туалеты (фундаменты)</t>
  </si>
  <si>
    <t>Общественные уборные , стоимость возведения фундаментов</t>
  </si>
  <si>
    <t>145 м2</t>
  </si>
  <si>
    <t>4.1</t>
  </si>
  <si>
    <t>Итого по п. 4.1</t>
  </si>
  <si>
    <t xml:space="preserve">1 м2  </t>
  </si>
  <si>
    <t>НЦС81-02-16-2023,
табл.16-06-001-06</t>
  </si>
  <si>
    <t>Площадки, дорожки, тротуары шириной от 0,9 м до 2,5 м  с покрытием из мелкоразмерного натурального камня</t>
  </si>
  <si>
    <t>Итого по п. 3</t>
  </si>
  <si>
    <t>5.1</t>
  </si>
  <si>
    <t>Итого по п. 5.1</t>
  </si>
  <si>
    <t>6</t>
  </si>
  <si>
    <t>ИТОГО по п. 1-5</t>
  </si>
  <si>
    <t>Стоимость, руб.</t>
  </si>
  <si>
    <t xml:space="preserve">Расчёт стоимости </t>
  </si>
  <si>
    <t xml:space="preserve">Номер частей, глав, таблиц, процентов, параграфов и пунктов указаний к разделу СБЦ </t>
  </si>
  <si>
    <t>Характеристика предприятия, здания, сооружения или виды работ</t>
  </si>
  <si>
    <t>№ 
пп</t>
  </si>
  <si>
    <t xml:space="preserve"> К1=Хзад / Хмин:2</t>
  </si>
  <si>
    <t>К2= 1,0593
(Методика, 707/пр. Приложение 5, табл.5.1, п.2.3)- Усложняющий</t>
  </si>
  <si>
    <t>(A + B * (0.4 * Xмин + 0.6 * (Xмин / 2))) * Количество*Кст*К1*К2
(7.15 тыс.руб + 0.34 тыс.руб * (0.4 * 50 + 0.6 * ( 50/2 )))*1* 0,4*0,1*1,0593*5,32</t>
  </si>
  <si>
    <r>
      <t xml:space="preserve">Территориальное планирование и планировка территорий. </t>
    </r>
    <r>
      <rPr>
        <b/>
        <sz val="10"/>
        <color theme="1"/>
        <rFont val="Arial"/>
        <family val="2"/>
        <charset val="204"/>
      </rPr>
      <t xml:space="preserve">2010 </t>
    </r>
    <r>
      <rPr>
        <sz val="10"/>
        <color theme="1"/>
        <rFont val="Arial"/>
        <family val="2"/>
        <charset val="204"/>
      </rPr>
      <t xml:space="preserve">г. Раздел 2, Таблица 5. Парки, сады, скверы, бульвары. Санитарно-защитные зоны (архитектурно-планировочные решения, озеленение) п.8
А=7,15 тыс. руб.; В=0,34 тыс. руб.;
Хмин=50 (га);
Количество=1
</t>
    </r>
  </si>
  <si>
    <t xml:space="preserve">Санитарно-защитные зоны площадъю,га </t>
  </si>
  <si>
    <t>Парки, сады, скверы, бульвары площадью, свыше 1 до 5 га</t>
  </si>
  <si>
    <t>Общественные уборные</t>
  </si>
  <si>
    <t xml:space="preserve">Общественные уборные </t>
  </si>
  <si>
    <t xml:space="preserve">Торговые павильоны </t>
  </si>
  <si>
    <t>НЦС81-02-20-2023  ТЧ Табл. 1</t>
  </si>
  <si>
    <t>1 м2</t>
  </si>
  <si>
    <t xml:space="preserve">Центральные материальные склады </t>
  </si>
  <si>
    <t>НЦС81-02-20-2023,
табл.20-09-001-01</t>
  </si>
  <si>
    <t>НЦС81-02-20-2023  ТЧ Табл. 3 п. 7</t>
  </si>
  <si>
    <t xml:space="preserve">Площадки для игорвых видов спорта с искусственным газоном </t>
  </si>
  <si>
    <t>НЦС81-02-16-2023,
табл.16-04-002-02</t>
  </si>
  <si>
    <t>Оснащение площадки воркаут</t>
  </si>
  <si>
    <t>НЦС81-02-16-2023,
табл.16-04-001-02</t>
  </si>
  <si>
    <t xml:space="preserve">Оснащение плосткостных спортивных сооружений (общего значения) </t>
  </si>
  <si>
    <t>Малые архитектурные формы для дошкольных общеобразовательных учереждений: до 60 мест</t>
  </si>
  <si>
    <t>1 место</t>
  </si>
  <si>
    <t xml:space="preserve">Цена за единицу на 01.01.2023,               тыс. руб. </t>
  </si>
  <si>
    <t>"Утвержден"    «    »________________2023 г.</t>
  </si>
  <si>
    <t>НЦС81-02-16-2023,п.21</t>
  </si>
  <si>
    <t xml:space="preserve">Водоотводящие лотки </t>
  </si>
  <si>
    <t>100 м.п</t>
  </si>
  <si>
    <t>3.1</t>
  </si>
  <si>
    <t>Показателями НЦС81-02-16-2023 не учтены затраты на устройство железобетонных сборных водоотводящих лотков. Указаные затраты рекомондуется определять дополнительно в размере 301,99 тыс. руб. на 100 пог. м лотка</t>
  </si>
  <si>
    <t>Итого по п. 3.1</t>
  </si>
  <si>
    <t>Пешеходная  зона</t>
  </si>
  <si>
    <t>Площадки, дорожки, тротуары шириной от 2,6 м до 6 м  с покрытием из мелкоразмерного натурального камня</t>
  </si>
  <si>
    <t>НЦС81-02-16-2023,
табл.16-06-002-06</t>
  </si>
  <si>
    <t xml:space="preserve">НЦС81-02-16-2023  ТЧ Табл.2 </t>
  </si>
  <si>
    <t>Коэффициент, учитывающий изменения  стоимости строительства  при изменении толщины  подстилающего слоя песка до 40 см.</t>
  </si>
  <si>
    <t>НЦС81-02-05-2023,
табл. 05-01-001-01</t>
  </si>
  <si>
    <t>1 посещение  в смену</t>
  </si>
  <si>
    <t xml:space="preserve">Арены ледовые крытые универсальные  (без зрительских мест) на 40 посещений в смену. (Применительно) </t>
  </si>
  <si>
    <t>НЦС81-02-05-2023  ТЧ Табл. 1</t>
  </si>
  <si>
    <t>НЦС81-02-05-2023  ТЧ Табл. 3п. 7</t>
  </si>
  <si>
    <t>Каток с пунктом проката</t>
  </si>
  <si>
    <t>НЦС81-02-05-2023  ТЧ   п.38</t>
  </si>
  <si>
    <t>Итого по п. 1</t>
  </si>
  <si>
    <t>Итого по п. 6</t>
  </si>
  <si>
    <t>7</t>
  </si>
  <si>
    <t>Итого по п. 7</t>
  </si>
  <si>
    <t>7.1</t>
  </si>
  <si>
    <t>Итого по п. 7.1</t>
  </si>
  <si>
    <t>8</t>
  </si>
  <si>
    <t>Итого по п. 9</t>
  </si>
  <si>
    <t>10</t>
  </si>
  <si>
    <t>Итого по п. 8</t>
  </si>
  <si>
    <t>9</t>
  </si>
  <si>
    <t>НЦС81-02-19-2023  ТЧ  п. 28</t>
  </si>
  <si>
    <t>Итого по п. 10</t>
  </si>
  <si>
    <t>10.1</t>
  </si>
  <si>
    <t>Итого по п. 10.1</t>
  </si>
  <si>
    <t>11</t>
  </si>
  <si>
    <t>Итого по п. 11</t>
  </si>
  <si>
    <t>НЦС81-02-16-2023,
табл.16-07-002-01</t>
  </si>
  <si>
    <t>Прожекторы для спортивных площадк с металлогалогенными лампами</t>
  </si>
  <si>
    <t>Па</t>
  </si>
  <si>
    <t>Пс</t>
  </si>
  <si>
    <t>а</t>
  </si>
  <si>
    <t>с</t>
  </si>
  <si>
    <t xml:space="preserve">в </t>
  </si>
  <si>
    <t>тыс. руб.</t>
  </si>
  <si>
    <t>Пв</t>
  </si>
  <si>
    <t xml:space="preserve"> тыс. руб. на 1 место</t>
  </si>
  <si>
    <t>16-04-003-02</t>
  </si>
  <si>
    <t>16-04-003-03</t>
  </si>
  <si>
    <t>1 км</t>
  </si>
  <si>
    <t xml:space="preserve">Обычные дороги категории V, дорожная одежда
облегченного типа с покрытием из щебня (щебня, гравия и
песка, обработанных вяжущими).  (Применительно) </t>
  </si>
  <si>
    <t>НЦС81-02-08-2023,
табл.08-05-002-01</t>
  </si>
  <si>
    <t xml:space="preserve">Навигация (дорожные знаки) </t>
  </si>
  <si>
    <t>НЦС81-02-08-2023  ТЧ Табл. 11 п. 7</t>
  </si>
  <si>
    <t>НЦС81-02-08-2023  ТЧ  п. 9</t>
  </si>
  <si>
    <t>6.1</t>
  </si>
  <si>
    <t>Итого по п. 6.1</t>
  </si>
  <si>
    <t>Гимнастические площадки (воркаут)</t>
  </si>
  <si>
    <t>НЦС81-02-05-2023,
табл.05-10-004-02</t>
  </si>
  <si>
    <t>НЦС81-02-05-2023  ТЧ Табл. 3 п. 7</t>
  </si>
  <si>
    <t>НЦС81-02-05-2023  ТЧ  п. 38</t>
  </si>
  <si>
    <t>Оснащение плоскостных спортивных сооружений общего назначения</t>
  </si>
  <si>
    <t>Оснащение  площадки спортивными сооружениями  (МАФ)</t>
  </si>
  <si>
    <t>ИТОГО по п. 1</t>
  </si>
  <si>
    <t>НЦС81-02-05-2023,
табл.05-08-001-01</t>
  </si>
  <si>
    <t>1 место на стрельбище</t>
  </si>
  <si>
    <t>Лыжероллерные трассы  на 30 мест на стрельбище. Применительно.</t>
  </si>
  <si>
    <t>учтены в расценках НЦС 81-02-16-2023</t>
  </si>
  <si>
    <t>6.1.9.</t>
  </si>
  <si>
    <t>пм</t>
  </si>
  <si>
    <t>6.1.10</t>
  </si>
  <si>
    <t xml:space="preserve">объект </t>
  </si>
  <si>
    <t>площадь</t>
  </si>
  <si>
    <t>площадь, вид</t>
  </si>
  <si>
    <t>вид</t>
  </si>
  <si>
    <t>Улановская Е.А.</t>
  </si>
  <si>
    <t>6.2.5.1</t>
  </si>
  <si>
    <t>Навигационный указатель</t>
  </si>
  <si>
    <t>6.2.5.2</t>
  </si>
  <si>
    <t>Навигационная стела для размещения карт, схем, городской информации</t>
  </si>
  <si>
    <t>6.2.5.3</t>
  </si>
  <si>
    <t>Навигационная карта</t>
  </si>
  <si>
    <t>6.2.5.4</t>
  </si>
  <si>
    <t>Информационный стенд</t>
  </si>
  <si>
    <t>кол-во</t>
  </si>
  <si>
    <t>шт/кабинка</t>
  </si>
  <si>
    <t>6/24</t>
  </si>
  <si>
    <t>Шевелев О.Ю.</t>
  </si>
  <si>
    <t>протяженность, вид</t>
  </si>
  <si>
    <t>Какая протяженность? 
2 км родельбана, 10 шт тележек, 2 шт. посадочных платформы (одна на старте, одна на финише), 1 шт. операторская, 1 шт. техническое помещение, сети электроснабжения 2 км.</t>
  </si>
  <si>
    <t>протяженность</t>
  </si>
  <si>
    <t>6.1.4.1</t>
  </si>
  <si>
    <t>6.1.4.2</t>
  </si>
  <si>
    <t>6.1.4.3</t>
  </si>
  <si>
    <t>6.1.4.4</t>
  </si>
  <si>
    <t>площадь площадки+площадь павильона+сколько павильонов</t>
  </si>
  <si>
    <t>3/12</t>
  </si>
  <si>
    <t>шт</t>
  </si>
  <si>
    <t xml:space="preserve"> Какая протяженность подпорной стены и её высота ?  Стена из габионов ? 
Подпорная стена - 30 п.м. . Высота 3 м.
Габионы - 20 п.м. Высота 2 м</t>
  </si>
  <si>
    <t>Бородулин А.А., Сермавбрин Н.В.</t>
  </si>
  <si>
    <t>Подходит по  характеристикам</t>
  </si>
  <si>
    <t xml:space="preserve">Подпорная стена </t>
  </si>
  <si>
    <t xml:space="preserve">Подпорные стены гравитационные  массивные  из монолитного ж/б высотой до 3 м </t>
  </si>
  <si>
    <t>НЦС81-02-08-2023,
табл.08-08-001-04</t>
  </si>
  <si>
    <t>НЦС81-02-08-2023,
табл.08-08-003-01</t>
  </si>
  <si>
    <t>Гравитационные массивные из габионных конструкций: высотой до 3 м</t>
  </si>
  <si>
    <t>12</t>
  </si>
  <si>
    <t>Итого по п. 12</t>
  </si>
  <si>
    <t>Бородулин А.А.</t>
  </si>
  <si>
    <t>п.м.</t>
  </si>
  <si>
    <t>Сухомлинов М.Н.</t>
  </si>
  <si>
    <t>обсудить</t>
  </si>
  <si>
    <t>5.5.1</t>
  </si>
  <si>
    <t>5.5.2</t>
  </si>
  <si>
    <t>5.5.3</t>
  </si>
  <si>
    <t>5.5.4</t>
  </si>
  <si>
    <t>ко-во</t>
  </si>
  <si>
    <t>шт/кабинка/м2</t>
  </si>
  <si>
    <t>4/4/20</t>
  </si>
  <si>
    <t>протяженность, виды</t>
  </si>
  <si>
    <t xml:space="preserve">Обычные дороги категории V, дорожная одежда
облегченного типа с покрытием из щебня (щебня, гравия и песка, обработанных вяжущими).  (Применительно) </t>
  </si>
  <si>
    <t>Сухомлинов  М.Н.</t>
  </si>
  <si>
    <t>виды</t>
  </si>
  <si>
    <t>4.6.1</t>
  </si>
  <si>
    <t>4.6.3</t>
  </si>
  <si>
    <t>кол</t>
  </si>
  <si>
    <t xml:space="preserve"> Какая протяженность подпорной стены и её высота ?  Стена из габионов ? 
Подпорная стена - 25 п.м. . Высота 3 м.
Габионы - 25 п.м. Высота 2 м</t>
  </si>
  <si>
    <t>4.10</t>
  </si>
  <si>
    <t>Сети связи</t>
  </si>
  <si>
    <t>4.10.1</t>
  </si>
  <si>
    <t>Канализация связи 2-х отверстная</t>
  </si>
  <si>
    <t>4.10.2</t>
  </si>
  <si>
    <t>Кабель ВОЛС 16 ОВ</t>
  </si>
  <si>
    <t>4.10.3</t>
  </si>
  <si>
    <t>Кабель электропитания</t>
  </si>
  <si>
    <t>4.10.4</t>
  </si>
  <si>
    <t>кабель звуковой</t>
  </si>
  <si>
    <t>4.11</t>
  </si>
  <si>
    <t>КСБ</t>
  </si>
  <si>
    <t>4.11.1</t>
  </si>
  <si>
    <t>СОТ:
видеокамеры
сервер - от 1 этапа
АРМ - от 1 этапа</t>
  </si>
  <si>
    <t>шт.
шт.
шт.</t>
  </si>
  <si>
    <t>10
0
0</t>
  </si>
  <si>
    <t>4.11.2</t>
  </si>
  <si>
    <t>СПД-СБ</t>
  </si>
  <si>
    <t>каналы</t>
  </si>
  <si>
    <t>4.11.3</t>
  </si>
  <si>
    <t>СЭС (сервер в составе МФЦ)</t>
  </si>
  <si>
    <t>4.11.4</t>
  </si>
  <si>
    <t>Система речевого оповещения (подклбючается к ССОИ МФЦ)</t>
  </si>
  <si>
    <t>динамки</t>
  </si>
  <si>
    <t>4.12</t>
  </si>
  <si>
    <t>Информационны LCD-табло (на остановках)</t>
  </si>
  <si>
    <t>шт.</t>
  </si>
  <si>
    <t>Площадки для игровых видов спорта с искусственным газоном. Применительно.</t>
  </si>
  <si>
    <t xml:space="preserve">Сети связи </t>
  </si>
  <si>
    <t xml:space="preserve">Прокладка в траншее сетей связи с устройством 2-х трубной
кабельной канализации кабелями волоконно-оптическими: с количеством волокон в кабеле - 32, оптических волокон
в модуле - 8, количество модулей - 4 </t>
  </si>
  <si>
    <t>100 м</t>
  </si>
  <si>
    <t>НЦС81-02-11-2023,
табл.11-01-009-05</t>
  </si>
  <si>
    <t>НЦС81-02-11-2023  ТЧ Табл. 2</t>
  </si>
  <si>
    <t>НЦС81-02-11-2023  ТЧ Табл. 4 п.7</t>
  </si>
  <si>
    <t>НЦС81-02-11-2023  ТЧ  п. 24</t>
  </si>
  <si>
    <t>Защитные ограждения аэродромов с техническими средствами охраны. Применительно</t>
  </si>
  <si>
    <t>1 м</t>
  </si>
  <si>
    <t>НЦС81-02-18-2023,
табл.18-12-001-01</t>
  </si>
  <si>
    <t>НЦС81-02-18-2023  ТЧ Табл. 2</t>
  </si>
  <si>
    <t>НЦС81-02-18-2023  ТЧ Табл. 5 п.7</t>
  </si>
  <si>
    <t>НЦС81-02-18-2023  ТЧ  табл. 7. к   Разделу 12</t>
  </si>
  <si>
    <t>КСБ+ СПД-СБ</t>
  </si>
  <si>
    <t>Кст=0,36</t>
  </si>
  <si>
    <t>мп</t>
  </si>
  <si>
    <t>площадь обогрева</t>
  </si>
  <si>
    <t>м.п.</t>
  </si>
  <si>
    <t>3.6.1</t>
  </si>
  <si>
    <t>3.6.2</t>
  </si>
  <si>
    <t>3.6.3</t>
  </si>
  <si>
    <t>3.6.4</t>
  </si>
  <si>
    <t>объект/м2</t>
  </si>
  <si>
    <t>5/30.</t>
  </si>
  <si>
    <t>3.10</t>
  </si>
  <si>
    <t>3.10.1</t>
  </si>
  <si>
    <t>3.10.2</t>
  </si>
  <si>
    <t>3.11</t>
  </si>
  <si>
    <t>3.11.1</t>
  </si>
  <si>
    <t>6
0
0</t>
  </si>
  <si>
    <t>3.11.2</t>
  </si>
  <si>
    <t>Система передачи данных-система безпасности</t>
  </si>
  <si>
    <t>3.11.3</t>
  </si>
  <si>
    <t>3.11.4</t>
  </si>
  <si>
    <t>3.12</t>
  </si>
  <si>
    <t>Велосипедные дорожки</t>
  </si>
  <si>
    <t>НЦС81-02-08-2023,
табл.08-06-001-01</t>
  </si>
  <si>
    <t xml:space="preserve">НЦС81-02-08-2023  ТЧ Табл.9 </t>
  </si>
  <si>
    <t>НЦС81-02-08-2023  ТЧ Табл. 11 п.7</t>
  </si>
  <si>
    <t>НЦС81-02-12-2023,
табл.12-03-001-01</t>
  </si>
  <si>
    <t>м</t>
  </si>
  <si>
    <t>Коэффицент на усложненные условиях производства работ: В горных условиях на куртых склонах (косогорах) и при глубоких оврагах</t>
  </si>
  <si>
    <t>НЦС81-02-12-2023  Табл. 1 п. 4</t>
  </si>
  <si>
    <t>НЦС81-02-12-2023  ТЧ табл. 2</t>
  </si>
  <si>
    <t>Прокладка линий уличного освещения на железобетонных опорах с воздушной подводкой питания напряжением 0,4 кв изолированными самонесущими проводами</t>
  </si>
  <si>
    <t>НЦС81-02-12-2023  ТЧ п. 26</t>
  </si>
  <si>
    <t>Остановочный пункт</t>
  </si>
  <si>
    <t>НЦС81-02-08-2023,
п. 30</t>
  </si>
  <si>
    <t>1 пункт</t>
  </si>
  <si>
    <t xml:space="preserve">Прокладка в траншее сетей связи с устройством 2-х трубной кабельной канализации кабелями волоконно-оптическими: с количеством волокон в кабеле - 32, оптических волокон в модуле - 8, количество модулей - 4 </t>
  </si>
  <si>
    <t>Стоимость кабельного колодца  (смотрового устройства).
Тип колодца ККС-2</t>
  </si>
  <si>
    <t>НЦС81-02-11-2023  ТЧ Табл. 1</t>
  </si>
  <si>
    <t>1 кабельный колодец</t>
  </si>
  <si>
    <t xml:space="preserve">Прокладка в траншее местных сетей связи кабелями
высокочастотными с полиэтиленовой изоляцией в
полиэтиленовой оболочке: с гидрофобным заполнителем, с броней из двух стальных лент, диаметром жилы 0,9 мм, с числом четверок - 2 </t>
  </si>
  <si>
    <t>НЦС81-02-11-2023,
табл.11-01-006-05</t>
  </si>
  <si>
    <t>1000*2,5=2500 м2</t>
  </si>
  <si>
    <t>элемент благоустройства?</t>
  </si>
  <si>
    <t>Пункт проката - павильон (в зимнее время)</t>
  </si>
  <si>
    <t>модульное здание не капстр-во</t>
  </si>
  <si>
    <t>???</t>
  </si>
  <si>
    <t>2.8.1</t>
  </si>
  <si>
    <t>2.8.2</t>
  </si>
  <si>
    <t>вид, МАФ?</t>
  </si>
  <si>
    <t>1/4/20</t>
  </si>
  <si>
    <t>2.14</t>
  </si>
  <si>
    <t>2.14.1</t>
  </si>
  <si>
    <t>2.14.2</t>
  </si>
  <si>
    <t>2.15</t>
  </si>
  <si>
    <t>2.15.1</t>
  </si>
  <si>
    <t>8
0
0</t>
  </si>
  <si>
    <t>2.15.2</t>
  </si>
  <si>
    <t>2.15.3</t>
  </si>
  <si>
    <t>2.15.4</t>
  </si>
  <si>
    <t xml:space="preserve">Кинотеатра на открытой площадке </t>
  </si>
  <si>
    <t>НЦС81-02-16-2023,
табл.08-07-001-03</t>
  </si>
  <si>
    <t>Площадки отдыха с устройством ограждения и
искусственвого освещения : свыше 50 машино-мест. Приминительно.</t>
  </si>
  <si>
    <t>НЦС81-02-08-2023  ТЧ  п. 27</t>
  </si>
  <si>
    <t xml:space="preserve">Каток </t>
  </si>
  <si>
    <t xml:space="preserve">Открытый камин </t>
  </si>
  <si>
    <t>Светильники на стальных опорах с люминесцентными лампами</t>
  </si>
  <si>
    <t>Какой объект проектирование? Это Архитектурно-скульптурный ансабль или кап. сооружение? 
Высота арки 20 м. Ширина арки 10 м. Въездная акрка. Основа арки – 4 колонны. Фундамент- монолитная плита 2000х2000х1000 мм - 4 шт. Подсветка стелы - светодиодные модули.  Полезная площадь для вывески – 250 м2.</t>
  </si>
  <si>
    <t>Бородулин А. - рассмотреть расценку</t>
  </si>
  <si>
    <r>
      <t xml:space="preserve">рабочие места?
</t>
    </r>
    <r>
      <rPr>
        <sz val="12"/>
        <color rgb="FFFF0000"/>
        <rFont val="Times New Roman"/>
        <family val="1"/>
        <charset val="204"/>
      </rPr>
      <t>Автоматизированный</t>
    </r>
  </si>
  <si>
    <t>Крупенич С.А., Улановская Е.А.</t>
  </si>
  <si>
    <t>Какие виды навигации?  Указатели или современные  мультимедийные системы.</t>
  </si>
  <si>
    <t>1.4.1</t>
  </si>
  <si>
    <t>1.4.2</t>
  </si>
  <si>
    <t>Какая протяженность освещения?</t>
  </si>
  <si>
    <t xml:space="preserve"> Какая площадь? 
13м2 х 5м/м=65м2 </t>
  </si>
  <si>
    <t>Евдокимов И.В.</t>
  </si>
  <si>
    <t>Атоматический для контроля въезда и выезда</t>
  </si>
  <si>
    <t>1.10</t>
  </si>
  <si>
    <t>1.10.1</t>
  </si>
  <si>
    <t>Канализация связи 4-х отверстная</t>
  </si>
  <si>
    <t>1.10.2</t>
  </si>
  <si>
    <t>1.10.3</t>
  </si>
  <si>
    <t>СПД</t>
  </si>
  <si>
    <t>1.11</t>
  </si>
  <si>
    <t>1.11.1</t>
  </si>
  <si>
    <t>СОТ:
видеокамеры
сервер
АРМ</t>
  </si>
  <si>
    <t>2
1
1</t>
  </si>
  <si>
    <t>1.11.2</t>
  </si>
  <si>
    <t>1.11.3</t>
  </si>
  <si>
    <t>Арка/стелла</t>
  </si>
  <si>
    <t>Ограждения по железобетонным столбам из железобетонных панелей оград высотой 1,8 м
Приминительно.</t>
  </si>
  <si>
    <t>100 п.м</t>
  </si>
  <si>
    <t xml:space="preserve">Устройство шлагбаума </t>
  </si>
  <si>
    <t xml:space="preserve">НЦС81-02-16-2023  ТЧ п.18
</t>
  </si>
  <si>
    <t>НЦС81-02-27-2023  ТЧ  п. 27</t>
  </si>
  <si>
    <t xml:space="preserve">Устройсrво остановочного кармана с комплексом сопутствующих работ,в том числе устройством дорожной одежды облегченного типа, а также вкrючая стоимость остновочного павильона загородного типа).  (Применительно) </t>
  </si>
  <si>
    <t xml:space="preserve">Парковочный карман </t>
  </si>
  <si>
    <t>НЦС81-02-11-2023,
табл.11-01-010-05</t>
  </si>
  <si>
    <t xml:space="preserve">Прокладка в траншее сетей связи с устройством 4-х трубной кабельной канализации кабелями волоконно-оптическими: с количеством волокон в кабеле - 32, оптических волокон в модуле - 8, количество модулей - 4 </t>
  </si>
  <si>
    <t>A  * Количество*Кст
19.082 тыс.руб *(1+8*0,2)*0,4*1,1*1,1566</t>
  </si>
  <si>
    <t>Навигация:
Навигационный указатель-4.;
Навигационная стела для размещения карт, схем, городской информации -4;
Система автоматического туристско-информационного центра (ТИЦ)-1 ;</t>
  </si>
  <si>
    <t>Коммунальные инженерные сети и сооружения, 2012 г. Раздел 3.  Таблица 3. Отдельные виды работ наружного освещения п.3
А=19.082 тыс. руб.
Количество= 9 объектов</t>
  </si>
  <si>
    <t>Наружное освещение. Длина до 100 п.м</t>
  </si>
  <si>
    <t>Коммунальные инженерные сети и сооружения, 2012 г. Раздел 3. Таблица 2. Наружное освещение улиц, магистралей, проездов, площадей, парков, скверов, бульваров, жилых дворовых территорий, кладбищ, территорий школ, детских садов, яслей-садов, поликлиник и больниц п.1
А=21.32 тыс. руб. 
Количество = 1 (объект, до 100 п.м)</t>
  </si>
  <si>
    <t>Автомобильные дороги общего пользования. . Категория дороги V; Категория сложности проектирования:3. Протяженность дороги до 2 км.</t>
  </si>
  <si>
    <t>Автомобильные дороги общего пользования. 2007 г. Таблица 2. п.3
А=356.25 тыс. руб.
Протяженность L=0,2 км;
Количество=1 (дорога)</t>
  </si>
  <si>
    <t>A * Количество*Кст*К1*К2
356.25 тыс.руб * 1 *0,4*1,24</t>
  </si>
  <si>
    <t xml:space="preserve">При привязке повторно применяемой проектной документации по объекту проектирования без внесения каких-либо изменений в надземную и подземную части здания (сооружения) принимается минимальный размер корректирующего коэффициента </t>
  </si>
  <si>
    <t>К1= 0,2
(Методика, 707/пр. Глава IX, п.152)</t>
  </si>
  <si>
    <t>A * Количество*Кст*К1
33.03 тыс.руб * 1 *0,4*0,2*1,1*1,06365</t>
  </si>
  <si>
    <t>Автоматическое управление шлагбаумом. Применительно.</t>
  </si>
  <si>
    <t>Железные дороги. 2014 г. Таблица 10. Отдельные здания и сооружения, п.20
Осн. Показатель Х=1 (кабина)
Количество=4</t>
  </si>
  <si>
    <t>Теплые туалеты от 4 до 16 человек</t>
  </si>
  <si>
    <t>(A + B * Xзад) * Количество*Кст
(33.0 тыс.руб + 5,5тыс.руб * 1) *2,05*0,4*1,18965</t>
  </si>
  <si>
    <t xml:space="preserve">Проектируемая кабельная канализация связи емкостью до 6 отверстий включительно и протяженностью, м: до 500 </t>
  </si>
  <si>
    <t>Понижающий коэффициент, учитывающий разницу в трудоемкости работ по проектируемому объекту и объекту-аналогу.</t>
  </si>
  <si>
    <t xml:space="preserve">СБЦП "Объекты связи (2010)" табл.1 п.14
(СБЦП02-1-14) 
</t>
  </si>
  <si>
    <t xml:space="preserve">Прокладка бронированного кабеля связи в земле, протяженностью: до 250 м, 1(объект) </t>
  </si>
  <si>
    <t xml:space="preserve">СБЦП "Коммунальные инженерные сети и сооружения (2012)" табл.1 п.42
(СБЦП07-1-42) </t>
  </si>
  <si>
    <t>К1= 1,20855
(Методика, 707/пр. Приложение 5, табл.5.1, п.2.3)- Усложняющий</t>
  </si>
  <si>
    <t>(A + B * Xзад) * Количество*Кст
31.0 тыс.руб  * 1*0,4*1,11024</t>
  </si>
  <si>
    <t>Система передачи данных (СПД) выделенной связи в составе: служба передачи данных (ПД), служба сопряжения ЭВМ с каналами ПД, служ-ба технического обслуживания (ТО) мощностью, каналов</t>
  </si>
  <si>
    <t xml:space="preserve">СБЦП "Объекты связи (2010)" Раздел.4.табл.2 п.2
(СБЦП02-2-2) </t>
  </si>
  <si>
    <t>К1= 1,11024
(Методика, 707/пр. Приложение 5, табл.5.1, п.2.3)- Усложняющий</t>
  </si>
  <si>
    <t>Кст=0,42</t>
  </si>
  <si>
    <t>(A + B * Xзад) * Количество*Кст
(25.98+4.623*10) тыс.руб  * 1*0,42*0,1*1,11024</t>
  </si>
  <si>
    <t xml:space="preserve">
шт.
шт.
шт.</t>
  </si>
  <si>
    <t xml:space="preserve">
2
1
1</t>
  </si>
  <si>
    <t>СОТ</t>
  </si>
  <si>
    <t>видеокамеры</t>
  </si>
  <si>
    <t xml:space="preserve">СБЦП "Объекты связи (2010)" табл.20 п.7
(СБЦП02-20-7) </t>
  </si>
  <si>
    <t>(A + B * Xзад) * Количество*Кст
(36.61+4.57*2) тыс.руб  * 1*0,5*0,1*1,11024</t>
  </si>
  <si>
    <t>Кст=0,5</t>
  </si>
  <si>
    <t xml:space="preserve">Установка промышленного телевизионного оборудования в готовом здании с числом камер 2 до 12,
</t>
  </si>
  <si>
    <t>АРМ</t>
  </si>
  <si>
    <t xml:space="preserve"> раб. Место</t>
  </si>
  <si>
    <t>Автоматизированное рабочее место (АРМ) оператора на объекте</t>
  </si>
  <si>
    <t>Объекты связи. 2010 г. Раздел 4. Таблица 24. Локальные вычислительные сети, структурированные кабельные сети п.1
A=2.40 тыс.руб; 
Количество = 3 (1 АРМ)</t>
  </si>
  <si>
    <t>A * Количество
2.4 тыс.руб * 3  *0,5*1,11024</t>
  </si>
  <si>
    <t>сервер</t>
  </si>
  <si>
    <t>Радиостанция приемо-передающая мощностью до 1000 В, 1(1 станция) . Применительно</t>
  </si>
  <si>
    <t xml:space="preserve">СБЦП "Объекты связи (2010)" табл.12 п.6
(СБЦП02-12-6) </t>
  </si>
  <si>
    <t xml:space="preserve"> станция</t>
  </si>
  <si>
    <t>Повтор</t>
  </si>
  <si>
    <t>К2=0,2</t>
  </si>
  <si>
    <t>A * Количество
39.55 тыс.руб * 1  *0,5*0,2*1,11024</t>
  </si>
  <si>
    <t>станция</t>
  </si>
  <si>
    <t xml:space="preserve">Оценка воздействия объекта капитального строительства на окружающую среду (ОВОС)
Цена определяется в размере 4% от общей стоимости проектирования </t>
  </si>
  <si>
    <t>(A + B * (0.4 * Xмин + 0.6 * (Xмин / 2))) * Количество
(118.81 тыс.руб + 0.3 тыс.руб * 100) * 1 *0.4*1.1*1.12029</t>
  </si>
  <si>
    <t>Открытый каток</t>
  </si>
  <si>
    <t>2.8.3</t>
  </si>
  <si>
    <t>2.8.4</t>
  </si>
  <si>
    <t>Пешеходные зоны</t>
  </si>
  <si>
    <t>A * Количество*Кст
160 тыс.руб * 1*0,4*1,22752</t>
  </si>
  <si>
    <t xml:space="preserve">Методика определения стоимости создания произведений изобразительного искусства на территории Российской Федерации. 2008 г. (МДС 81-42.2008) Таблица 01-10. Стоимость создания объемных и объемно-пространственных композиций в материале, п.01-10-01
Кол-во ед. из. в объекте =25
Кол-во объектов =1
</t>
  </si>
  <si>
    <t xml:space="preserve">Цена * Кол-во ед.измер * Кол-во объектов
21 тыс.руб *5,6 * 1 </t>
  </si>
  <si>
    <t>A * Количество*Кст*К1*К2*К3
21.32 тыс.руб*1 *0,4*1,3*1,25*1,191225</t>
  </si>
  <si>
    <t>A  * Количество*Кст
19.082 тыс.руб *(1+11*0,2)*0,4*1,1*1,1566</t>
  </si>
  <si>
    <t>К3=3,2= (1+11*0,2)
Методика, 707/пр. Глава IX, п.152</t>
  </si>
  <si>
    <t>Коммунальные инженерные сети и сооружения, 2012 г. Раздел 3.  Таблица 3. Отдельные виды работ наружного освещения п.3
А=19.082 тыс. руб.
Количество= 12 объектов</t>
  </si>
  <si>
    <t>Навигация:
Навигационный указатель-6.;
Навигационная стела для размещения карт, схем, городской информации -6;</t>
  </si>
  <si>
    <t>A * Количество*Кст
12.49 тыс.руб*1 *0,4*1,191225</t>
  </si>
  <si>
    <t xml:space="preserve">Методика определения стоимости создания произведений изобразительного искусства на территории Российской Федерации. 2008 г. (МДС 81-42.2008) Таблица 01-10. Стоимость создания объемных и объемно-пространственных композиций в материале, п.01-10-01
Кол-во ед. из. в объекте =27
Кол-во объектов =1
</t>
  </si>
  <si>
    <t>К3=6,2 = (1+26*0,2)
Методика, 707/пр. Глава IX, п.152</t>
  </si>
  <si>
    <t>К1= 1,092
(Методика, 707/пр. Приложение 5, табл.5.1, п.2.3)- Усложняющий</t>
  </si>
  <si>
    <t>(A + B * Xзад) * Количество*Кст
(33.0 тыс.руб + 5,5тыс.руб * 1) *3,8*0,4*1,092</t>
  </si>
  <si>
    <t>Кольцевой дренаж. Длина до 1000 м.</t>
  </si>
  <si>
    <t>К1= 1,23264
(Методика, 707/пр. Приложение 5, табл.5.1, п.2.3)- Усложняющий</t>
  </si>
  <si>
    <t>Базовая цена проектирования объектов по которым обязательно проведение государственной экологической экспертизы проектной документации определяется по согласованию с заказчиком с применением ценообразующего коэффициента (Общие положения, п.1.10)</t>
  </si>
  <si>
    <t>При проектировании трубопроводов из неметаллических труб (пластмассовых, железобетонных и композитных материалов) к базовым ценам применяется ценообразующий коэффициент (Общие положения, п.1.12)</t>
  </si>
  <si>
    <t>(A + B * (0.4 * Xмин + 0.6 * (Xмин / 2))) * Количество
(4.6 тыс.руб + 0.166 тыс.руб * (0.4 * 1000 + 0.6 * (1000 / 2))) * 1 *0,6*1,1*1,2*1,23264</t>
  </si>
  <si>
    <t>(A + B * Xзад) * Количество*Кст
(36.61+4.57*8) тыс.руб  * 1*0,5*0,1*1,11024</t>
  </si>
  <si>
    <t>видеокамер</t>
  </si>
  <si>
    <t>каналов</t>
  </si>
  <si>
    <t>(A + B * Xзад) * Количество*Кст
(25.98+4.623*16) тыс.руб  * 1*0,42*0,1*1,11024</t>
  </si>
  <si>
    <t>динамиков</t>
  </si>
  <si>
    <t xml:space="preserve">СБЦП "Объекты связи (2010)" табл.9 п.4
(СБЦП02-9-4) </t>
  </si>
  <si>
    <t>Производственная громкоговорящая избирательная или циркулярная связь в производственных помещениях. Количество абонентов до 10</t>
  </si>
  <si>
    <t xml:space="preserve">СБЦП "Объекты связи (2010)" табл.9 п.3
(СБЦП02-9-4) </t>
  </si>
  <si>
    <t>(A + B * (0.4 * Xмин + 0.6 * (Xмин / 2))) * Количество
(1.39 тыс.руб + 0.102 тыс.руб * (0.4 * 10 + 0.6 * 8))) * 1 *0,48*1,11024</t>
  </si>
  <si>
    <t xml:space="preserve">Принята задвоенность  разделом документ. П. 1 сметы учтено водоотведение </t>
  </si>
  <si>
    <t>Специализированные продовольственные магазины торговой площадью, м2</t>
  </si>
  <si>
    <t>К3=1,8= (1+4*0,2)
Методика, 707/пр. Глава IX, п.152</t>
  </si>
  <si>
    <t>A  * Количество*Кст
19.082 тыс.руб *(1+38*0,2)*0,4*1,1*1,1566</t>
  </si>
  <si>
    <t>К3=3,2= (1+38*0,2)
Методика, 707/пр. Глава IX, п.152</t>
  </si>
  <si>
    <t>Навигация:
Навигационный указатель-18.;
Навигационная стела для размещения карт, схем, городской информации -18;
Информационны LCD-табло (на остановках)-3.</t>
  </si>
  <si>
    <t>Коммунальные инженерные сети и сооружения, 2012 г. Раздел 3.  Таблица 3. Отдельные виды работ наружного освещения п.3
А=19.082 тыс. руб.
Количество= 39 объектов</t>
  </si>
  <si>
    <t>Кольцевой дренаж. Длина свыше 1000 м.</t>
  </si>
  <si>
    <t xml:space="preserve">Объекты водоснабжения и канализации. 2015 г. Таблица 18. Дренаж, п.1 
</t>
  </si>
  <si>
    <t xml:space="preserve">Объекты водоснабжения и канализации. 2015 г. Таблица 18. Дренаж, п.2
</t>
  </si>
  <si>
    <t>(A + B * (0.4 * Xмин + 0.6 * Хзад))) * Количество
(155.6 тыс.руб + 0.015 тыс.руб * (0.4 * 1000 + 0.6 *1800)) * 1 *0,6*1,1*1,2*1,23264</t>
  </si>
  <si>
    <t>(A + B * Xзад) * Количество*Кст
(25.98+4.623*20) тыс.руб  * 1*0,42*0,1*1,11024</t>
  </si>
  <si>
    <t>К3=2,6= (1+8*0,2)
Методика, 707/пр. Глава IX, п.152</t>
  </si>
  <si>
    <t>Навигация:
Навигационный указатель-6;
Навигационная карта -3;</t>
  </si>
  <si>
    <t xml:space="preserve">Методика определения стоимости создания произведений изобразительного искусства на территории Российской Федерации. 2008 г. (МДС 81-42.2008) Таблица 01-10. Стоимость создания объемных и объемно-пространственных композиций в материале, п.01-10-01
Кол-во ед. из. в объекте =15
Кол-во объектов =1
</t>
  </si>
  <si>
    <t>К3=3,8 = (1+14*0,2)
Методика, 707/пр. Глава IX, п.152</t>
  </si>
  <si>
    <t>К3=1,6= (1+3*0,2)
Методика, 707/пр. Глава IX, п.152</t>
  </si>
  <si>
    <t>(A + B * Xзад) * Количество*Кст
(33.0 тыс.руб + 5,5тыс.руб * 1) *1,6*0,4*1,092</t>
  </si>
  <si>
    <t xml:space="preserve">Подпорные стенки (габионной конструкции) </t>
  </si>
  <si>
    <t xml:space="preserve">Подпорные стенки </t>
  </si>
  <si>
    <t>СБЦП "Железные дороги". 2014 г.  Таблица № 10, п.11.1</t>
  </si>
  <si>
    <t>Подпорные и ограждающие стенки в грунте высотой до 4,0 м и полной длиной, п.м. (до 50 м)</t>
  </si>
  <si>
    <t>(A + B * Xзад) * Количество*Кст *К1*К2
(456,5+0 (0,4*50+0,6*25))* 1 *0,4*1,1613</t>
  </si>
  <si>
    <t>(A + B * Xзад) * Количество*Кст *К1*К2
(456,5+0 (0,4*50+0,6*25))* 1 *0,4*0,8*1,1613</t>
  </si>
  <si>
    <t>(A + B * Xзад) * Количество*Кст
(39.0 тыс.руб +0*(0,4*500+0,6*300)) * 1*0,36*0,1*1,11024</t>
  </si>
  <si>
    <t>(A + B * Xзад) * Количество*Кст
(39.0 тыс.руб +0*(0,4*500+0,6*150)) * 1*0,36*0,1*1,11024</t>
  </si>
  <si>
    <t xml:space="preserve">СБЦП "Коммунальные инженерные сети и сооружения (2012)" табл.1 п.43
(СБЦП07-1-42) </t>
  </si>
  <si>
    <t>(A + B * Xзад) * Количество*Кст
(14.0 тыс.руб+0.076*400)  * 1*0,4*1,11024</t>
  </si>
  <si>
    <t>Прокладка бронированного кабеля связи в земле, протяженностью: от 250 м до 500 м</t>
  </si>
  <si>
    <t>(A + B * Xзад) * Количество*Кст
(36.61+4.57*6) тыс.руб  * 1*0,5*0,1*1,11024</t>
  </si>
  <si>
    <t xml:space="preserve">Оценка воздействия объекта капитального строительства на окружающую среду (ОВОС) Цена определяется в размере 4% от общей стоимости проектирования </t>
  </si>
  <si>
    <t>Тропа здоровья длиной 500-3000 п.м.</t>
  </si>
  <si>
    <t>Объекты жилищно-гражданского строительства. 2010 г. Раздел 4. Таблица 10. Плоскостные сооружения п.1</t>
  </si>
  <si>
    <t>A * Количество*Кст
42.32 тыс.руб * 1*0,25*0,4*1,20696</t>
  </si>
  <si>
    <t>Наружное освещение улиц, магистралей, проездов, площадей, парков, скверов, бульваров, жилых дворовых территорий, кладбищ, территорий школ, детских садов, яслей-садов, поликлиник и больниц. 
Длина  свыше 250 до 1000  п.м</t>
  </si>
  <si>
    <t>Коммунальные инженерные сети и сооружения, 2012 г. Раздел 3. Таблица 2.  п.3
А=25.97 тыс. руб. ; В= 0,063 тыс. руб.
Х зад. = 650 м
Количество=1</t>
  </si>
  <si>
    <t>(A+В*Хзад) * Количество*Кст*К1*К2*К3
(25,97+0,063*650)*1 *0,4*1,3*1,25*1,191225</t>
  </si>
  <si>
    <t>Навигация:
Навигационный указатель-8;
Навигационная карта -4;</t>
  </si>
  <si>
    <t>К3=2,8 = (1+9*0,2)
Методика, 707/пр. Глава IX, п.152</t>
  </si>
  <si>
    <t>(A + B * Xзад) * Количество*Кст *К1*К2
(456,5+0 (0,4*50+0,6*30))* 1 *0,4*1,1613</t>
  </si>
  <si>
    <t xml:space="preserve">Смета № 6.1 ПД </t>
  </si>
  <si>
    <t>Рондельбан  (механические сани на небольшой монорельсовой железной дороге). Применительно</t>
  </si>
  <si>
    <t>Железные дороги. 2014 г. Таблица 01. Новые железные дороги, п.8</t>
  </si>
  <si>
    <t>К1= 0,70035
(Методика, 707/пр. Приложение 5, табл.5.1, п.2.3)- Усложняющий</t>
  </si>
  <si>
    <t>Навигация:
Навигационный указатель-10;
Навигационная карта -10;</t>
  </si>
  <si>
    <t>Коммунальные инженерные сети и сооружения, 2012 г. Раздел 3.  Таблица 3. Отдельные виды работ наружного освещения п.3
А=19.082 тыс. руб.
Количество= 20 объектов</t>
  </si>
  <si>
    <t>К3=4,8= (1+19*0,2)
Методика, 707/пр. Глава IX, п.152</t>
  </si>
  <si>
    <t>A  * Количество*Кст
19.082 тыс.руб *(1+19*0,2)*0,4*1,1*1,1566</t>
  </si>
  <si>
    <t xml:space="preserve">Методика определения стоимости создания произведений изобразительного искусства на территории Российской Федерации. 2008 г. (МДС 81-42.2008) Таблица 01-10. Стоимость создания объемных и объемно-пространственных композиций в материале, п.01-10-01
Кол-во ед. из. в объекте =30
Кол-во объектов =1
</t>
  </si>
  <si>
    <t>К3=6,8 = (1+9*0,2)
Методика, 707/пр. Глава IX, п.152</t>
  </si>
  <si>
    <t xml:space="preserve">Цена * Кол-во ед.измер * Кол-во объектов
21 тыс.руб *6,8 * 1 </t>
  </si>
  <si>
    <t>Объекты жилищно-гражданского строительства. 2010 г. Раздел 4. Таблица 23. Здания предприятий торговли п.8 Рыночные павильоны м2
Осн. Пока. Х=30 (м2)
Количество=5</t>
  </si>
  <si>
    <t>(A +В*Хзад)* Количество*Кст
(89.55 тыс.руб +0.08*30)* 1*0,4*1,1526</t>
  </si>
  <si>
    <t>Объекты жилищно-гражданского строительства. 2010 г. Раздел 4. Таблица 23. Здания предприятий торговли п.8 Рыночные павильоны м2
Осн. Пока. Х=30 (м2)
Количество=15</t>
  </si>
  <si>
    <t>(A +В*Хзад)* Количество*Кст
(89.55 тыс.руб +0.08*30)* 3,8*0,4*1,1526</t>
  </si>
  <si>
    <t>К3=3,8= (1+14*0,2)
Методика, 707/пр. Глава IX, п.152</t>
  </si>
  <si>
    <t>Наружное освещение улиц, магистралей, проездов, площадей, парков, скверов, бульваров, жилых дворовых территорий, кладбищ, территорий школ, детских садов, яслей-садов, поликлиник и больниц. 
Длина  свыше 1000 до 3000  п.м</t>
  </si>
  <si>
    <t>(A+В*Хзад) * Количество*Кст*К1*К2*К3
(75,97+0,013*1600)*1 *0,4*1,3*1,25*1,191225</t>
  </si>
  <si>
    <t>Коммунальные инженерные сети и сооружения, 2012 г. Раздел 3. Таблица 2.  п.4
А=75.97 тыс. руб. ; В= 0,063 тыс. руб.
Х зад. = 1600 м
Количество=1</t>
  </si>
  <si>
    <t>Площадки для игровых видов спорта</t>
  </si>
  <si>
    <t xml:space="preserve">Объекты жилищно-гражданского строительства. 2010 г. Раздел 4. Таблица 10. Плоскостные сооружения п.4 </t>
  </si>
  <si>
    <t>Площадка общефизической
подготовки площадью до 200 м2</t>
  </si>
  <si>
    <t xml:space="preserve">Объекты жилищно-гражданского строительства. 2010 г. Раздел 4. Таблица 10. Плоскостные сооружения п.5 </t>
  </si>
  <si>
    <t xml:space="preserve">Полоса препятствий площадью до 570 м2 </t>
  </si>
  <si>
    <t xml:space="preserve">Объекты жилищно-гражданского строительства. 2010 г. Раздел 4. Таблица 10. Плоскостные сооружения п.1 </t>
  </si>
  <si>
    <t>Комплексная спортивная площадка площадью 1445м2</t>
  </si>
  <si>
    <t xml:space="preserve">Скалодром+ веревочный парк </t>
  </si>
  <si>
    <t>A  * Количество*Кст
19.082 тыс.руб *(1+11*0,2)*0,4*3,2*1,1566</t>
  </si>
  <si>
    <t>Навигация:
Навигационный указатель-6;
Навигационная карта -2;
Информационный стенд-4.</t>
  </si>
  <si>
    <t>К3=4,8 = (1+19*0,2)
Методика, 707/пр. Глава IX, п.152</t>
  </si>
  <si>
    <t xml:space="preserve">Цена * Кол-во ед.измер * Кол-во объектов
21 тыс.руб *4,8 * 1 </t>
  </si>
  <si>
    <t xml:space="preserve">Методика определения стоимости создания произведений изобразительного искусства на территории Российской Федерации. 2008 г. (МДС 81-42.2008) Таблица 01-10. Стоимость создания объемных и объемно-пространственных композиций в материале, п.01-10-01
Кол-во ед. из. в объекте =20
Кол-во объектов =1
</t>
  </si>
  <si>
    <t>Железные дороги. 2014 г. Таблица 10. Отдельные здания и сооружения, п.20
Теплые туалеты от 4 до 16 человек
Осн. Показатель Х=1 (кабина)
Количество=6</t>
  </si>
  <si>
    <t>К3=2= (1+5*0,2)
Методика, 707/пр. Глава IX, п.152</t>
  </si>
  <si>
    <t>Коммунальные инженерные сети и сооружения, 2012 г. Раздел 3. Таблица 2.  п.3
А=25.97 тыс. руб. ; В= 0,063 тыс. руб.
Х зад. = 550 м
Количество=1</t>
  </si>
  <si>
    <t>Наружное освещение улиц, магистралей, проездов, площадей, парков, скверов, бульваров, жилых дворовых территорий, кладбищ, территорий школ, детских садов, яслей-садов, поликлиник и больниц. 
Длина  от 250 до 1000  п.м</t>
  </si>
  <si>
    <t>Веревочный парк «скай-парк»</t>
  </si>
  <si>
    <t>6.3.3.1</t>
  </si>
  <si>
    <t>6.3.3.2</t>
  </si>
  <si>
    <t>6.3.3.3</t>
  </si>
  <si>
    <t>6.3.3.4</t>
  </si>
  <si>
    <t>Сухомлинов М.Н., Улановская Е.А.</t>
  </si>
  <si>
    <t>1/4-20 м2</t>
  </si>
  <si>
    <t>6.3.7</t>
  </si>
  <si>
    <t xml:space="preserve">Навигация:
Навигационный указатель-2;
Навигационная стела для размещения карт, схем, городской информации-2;
</t>
  </si>
  <si>
    <t>К3=3,2= (1+3*0,2)
Методика, 707/пр. Глава IX, п.152</t>
  </si>
  <si>
    <t>A  * Количество*Кст
19.082 тыс.руб *(1+3*0,2)*0,4*1,6*1,1566</t>
  </si>
  <si>
    <t xml:space="preserve">Цена * Кол-во ед.измер * Кол-во объектов
21 тыс.руб *2,8 * 1 </t>
  </si>
  <si>
    <t xml:space="preserve">Методика определения стоимости создания произведений изобразительного искусства на территории Российской Федерации. 2008 г. (МДС 81-42.2008) Таблица 01-10. Стоимость создания объемных и объемно-пространственных композиций в материале, п.01-10-01
Кол-во ед. из. в объекте =10
Кол-во объектов =1
</t>
  </si>
  <si>
    <t>Наружное освещение улиц, магистралей, проездов, площадей, парков, скверов, бульваров, жилых дворовых территорий, кладбищ, территорий школ, детских садов, яслей-садов, поликлиник и больниц. 
Длина  от 100 до 250  п.м</t>
  </si>
  <si>
    <t>Коммунальные инженерные сети и сооружения, 2012 г. Раздел 3. Таблица 2.  п.3
А=7.72 тыс. руб. ; В= 0,136 тыс. руб.
Х зад. = 200 м
Количество=1</t>
  </si>
  <si>
    <t>(A+В*Хзад) * Количество*Кст*К1*К2*К3
(7,72+0,136*200)*1 *0,4*1,3*1,25*1,191225</t>
  </si>
  <si>
    <t>(A+В*Хзад) * Количество*Кст*К1*К2*К3
(25,97+0,063*550)*1 *0,4*1,3*1,25*1,191225</t>
  </si>
  <si>
    <t>К3=
Методика, 707/пр. Глава IX, п.152</t>
  </si>
  <si>
    <t>площаль</t>
  </si>
  <si>
    <t xml:space="preserve"> Какая протяженность подпорной стены и её высота ?  Стена из габионов ? 
Подпорная стена - 10 п.м. . Высота 3 м.
Габионы - 10 п.м. Высота 2 м</t>
  </si>
  <si>
    <t>6.4.13</t>
  </si>
  <si>
    <t xml:space="preserve">Навигация </t>
  </si>
  <si>
    <t>6.4.13.1</t>
  </si>
  <si>
    <t>6.4.13.2</t>
  </si>
  <si>
    <t>6.4.13.3</t>
  </si>
  <si>
    <t>6.4.13.4</t>
  </si>
  <si>
    <t>6.4.14</t>
  </si>
  <si>
    <t>6.4.14.1</t>
  </si>
  <si>
    <t>6.4.14.2</t>
  </si>
  <si>
    <t>6.4.14.3</t>
  </si>
  <si>
    <t>6.4.14.4</t>
  </si>
  <si>
    <t>6.4.15</t>
  </si>
  <si>
    <t>6.4.15.1</t>
  </si>
  <si>
    <t>30
1
1</t>
  </si>
  <si>
    <t>6.4.15.2</t>
  </si>
  <si>
    <t>6.4.15.3</t>
  </si>
  <si>
    <t>6.4.15.4</t>
  </si>
  <si>
    <t>6.4.16</t>
  </si>
  <si>
    <t>Объекты жилищно-гражданского строительства. 2010 г. Раздел 4. Таблица 8. Сооружения для зимних видов спорта п.1</t>
  </si>
  <si>
    <t>Открытая площадка для хоккея с шайбой площадью 1945 м2</t>
  </si>
  <si>
    <t xml:space="preserve">Объекты жилищно-гражданского строительства. 2010 г. Раздел 4. Таблица 5. Специализированные здания для физической культуры и спорта п. 11 </t>
  </si>
  <si>
    <t>Павильон - раздевальная, (при проектировании вне комплекса) м3,</t>
  </si>
  <si>
    <t>К1= 1,08819
(Методика, 707/пр. Приложение 5, табл.5.1, п.2.3)- Усложняющий</t>
  </si>
  <si>
    <t>(A + B *Х)* Количество*К1
(69.61+0.06*30) * 1*0,4*1,08819</t>
  </si>
  <si>
    <t>Наружное освещение улиц, магистралей, проездов, площадей, парков, скверов, бульваров, жилых дворовых территорий, кладбищ, территорий школ, детских садов, яслей-садов, поликлиник и больниц. 
Длина  от 250 до 1000 п.м</t>
  </si>
  <si>
    <t>(A+В*Хзад) * Количество*Кст*К1*К2*К3
(25,79+0,063*600)*1 *0,4*1,3*1,25*1,191225</t>
  </si>
  <si>
    <t>Коммунальные инженерные сети и сооружения, 2012 г. Раздел 3. Таблица 2.  п.3
А=25.79 тыс. руб. ; В= 0,063 тыс. руб.
Х зад. = 600 м
Количество=1</t>
  </si>
  <si>
    <t xml:space="preserve">Объекты жилищно-гражданского строительства. 2010 г.  Раздел 4. Таблица N 10 </t>
  </si>
  <si>
    <t xml:space="preserve">Детская физкультурно- оздоровительная площадка площадью от 375 до 800 м2 </t>
  </si>
  <si>
    <t xml:space="preserve">Объекты жилищно-гражданского строительства. 2010 г.  Раздел 4. Таблица N 10 п. 9 </t>
  </si>
  <si>
    <t>Комплексная спортивная площадка, площадью: 1445 м2</t>
  </si>
  <si>
    <t>К3=1,4
Методика, 707/пр. Глава IX, п.152</t>
  </si>
  <si>
    <t>Железные дороги. 2014 г. Таблица 10. Отдельные здания и сооружения, п.20
Теплые туалеты от 4 до 16 человек
Осн. Показатель Х=1 (кабина)
Количество=3</t>
  </si>
  <si>
    <t>(A + B * Xзад) * Количество*Кст
(33.0 тыс.руб + 5,5тыс.руб * 1) *1,4*0,4*1,092</t>
  </si>
  <si>
    <t>(A + B * (0.4 * Xмин + 0.6 * Хзад))) * Количество
(4.6 тыс.руб + 0.166 тыс.руб * 1000 )* 1 *0,6*1,1*1,2*1,23264</t>
  </si>
  <si>
    <t>Кст=0,6</t>
  </si>
  <si>
    <t>Кольцевой дренаж. Длина до  1000 м.</t>
  </si>
  <si>
    <t xml:space="preserve">Объекты водоснабжения и канализации. 2015 г. Таблица 18. Дренаж, п.1
</t>
  </si>
  <si>
    <t>Коммунальные инженерные сети и сооружения, 2012 г. Раздел 3.  Таблица 3. Отдельные виды работ наружного освещения п.3
А=19.082 тыс. руб.
Количество= 11 объектов</t>
  </si>
  <si>
    <t>A  * Количество*Кст
19.082 тыс.руб *(1+10*0,2)*0,4*1,6*1,1566</t>
  </si>
  <si>
    <t>К3=3= (1+9*0,2)
Методика, 707/пр. Глава IX, п.152</t>
  </si>
  <si>
    <t>Навигация:
Навигационный указатель-5;
Навигационная стела для размещения карт, схем, городской информации-2;
Навигационная карта-2;
Информационный стенд-2.</t>
  </si>
  <si>
    <t xml:space="preserve">СБЦП "Объекты связи (2010)" табл.1 п.15 (СБЦП02-1-15) 
</t>
  </si>
  <si>
    <t xml:space="preserve">Проектируемая кабельная канализация связи емкостью до 6 отверстий включительно и протяженностью, м:  от 500 до 1000 </t>
  </si>
  <si>
    <t>(A + B * Xзад) * Количество*Кст
(8.0 тыс.руб +0,062*100)) * 1*0,36*0,1*1,11024</t>
  </si>
  <si>
    <t xml:space="preserve">СБЦП "Коммунальные инженерные сети и сооружения (2012)" табл.1 п.45
(СБЦП07-1-45) </t>
  </si>
  <si>
    <t>Прокладка бронированного кабеля связи в земле, протяженностью: свыше 1000 м до 6000 м</t>
  </si>
  <si>
    <t>(A + B * Xзад) * Количество*Кст
(48+0,035*1200)  * 1*0,4*1,20855</t>
  </si>
  <si>
    <t>(A + B * Xзад) * Количество*Кст
(25.98+4.623*50) тыс.руб  * 1*0,42*0,1*1,11024</t>
  </si>
  <si>
    <t>(A + B * Xзад) * Количество*Кст
(36.61+4.57*30) тыс.руб  * 1*0,5*0,1*1,11024</t>
  </si>
  <si>
    <t xml:space="preserve">Установка промышленного телевизионного оборудования в готовом здании 
</t>
  </si>
  <si>
    <t xml:space="preserve">СБЦП "Объекты связи (2010)" табл.20 п.7 (СБЦП02-20-7) </t>
  </si>
  <si>
    <t>Объекты связи. 2010 г. Раздел 4. Таблица 24. Локальные вычислительные сети, структурированные кабельные сети п.1
A=2.40 тыс.руб; 
Количество = 1 (1 АРМ)</t>
  </si>
  <si>
    <t>Система речевого оповещения (подключается к ССОИ МФЦ)</t>
  </si>
  <si>
    <t>(A + B * Хзад.) * Количество
(1.650 тыс.руб + 0.076 *30))) * 1 *0,48*1,11024</t>
  </si>
  <si>
    <t>Производственная громкоговорящая избирательная или циркулярная связь в производственных помещениях. Количество абонентов от 10 до 30</t>
  </si>
  <si>
    <t xml:space="preserve">Цена * Кол-во ед.измер * Кол-во объектов
21 тыс.руб *5,8 * 1 </t>
  </si>
  <si>
    <t>К3=5,8 = (1+24*0,2)
Методика, 707/пр. Глава IX, п.152</t>
  </si>
  <si>
    <t>7.1.5.1</t>
  </si>
  <si>
    <t>7.1.5.2</t>
  </si>
  <si>
    <t>7.1.5.3</t>
  </si>
  <si>
    <t>7.1.5.4</t>
  </si>
  <si>
    <t>5/4/20</t>
  </si>
  <si>
    <t>Наружное освещение улиц, магистралей, проездов, площадей, парков, скверов, бульваров, жилых дворовых территорий, кладбищ, территорий школ, детских садов, яслей-садов, поликлиник и больниц</t>
  </si>
  <si>
    <t xml:space="preserve"> м.п.</t>
  </si>
  <si>
    <t>Коммунальные инженерные сети и сооружения, 2012 г. Раздел 3. Таблица 2.  п.3</t>
  </si>
  <si>
    <t>(A +В*Хзад)* Количество*Кст
(25,97 тыс.руб+0,063*800)*1 *0,5*1,3*1,25*1,191225</t>
  </si>
  <si>
    <t>Территориальное планирование и планировка территорий. 2010 г. Раздел 2, Таблица 5. Парки, сады, скверы, бульвары. Санитарно-защитные зоны (архитектурно-планировочные решения, озеленение) п.2 
А=21,43 тыс. руб.; В=2,55 тыс. руб.;
Осн. показ. Х=2 (га);
Количество=1</t>
  </si>
  <si>
    <t>Навигация:
Навигационный указатель-2;
Навигационная карта-4;</t>
  </si>
  <si>
    <t>Коммунальные инженерные сети и сооружения, 2012 г. Раздел 3.  Таблица 3. Отдельные виды работ наружного освещения п.3
А=19.082 тыс. руб.
Количество= 6 объектов</t>
  </si>
  <si>
    <t>A  * Количество*Кст
19.082 тыс.руб *(1+10*0,2)*0,4*2*1,1566</t>
  </si>
  <si>
    <t xml:space="preserve">Методика определения стоимости создания произведений изобразительного искусства на территории Российской Федерации. 2008 г. (МДС 81-42.2008) Таблица 01-10. Стоимость создания объемных и объемно-пространственных композиций в материале, п.01-10-01
Кол-во ед. из. в объекте =5
Кол-во объектов =1
</t>
  </si>
  <si>
    <t>К3=1,8 = (1+4*0,2)
Методика, 707/пр. Глава IX, п.152</t>
  </si>
  <si>
    <t>К3=1,8
Методика, 707/пр. Глава IX, п.152</t>
  </si>
  <si>
    <t>(A + B * Xзад) * Количество*Кст
(33.0 тыс.руб + 5,5тыс.руб * 1) *1,8*0,4*1,092</t>
  </si>
  <si>
    <t>(A + B * Xзад) * Количество*Кст *К1*К2
(456,5+0 (0,4*50+0,6*20))* 1 *0,4*0,8*1,1613</t>
  </si>
  <si>
    <t>К1= 1,09654
(Методика, 707/пр. Приложение 5, табл.5.1, п.2.3)- Усложняющий</t>
  </si>
  <si>
    <t>(A + B * Xзад) * Количество*Кст*К1*К2
(21.43 тыс.руб + 2.55 тыс.руб * 2) *1*0,4*1,1*1,09654</t>
  </si>
  <si>
    <t>(A + B * Xзад) * Количество*Кст*К1*К2
(21.43 тыс.руб + 2.55 тыс.руб * 1) *1*0,4*1,1*1,09654</t>
  </si>
  <si>
    <t>Парки, сады, скверы, бульвары площадью,до 1 га</t>
  </si>
  <si>
    <t>(A + B * Xзад) * Количество*Кст*К1*К2
(18.920 тыс.руб +5.06 тыс.руб * 0,5) *1*0,4*1,1*1,09654</t>
  </si>
  <si>
    <t>Территориальное планирование и планировка территорий. 2010 г. Раздел 2, Таблица 5. Парки, сады, скверы, бульвары. Санитарно-защитные зоны (архитектурно-планировочные решения, озеленение) п.1
А=18,920 тыс. руб.; В=5,06 тыс. руб.;
Осн. показ. Х=0,5(га);
Количество=1</t>
  </si>
  <si>
    <t>Территориальное планирование и планировка территорий. 2010 г. Раздел 2, Таблица 5. Парки, сады, скверы, бульвары. Санитарно-защитные зоны (архитектурно-планировочные решения, озеленение) п.2 
А=21,43 тыс. руб.; В=2,55 тыс. руб.;
Осн. показ. Х=1 (га);
Количество=1</t>
  </si>
  <si>
    <t xml:space="preserve">км </t>
  </si>
  <si>
    <t xml:space="preserve">Транспортные развязки в одном уровне (площади) и пешеходные улицы, п.3 свыше 0,5 км </t>
  </si>
  <si>
    <t>СБЦ Городские инженерные сооружения и коммуникации изд. 2008 г. Глава 1. Городские улицы и дороги Таблица 1 п. 4</t>
  </si>
  <si>
    <t>(A +В*Хзад.)* Количество*Кст
(40 тыс.руб+240 *1) * 1*0,4*1,04 *1,22752</t>
  </si>
  <si>
    <t>К1= 1,14918
(Методика, 707/пр. Приложение 5, табл.5.1, п.2.3)- Усложняющий</t>
  </si>
  <si>
    <t>A * Количество*Кст
49.37 тыс.руб * 1*0,4* 1,14918</t>
  </si>
  <si>
    <t>Коммунальные инженерные сети и сооружения, 2012 г. Раздел 3. Таблица 2. Наружное освещение улиц, магистралей, проездов, площадей, парков, скверов, бульваров, жилых дворовых территорий, кладбищ, территорий школ, детских садов, яслей-садов, поликлиник и больниц п.3
А=21.32 тыс. руб. 
Количество =450 м)</t>
  </si>
  <si>
    <t>(A +В*Хзад.)Количество*Кст*К1*К2*К3
(25.79 тыс.руб+0.063*450)*0,4*1,3*1,25*1,191225</t>
  </si>
  <si>
    <t>Наружное освещение. Длина от  250 до 1000 п.м</t>
  </si>
  <si>
    <t>Коммунальные инженерные сети и сооружения, 2012 г. Раздел 3. Таблица 2. Наружное освещение улиц, магистралей, проездов, площадей, парков, скверов, бульваров, жилых дворовых территорий, кладбищ, территорий школ, детских садов, яслей-садов, поликлиник и больниц п.4
А=21.32 тыс. руб. 
Количество =450 м)</t>
  </si>
  <si>
    <t>Наружное освещение. Длина от 1000 до 3000 п.м</t>
  </si>
  <si>
    <t>(A +В*Хзад.)Количество*Кст*К1*К2*К3
(75.97 тыс.руб+0.013*1800)*0,4*1,3*1,25*1,191225</t>
  </si>
  <si>
    <t>Наружное освещение. Длина от  100 до 250 п.м</t>
  </si>
  <si>
    <t>(A +В*Хзад.)Количество*Кст*К1*К2*К3
(7.72тыс.руб+0.136*250)*0,4*1,3*1,25*1,191225</t>
  </si>
  <si>
    <t xml:space="preserve">Коммунальные инженерные сети и сооружения, 2012 г. Раздел 3. Таблица 2. Наружное освещение улиц, магистралей, проездов, площадей, парков, скверов, бульваров, жилых дворовых территорий, кладбищ, территорий школ, детских садов, яслей-садов, поликлиник и больниц п.3
</t>
  </si>
  <si>
    <r>
      <rPr>
        <b/>
        <sz val="10"/>
        <color theme="1"/>
        <rFont val="Arial"/>
        <family val="2"/>
        <charset val="204"/>
      </rPr>
      <t xml:space="preserve"> Применительно</t>
    </r>
    <r>
      <rPr>
        <sz val="10"/>
        <color theme="1"/>
        <rFont val="Arial"/>
        <family val="2"/>
        <charset val="204"/>
      </rPr>
      <t xml:space="preserve">. Объекты нефтеперерабатывающей и нефтехимической промышленности. 2015 г. Таблица 8. Объекты подсобно-производственного, вспомогательного и общезаводского назначения, внутриплощадочные инженерные сети, схема планировочной организации земельного участка, п. 1.24 Обогреваемые полы площадью, м2 </t>
    </r>
  </si>
  <si>
    <t xml:space="preserve"> Применительно. 
 Железные дороги. 2014 г. Таблица 31. Кодирование путей, автоматическая переездная сигнализация, п.2
Автоматическая переездная сигнализация через 2 пути с устройством заграждения (УЗП)
А=33,03 тыс. руб.
Количество=2 (переезд)</t>
  </si>
  <si>
    <t>(A + B * (0.4 * Xмин + 0.6 * (Xмин / 2))) * Количество*К1
(1.02 тыс.руб + 0.015 тыс.руб * (0.4 * 50 + 0.6 * (50 / 2))) * 2*0,4*0,1*1,05192</t>
  </si>
  <si>
    <t>Объекты связи. 2010 г. Раздел 4. Таблица 9. Отдельные установки и сооружения проводной связи п.1
А=1.02.тыс. руб; В=0.015 руб.;
Хмин=50
Количество=2</t>
  </si>
  <si>
    <t>Ответсвенный исполнитель Ао "КАВКАЗ.РФ"</t>
  </si>
  <si>
    <t>1.4.3</t>
  </si>
  <si>
    <t>1.4.4</t>
  </si>
  <si>
    <t>4.6.2</t>
  </si>
  <si>
    <t>4.6.4</t>
  </si>
  <si>
    <t>8/4/20</t>
  </si>
  <si>
    <t xml:space="preserve">СБЦП "Коммунальные инженерные сети и сооружения (2012)" табл.17 п.2
(СБЦП07-1-2) </t>
  </si>
  <si>
    <t>Квартальные, межквартальные, уличные кабельные электросети свыше 500 до 1000 м</t>
  </si>
  <si>
    <t>Кабель электропитания+ кабель акустический</t>
  </si>
  <si>
    <t xml:space="preserve">СБЦП "Коммунальные инженерные сети и сооружения (2012)" табл.17 п.4
(СБЦП07-1-2) </t>
  </si>
  <si>
    <t>(A + B * Xзад) * Количество*Кст
(12,265 тыс.руб+0.037*2200)  * 1*0,4*1,20855</t>
  </si>
  <si>
    <t>Квартальные, межквартальные, уличные кабельные электросети свыше 1000 до 5000 м</t>
  </si>
  <si>
    <t>(A + B * Xзад) * Количество*Кст
(8.265 тыс.руб+0.041*800)  * 1*0,4*1,20855</t>
  </si>
  <si>
    <t xml:space="preserve">СВОДНАЯ  СМЕТА </t>
  </si>
  <si>
    <t>на проектные (изыскательские) работы</t>
  </si>
  <si>
    <t>Наименование строительства
и стадии проектирования</t>
  </si>
  <si>
    <t>Наименование проектной организации - генерального проектировщика</t>
  </si>
  <si>
    <t>Наименование организации-заказчика</t>
  </si>
  <si>
    <t>АО "Курорты Северного Кавказа"</t>
  </si>
  <si>
    <t>Руб.</t>
  </si>
  <si>
    <t>Перечень выполняемых работ</t>
  </si>
  <si>
    <t>Характеристика проектируемого объекта п. ЗП</t>
  </si>
  <si>
    <t>Ссылка на №№ смет по формам 2п и 3п</t>
  </si>
  <si>
    <t xml:space="preserve">          Стоимость работ, руб без НДС</t>
  </si>
  <si>
    <t>Изыскательские работы</t>
  </si>
  <si>
    <t>Проектные работы</t>
  </si>
  <si>
    <t>1. ИЗЫСКАТЕЛЬСКИЕ РАБОТЫ</t>
  </si>
  <si>
    <t>Инженерно-геодезические изыскания</t>
  </si>
  <si>
    <t>комплекс</t>
  </si>
  <si>
    <t>Смета № 1-из</t>
  </si>
  <si>
    <t>Инженерно-геологические изыскания</t>
  </si>
  <si>
    <t>Смета № 2-из</t>
  </si>
  <si>
    <t>1.3</t>
  </si>
  <si>
    <t>Геофизические исследования</t>
  </si>
  <si>
    <t>Смета № 3-из</t>
  </si>
  <si>
    <t>1.4</t>
  </si>
  <si>
    <t>Инженерно-гидрометеорологические изыскания</t>
  </si>
  <si>
    <t>Смета № 4-из</t>
  </si>
  <si>
    <t>1.5</t>
  </si>
  <si>
    <t>Инженерно-экологические изыскания</t>
  </si>
  <si>
    <t>Смета № 6-из</t>
  </si>
  <si>
    <t>ИТОГО по разделу 1:</t>
  </si>
  <si>
    <t>2. ПРОЕКТНЫЕ РАБОТЫ СТАДИИ ПД</t>
  </si>
  <si>
    <t>Смета № 1-пд</t>
  </si>
  <si>
    <t>ИТОГО по разделу 2:</t>
  </si>
  <si>
    <t>3. Экспертиза проектной документации  и результатов инженерных изысканий, проверка достоверности определения сметной стоимости строительства объекта.</t>
  </si>
  <si>
    <t xml:space="preserve">Экспертиза проектной документации  и результатов инженерных изысканий. </t>
  </si>
  <si>
    <t>Расчет затрат на проведение экспертизы проектных решений и материалов инженерных изысканий</t>
  </si>
  <si>
    <t>ИТОГО по разделу 3:</t>
  </si>
  <si>
    <t>ВСЕГО:</t>
  </si>
  <si>
    <t xml:space="preserve">РАСЧЕТ СТОИМОСТИ РАБОТ  С УЧЕТОМ ИНДЕКСА ДЕФЛЯТОРА </t>
  </si>
  <si>
    <t xml:space="preserve">Продолжительность работ в соответствие с Графиком - </t>
  </si>
  <si>
    <t xml:space="preserve">Начало работ - </t>
  </si>
  <si>
    <t xml:space="preserve">Окончание работ - </t>
  </si>
  <si>
    <t xml:space="preserve">РАСЧЕТ ИНДЕКСА-ДЕФЛЯТОРА ДЛЯ ИЗЫСКАНИЙ </t>
  </si>
  <si>
    <t>2019  год</t>
  </si>
  <si>
    <t xml:space="preserve">ИД1- индекс -дефлятор Минэкономразвития РФ на капвложения </t>
  </si>
  <si>
    <t>Т1 - Продолжительность периода  от момента формирования текущих цен  до начала выполнения работ, мес</t>
  </si>
  <si>
    <t>Рост цен                                  Р1= (ИД1-100)/100*Т1/12</t>
  </si>
  <si>
    <t>Индекс роста цен                                              ИРт1=(1+Р1)</t>
  </si>
  <si>
    <t xml:space="preserve">ИД2- индекс -дефлятор Минэкономразвития РФ на капвложения </t>
  </si>
  <si>
    <t>Т2 - Продолжительность периода  от начала выполнения работ до конца года, мес</t>
  </si>
  <si>
    <t>Рост цен                               Р2= (ИД2-100)/100*Т2/12</t>
  </si>
  <si>
    <t>Индекс роста цен                                     ИРт2=(1+Р2)</t>
  </si>
  <si>
    <t xml:space="preserve">ИД3- индекс -дефлятор Минэкономразвития РФ на капвложения </t>
  </si>
  <si>
    <t>Т3 - Продолжительность периода  от начала года до окончания работ, мес</t>
  </si>
  <si>
    <t>Рост цен                               Р3= (ИД3-100)/100*Т3/12</t>
  </si>
  <si>
    <t>Индекс роста цен                                     ИРт3=(1+Р3)</t>
  </si>
  <si>
    <t>Рост цен за период выполнения работ</t>
  </si>
  <si>
    <t>Р4= (Р2+Р3)</t>
  </si>
  <si>
    <t>ИРт4=(1+0,5*Р4)</t>
  </si>
  <si>
    <t>Итого индекс роста цен</t>
  </si>
  <si>
    <t>ИРТ1*ИРТ4</t>
  </si>
  <si>
    <t>РАСЧЕТ СТОИМОСТИ РАБОТ</t>
  </si>
  <si>
    <t>Стоимость работ</t>
  </si>
  <si>
    <t>Дефлятор</t>
  </si>
  <si>
    <t>Стоимость работ  с учетом дефлятора</t>
  </si>
  <si>
    <t>С учетом авансирования- 30%</t>
  </si>
  <si>
    <t xml:space="preserve"> Н(м)ЦД(1-1)А=СС1+(Н(м)ЦД1-1-СС1)*(1-А/100)                     </t>
  </si>
  <si>
    <t>Инфляционная составляющая</t>
  </si>
  <si>
    <t>(включая период прохождения экспертизы ПД)</t>
  </si>
  <si>
    <t>РАСЧЕТ ИНДЕКСА-ДЕФЛЯТОРА ДЛЯ ПРОЕКТНОЙ ДОКУМЕНТАЦИИ</t>
  </si>
  <si>
    <t>«Благоустройство туристической деревни поляна Азау и прилегающей территории»</t>
  </si>
  <si>
    <t>Смета № 2-пд</t>
  </si>
  <si>
    <t>Смета № 3-пд</t>
  </si>
  <si>
    <t>Смета № 4-пд</t>
  </si>
  <si>
    <t>Смета № 5-пд</t>
  </si>
  <si>
    <t>Смета № 6.1-пд</t>
  </si>
  <si>
    <t>Смета № 6.2-пд</t>
  </si>
  <si>
    <t>Смета № 6.3-пд</t>
  </si>
  <si>
    <t>Смета № 6.4-пд</t>
  </si>
  <si>
    <t>Смета № 7.1-пд</t>
  </si>
  <si>
    <t>Смета № 7.2-пд</t>
  </si>
  <si>
    <t>2.4</t>
  </si>
  <si>
    <t>2.5</t>
  </si>
  <si>
    <t>2.6</t>
  </si>
  <si>
    <t>2.7</t>
  </si>
  <si>
    <t>2.8</t>
  </si>
  <si>
    <t>2.9</t>
  </si>
  <si>
    <t>2.10</t>
  </si>
  <si>
    <t>2.11</t>
  </si>
  <si>
    <t>Наименование предприятия, здания, сооружения</t>
  </si>
  <si>
    <t>Стадия проектирования</t>
  </si>
  <si>
    <t>Вид проектных или
изыскательских работ</t>
  </si>
  <si>
    <t>Экспертиза проектно-изыскательских работ</t>
  </si>
  <si>
    <t>Наименование проектной (изыскательской) организации</t>
  </si>
  <si>
    <t>Наименование организации
заказчика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</si>
  <si>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</si>
  <si>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>Единица измерения</t>
  </si>
  <si>
    <t>Расчет стоимости: (a+bx)*Kj или (объём строительно-монтажных работ)*проц./ 100 или количество * цена</t>
  </si>
  <si>
    <t>Стоимость работ, Руб.</t>
  </si>
  <si>
    <t>рублей</t>
  </si>
  <si>
    <t>Стоимость инж.изыск. в уровне цен 01.01.2001 г. без НДС</t>
  </si>
  <si>
    <t>Стоимость проектных работ в уровне цен 01.01.2001 г. без НДС</t>
  </si>
  <si>
    <t xml:space="preserve">  </t>
  </si>
  <si>
    <t>Итого: ИЗ+ПД</t>
  </si>
  <si>
    <t>Постановление Правительства РФ от 05.03.2007 № 145</t>
  </si>
  <si>
    <t>% от суммы Спд и Сиж</t>
  </si>
  <si>
    <t>Коэф.1 кв.2023</t>
  </si>
  <si>
    <t>Стоимость проектных работ в ценах 1 кв.2023</t>
  </si>
  <si>
    <t>Стоимость инж.изыск.в ценах 1 кв.2023</t>
  </si>
  <si>
    <t>Индекс пересчета в текущие цены 2023 г</t>
  </si>
  <si>
    <t>2024  год</t>
  </si>
  <si>
    <t>2023 год</t>
  </si>
  <si>
    <t>2023  год</t>
  </si>
  <si>
    <t>2025  год</t>
  </si>
  <si>
    <t>месяцев</t>
  </si>
  <si>
    <t>   Приложение</t>
  </si>
  <si>
    <t>к Положению об организации</t>
  </si>
  <si>
    <t>и проведении государственной экспертизы</t>
  </si>
  <si>
    <t>проектной документации и результатов</t>
  </si>
  <si>
    <t>инженерных изысканий</t>
  </si>
  <si>
    <t>Таблица процентного соотношения, используемого при расчете размера платы за проведение государственной экспертизы</t>
  </si>
  <si>
    <t>Сумма Спд и Сиж (млн.рублей,</t>
  </si>
  <si>
    <t>в ценах 2001 года)</t>
  </si>
  <si>
    <t>Процент от суммы Спд и Сиж</t>
  </si>
  <si>
    <t>(П)</t>
  </si>
  <si>
    <t>0-0,15</t>
  </si>
  <si>
    <t>более 0,15</t>
  </si>
  <si>
    <t>более 0,25</t>
  </si>
  <si>
    <t>более 0,5</t>
  </si>
  <si>
    <t>более 0,75</t>
  </si>
  <si>
    <t>более 1</t>
  </si>
  <si>
    <t>более 1,5</t>
  </si>
  <si>
    <t>более 3</t>
  </si>
  <si>
    <t>более 4</t>
  </si>
  <si>
    <t>более 6</t>
  </si>
  <si>
    <t>более 8</t>
  </si>
  <si>
    <t>более 12</t>
  </si>
  <si>
    <t>более 18</t>
  </si>
  <si>
    <t>более 24</t>
  </si>
  <si>
    <t>более 30</t>
  </si>
  <si>
    <t>более 36</t>
  </si>
  <si>
    <t>более 45</t>
  </si>
  <si>
    <t>более 52,5</t>
  </si>
  <si>
    <t>более 60</t>
  </si>
  <si>
    <t>более 70</t>
  </si>
  <si>
    <t>более 80</t>
  </si>
  <si>
    <t>более 100</t>
  </si>
  <si>
    <t>более 120</t>
  </si>
  <si>
    <t>более 140</t>
  </si>
  <si>
    <t>более 160</t>
  </si>
  <si>
    <t>более 180</t>
  </si>
  <si>
    <t>более 200</t>
  </si>
  <si>
    <t>более 220</t>
  </si>
  <si>
    <t>№</t>
  </si>
  <si>
    <t>Наименование</t>
  </si>
  <si>
    <t>Единица измерения основного показателя</t>
  </si>
  <si>
    <t>Основной показатель</t>
  </si>
  <si>
    <t>АНАЛОГ</t>
  </si>
  <si>
    <t>Ориентировочная стоимость объекта в ценовом периоде аналога, тыс. руб.без учета НДС</t>
  </si>
  <si>
    <t>Итого, тыс. руб. без учета НДС</t>
  </si>
  <si>
    <t>Итого тыс. руб. с учетом НДС</t>
  </si>
  <si>
    <t>Аналог</t>
  </si>
  <si>
    <t>Ценовой период аналога</t>
  </si>
  <si>
    <t>Стоимость по ССР, тыс.руб. без НДС</t>
  </si>
  <si>
    <t>Стоимость единицы показателя, тыс. руб. без НДС</t>
  </si>
  <si>
    <t>Расчет по УНЦС</t>
  </si>
  <si>
    <t>1. Письмо Министерства экономического развития РФ от 20 июня 2016 г. N Д28и-1655 "О разъяснениях, связанных с применением постановления Правительства Российской Федерации от 14 марта 2016 г. N 191"</t>
  </si>
  <si>
    <t>2. Письмо Минэкономразвития России (Министерства экономического развития РФ) от 03 октября 2018 г. №28438-АТ/Д03и</t>
  </si>
  <si>
    <t>Предполагаемая (предельная) стоимость строительства объекта: Всесезонный туристско-рекреационный комплекс «Эльбрус», Кабардино-Балкарская Республика. 
 «Благоустройство туристической деревни поляна Азау и прилегающей территории»</t>
  </si>
  <si>
    <t xml:space="preserve">ИТОГО: </t>
  </si>
  <si>
    <t>Подпорные стены</t>
  </si>
  <si>
    <t>Подпорные стены (габионновой конструкции)</t>
  </si>
  <si>
    <t>Парки, сады, скверы, бульвары площадью, до 1га</t>
  </si>
  <si>
    <t>(A + B * Xзад) * Количество*Кст*К1*К2
(18.92 тыс.руб + 5.06 тыс.руб * 0,8) *1*0,4*1,1*1,09654</t>
  </si>
  <si>
    <t>Территориальное планирование и планировка территорий. 2010 г. Раздел 2, Таблица 5. Парки, сады, скверы, бульвары. Санитарно-защитные зоны (архитектурно-планировочные решения, озеленение) п.1 
А=19,92 тыс. руб.; В=5,06 тыс. руб.;
Осн. показ. Х=0,8 (га);
Количество=1</t>
  </si>
  <si>
    <t>6.1.2</t>
  </si>
  <si>
    <t>6.1.1</t>
  </si>
  <si>
    <t>6.1.3</t>
  </si>
  <si>
    <t>6.1.4</t>
  </si>
  <si>
    <t>6.1.5</t>
  </si>
  <si>
    <t>6.1.6</t>
  </si>
  <si>
    <t>6.1.7</t>
  </si>
  <si>
    <t>6.1.8</t>
  </si>
  <si>
    <t>6.1.9</t>
  </si>
  <si>
    <t>6.1.11</t>
  </si>
  <si>
    <t>6.1.12</t>
  </si>
  <si>
    <t>6.1.13</t>
  </si>
  <si>
    <t>6.1.14</t>
  </si>
  <si>
    <t xml:space="preserve"> Принято по длине пешеходной зоны</t>
  </si>
  <si>
    <t>ИТОГО по п. 1-12</t>
  </si>
  <si>
    <t>13</t>
  </si>
  <si>
    <t>ИТОГО по п. 1-13</t>
  </si>
  <si>
    <t>Итого по п. 13</t>
  </si>
  <si>
    <t>14</t>
  </si>
  <si>
    <t>Итого по п. 14</t>
  </si>
  <si>
    <t>15</t>
  </si>
  <si>
    <t>Итого по п. 15</t>
  </si>
  <si>
    <t>Расстояние между ревизионными колодцами должно соответствовать нормам через 35 метров</t>
  </si>
  <si>
    <t>ИТОГО по п. 1-8</t>
  </si>
  <si>
    <t>Каток и пункт проката</t>
  </si>
  <si>
    <t>1.6</t>
  </si>
  <si>
    <t>1.7</t>
  </si>
  <si>
    <t>1.8</t>
  </si>
  <si>
    <t>1.9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</si>
  <si>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</si>
  <si>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</si>
  <si>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</si>
  <si>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</si>
  <si>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</si>
  <si>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</si>
  <si>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</si>
  <si>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</si>
  <si>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</si>
  <si>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2.12</t>
  </si>
  <si>
    <t>2.13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</si>
  <si>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</si>
  <si>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</si>
  <si>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</si>
  <si>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</si>
  <si>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</si>
  <si>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</si>
  <si>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</si>
  <si>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</si>
  <si>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</si>
  <si>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</si>
  <si>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</si>
  <si>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3.2</t>
  </si>
  <si>
    <t>3.3</t>
  </si>
  <si>
    <t>3.4</t>
  </si>
  <si>
    <t>3.5</t>
  </si>
  <si>
    <t>3.6</t>
  </si>
  <si>
    <t>3.7</t>
  </si>
  <si>
    <t>3.8</t>
  </si>
  <si>
    <t>3.9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</si>
  <si>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</si>
  <si>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</si>
  <si>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</si>
  <si>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</si>
  <si>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</si>
  <si>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</si>
  <si>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</si>
  <si>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</si>
  <si>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</si>
  <si>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</si>
  <si>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4.2</t>
  </si>
  <si>
    <t>4.3</t>
  </si>
  <si>
    <t>4.4</t>
  </si>
  <si>
    <t>4.5</t>
  </si>
  <si>
    <t>4.6</t>
  </si>
  <si>
    <t>4.7</t>
  </si>
  <si>
    <t>4.8</t>
  </si>
  <si>
    <t>4.9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</si>
  <si>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</si>
  <si>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</si>
  <si>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</si>
  <si>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</si>
  <si>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</si>
  <si>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</si>
  <si>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</si>
  <si>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</si>
  <si>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</si>
  <si>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</si>
  <si>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</si>
  <si>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</si>
  <si>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</si>
  <si>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</si>
  <si>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</si>
  <si>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</si>
  <si>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</si>
  <si>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</si>
  <si>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</si>
  <si>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</si>
  <si>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</si>
  <si>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</si>
  <si>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</si>
  <si>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</si>
  <si>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</si>
  <si>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</si>
  <si>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</si>
  <si>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</si>
  <si>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</si>
  <si>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</si>
  <si>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</si>
  <si>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</si>
  <si>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</si>
  <si>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6.2.11</t>
  </si>
  <si>
    <t>6.3.1</t>
  </si>
  <si>
    <t>6.3.2</t>
  </si>
  <si>
    <t>6.3.3</t>
  </si>
  <si>
    <t>6.3.4</t>
  </si>
  <si>
    <t>6.3.5</t>
  </si>
  <si>
    <t>6.3.6</t>
  </si>
  <si>
    <t>6.3.8</t>
  </si>
  <si>
    <t>6.3.9</t>
  </si>
  <si>
    <t>6.3.10</t>
  </si>
  <si>
    <t>6.4.1</t>
  </si>
  <si>
    <t>6.4.2</t>
  </si>
  <si>
    <t>6.4.3</t>
  </si>
  <si>
    <t>6.4.4</t>
  </si>
  <si>
    <t>6.4.5</t>
  </si>
  <si>
    <t>6.4.6</t>
  </si>
  <si>
    <t>6.4.7</t>
  </si>
  <si>
    <t>6.4.8</t>
  </si>
  <si>
    <t>6.4.9</t>
  </si>
  <si>
    <t>6.4.10</t>
  </si>
  <si>
    <t>6.4.11</t>
  </si>
  <si>
    <t>6.4.12</t>
  </si>
  <si>
    <t>6.4.17</t>
  </si>
  <si>
    <t>6.4.18</t>
  </si>
  <si>
    <t>6.4.19</t>
  </si>
  <si>
    <t>6.4.20</t>
  </si>
  <si>
    <t>6.4.21</t>
  </si>
  <si>
    <t>6.4.22</t>
  </si>
  <si>
    <t>6.4.23</t>
  </si>
  <si>
    <t>6.4.24</t>
  </si>
  <si>
    <t>6.4.25</t>
  </si>
  <si>
    <t>6.4.26</t>
  </si>
  <si>
    <t>6.4.27</t>
  </si>
  <si>
    <t>6.4.28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</si>
  <si>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</si>
  <si>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</si>
  <si>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</si>
  <si>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</si>
  <si>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</si>
  <si>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</si>
  <si>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</si>
  <si>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</si>
  <si>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</si>
  <si>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</si>
  <si>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</si>
  <si>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</si>
  <si>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7.2.</t>
  </si>
  <si>
    <t>7.2.1</t>
  </si>
  <si>
    <t>6.4</t>
  </si>
  <si>
    <t>6.3</t>
  </si>
  <si>
    <t>6.2</t>
  </si>
  <si>
    <t>Навигация :
Система автоматического туристско-информационного центра (ТИЦ)</t>
  </si>
  <si>
    <t>СПД+КСБ+СПД(СБ)</t>
  </si>
  <si>
    <t>КСБ+СПД(СБ)</t>
  </si>
  <si>
    <t>КСБ+СЭС</t>
  </si>
  <si>
    <t>Прокладка кабеля связи +электропитания+акустический</t>
  </si>
  <si>
    <t>16</t>
  </si>
  <si>
    <t>Итого по п. 16</t>
  </si>
  <si>
    <t>ИТОГО по п. 1-16</t>
  </si>
  <si>
    <t>КСБ+СПД (СБ)</t>
  </si>
  <si>
    <t>3. Письмо Минэкономразвития России от 28.09.2022 N 36804-ПК/Д03и "О применении показателей прогноза социально-экономического развития Российской Федерации в целях ценообразования на продукцию, поставляемую по государственному оборонному заказу"</t>
  </si>
  <si>
    <t>Обоснование стоимости</t>
  </si>
  <si>
    <t>1 км маршрута</t>
  </si>
  <si>
    <t>Фотоработы</t>
  </si>
  <si>
    <t>1 снимок</t>
  </si>
  <si>
    <t>1 таблица</t>
  </si>
  <si>
    <t>1 схема</t>
  </si>
  <si>
    <t>1 годостанция</t>
  </si>
  <si>
    <t>1 расчет</t>
  </si>
  <si>
    <t>1 записка</t>
  </si>
  <si>
    <t>1 программа</t>
  </si>
  <si>
    <t>1 отчет</t>
  </si>
  <si>
    <t>Оценка селевой и лавинной опасности</t>
  </si>
  <si>
    <t>№ пп</t>
  </si>
  <si>
    <t>Ссылка на нормативы</t>
  </si>
  <si>
    <t>Объем работ</t>
  </si>
  <si>
    <t xml:space="preserve">Цена, руб. </t>
  </si>
  <si>
    <t>Коэф.</t>
  </si>
  <si>
    <t>Стоим., руб.</t>
  </si>
  <si>
    <t>Применен "СБЦ на инженерно-гидрографические изыскания для строительства, М-2000"Цены приведены к базовому уровню на 01.01.1991 г.</t>
  </si>
  <si>
    <t>Ι. ПОЛЕВЫЕ РАБОТЫ</t>
  </si>
  <si>
    <t>Селевые рекогносцировочные работы</t>
  </si>
  <si>
    <t xml:space="preserve">табл. 43 § 1 </t>
  </si>
  <si>
    <t>Лавинные рекогносцировочные работы</t>
  </si>
  <si>
    <t>табл. 43 § 2</t>
  </si>
  <si>
    <r>
      <t xml:space="preserve">табл. 48 </t>
    </r>
    <r>
      <rPr>
        <sz val="10"/>
        <rFont val="Arial"/>
        <family val="2"/>
        <charset val="204"/>
      </rPr>
      <t>§</t>
    </r>
    <r>
      <rPr>
        <sz val="10"/>
        <rFont val="Times New Roman"/>
        <family val="1"/>
        <charset val="204"/>
      </rPr>
      <t>15</t>
    </r>
  </si>
  <si>
    <t>II. ПРОЧИЕ РАБОТЫ</t>
  </si>
  <si>
    <t xml:space="preserve">Организация и ликвидация работ </t>
  </si>
  <si>
    <t xml:space="preserve"> п.13 "Общих указаний" Примечание 1.(6%)</t>
  </si>
  <si>
    <t>Итого  по прочим работам:</t>
  </si>
  <si>
    <t xml:space="preserve"> ΙΙΙ. КАМЕРАЛЬНЫЕ РАБОТЫ</t>
  </si>
  <si>
    <t>табл. 43 §1</t>
  </si>
  <si>
    <t>1 км  маршрута</t>
  </si>
  <si>
    <t>табл.63 §1</t>
  </si>
  <si>
    <t>Составление записки «Характеристика лавинной опасности территории"</t>
  </si>
  <si>
    <t>Составление карты лавинной опасности территории района изысканий</t>
  </si>
  <si>
    <t>табл.52 §1</t>
  </si>
  <si>
    <t>1 карта</t>
  </si>
  <si>
    <t>табл.53 §2</t>
  </si>
  <si>
    <t>табл. 62 §4, прим.6</t>
  </si>
  <si>
    <t>отчет</t>
  </si>
  <si>
    <t>Итого камеральные работы</t>
  </si>
  <si>
    <t>Итого  по смете в базовых ценах</t>
  </si>
  <si>
    <t>Смета № 5-из</t>
  </si>
  <si>
    <t>ИТОГО по п. 1-9</t>
  </si>
  <si>
    <t xml:space="preserve">ВСЕГО: </t>
  </si>
  <si>
    <t xml:space="preserve">Расчет цены договора         </t>
  </si>
  <si>
    <t>на выполнение проектно-изыскательских работ по объекту</t>
  </si>
  <si>
    <t>Продолжительность работ в соответствие с Графиком</t>
  </si>
  <si>
    <t>№ п.п.</t>
  </si>
  <si>
    <t>Перечень видов работ</t>
  </si>
  <si>
    <t xml:space="preserve"> Стоимость проектирования  объекта в прогнозных ценах периода проектирования (руб.)</t>
  </si>
  <si>
    <t>без НДС</t>
  </si>
  <si>
    <t>НДС-20 %</t>
  </si>
  <si>
    <t>с учетом НДС</t>
  </si>
  <si>
    <t>Инженерные изыскания</t>
  </si>
  <si>
    <t>Разработка проектной документации стадии " Проектная документация"</t>
  </si>
  <si>
    <t>Итого:</t>
  </si>
  <si>
    <t>В том числе инфляционная составляющая за период выполнения работ</t>
  </si>
  <si>
    <t xml:space="preserve"> </t>
  </si>
  <si>
    <t>В том числе непредвиденные расходы</t>
  </si>
  <si>
    <t xml:space="preserve">Расчет начальной (максимальной) цены контракта при осуществлении закупок работ по инженерным изысканиям и по подготовке проектной документации </t>
  </si>
  <si>
    <t>объект:</t>
  </si>
  <si>
    <t>по адресу:</t>
  </si>
  <si>
    <t>Кабардино-Балкарская Республика, всесезонный туристско-рекреационный комплекс «Эльбрус»</t>
  </si>
  <si>
    <t>Основания для расчета:</t>
  </si>
  <si>
    <t>1. Задание на проектирование.</t>
  </si>
  <si>
    <t>2. Справочники базовых цен на инженерные изыскания и справочники базовых цен на проектные работы.</t>
  </si>
  <si>
    <t>Наименование работ и затрат</t>
  </si>
  <si>
    <t xml:space="preserve">Индекс фактической инфляции* </t>
  </si>
  <si>
    <t>Индекс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</si>
  <si>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</si>
  <si>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Выполнение инженерных изысканий</t>
  </si>
  <si>
    <t>Разработка проектной документации</t>
  </si>
  <si>
    <t xml:space="preserve">Затраты на оплату услуг Госэкспертизы </t>
  </si>
  <si>
    <t>Стоимость без учета НДС</t>
  </si>
  <si>
    <t>НДС-20%</t>
  </si>
  <si>
    <t>Стоимость с учетом НДС</t>
  </si>
  <si>
    <t>*Индекс фактической инфляции по данным Росстата от цен  сметной документации до даты формирования НМЦК = 1</t>
  </si>
  <si>
    <t>Примечание:</t>
  </si>
  <si>
    <t>Расчет индекса прогнозной инфляции для инженерных изысканий и проектной документации</t>
  </si>
  <si>
    <t>Начало работ</t>
  </si>
  <si>
    <t>Окончание работ</t>
  </si>
  <si>
    <t>3. Продолжительность проектирования:</t>
  </si>
  <si>
    <t>Стоимость работ в ценах на дату формирования начальной (максимальной) цены контракта</t>
  </si>
  <si>
    <t>Начальная (максимальная) цена контракта с учетом индекса прогнозной инфляции на период выполнения работ и с учетом  авансирования в размере</t>
  </si>
  <si>
    <t>Затраты на экологическую экспертизу</t>
  </si>
  <si>
    <t>Резерв средств на непредвиденные работы и затраты для инженерных изысканий</t>
  </si>
  <si>
    <t>Дата формирования НМЦК*</t>
  </si>
  <si>
    <t>Продолжительность выполнения работ, мес.</t>
  </si>
  <si>
    <t>окончание первого года</t>
  </si>
  <si>
    <t>начало второго года</t>
  </si>
  <si>
    <t>Доля сметной стоимости, подлежащая выполнению подрядчиком в 2023 году</t>
  </si>
  <si>
    <t>^(1/12)</t>
  </si>
  <si>
    <t>ежемесячный прогнозный индекс на 2023 год</t>
  </si>
  <si>
    <t>К на 2023 =</t>
  </si>
  <si>
    <t>Индекс прогнозной инфляции</t>
  </si>
  <si>
    <t>Доля сметной стоимости, подлежащая выполнению подрядчиком в 2024 году</t>
  </si>
  <si>
    <t>ежемесячный прогнозный индекс на 2024 год</t>
  </si>
  <si>
    <t>К на 2024 =</t>
  </si>
  <si>
    <t>Индекс Минэкономразвития РФ на 2024 г. (Письмо Минэкономразвития России от 28.09.2022 N 36804-ПК/Д03и)</t>
  </si>
  <si>
    <t>Индекс Минэкономразвития РФ на 2023 г. (Письмо Минэкономразвития России от 28.09.2022 N 36804-ПК/Д03и)</t>
  </si>
  <si>
    <t xml:space="preserve">* Применены индексы на I квартал 2023 года по письму Минстроя РФ от 30.01.2023 N4125-ИФ/09 </t>
  </si>
  <si>
    <t>Стоимость работ в ценах  сметной документации
I квартала 2023 г.</t>
  </si>
  <si>
    <t>Сроки выполнения работ</t>
  </si>
  <si>
    <t>Дата начала</t>
  </si>
  <si>
    <t>Дата окончания</t>
  </si>
  <si>
    <t>Длительность (кал. дней)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</si>
  <si>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</si>
  <si>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</si>
  <si>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</si>
  <si>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</si>
  <si>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</si>
  <si>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</si>
  <si>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</si>
  <si>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</si>
  <si>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</si>
  <si>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</si>
  <si>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</si>
  <si>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</si>
  <si>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Х</t>
  </si>
  <si>
    <t>Экологическая экспертиза, в том числе общественные слушания</t>
  </si>
  <si>
    <t>Государственная экспертиза</t>
  </si>
  <si>
    <t>ПОЯСНИТЕЛЬНАЯ ЗАПИСКА</t>
  </si>
  <si>
    <t>К РАСЧЕТУ НАЧАЛЬНОЙ МАКСИМАЛЬНОЙ ЦЕНЫ ДОГОВОРА</t>
  </si>
  <si>
    <t>Начальная максимальная цена договора (далее - НМЦД) определена в соответствии с  Приказом Минстроя России от 23 декабря 2019 г. № 841/пр «Об утверждении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в сфере градостроительной деятельности (за исключением территориального планирования); требованием Положения о закупке, утвержденного  Приказом акционерного общества "КАВКАЗ.РФ" от 02.03.2022  № Пр-22-048.</t>
  </si>
  <si>
    <t>Метод расчета - проектно-сметный</t>
  </si>
  <si>
    <t>Описание метода расчета стоимости изыскательских работ</t>
  </si>
  <si>
    <t xml:space="preserve">Для определения цены изыскательских работ принят  проектно-сметный метод с  использованием в расчетах нормативных документов, включенных в Федеральный реестр сметных нормативов, подлежащих применению при определении сметной стоимости объектов капитального строительства,  строительство которых финансируется с привлечением средств федерального бюджета:  справочников базовых цен  на инженерные изыскания в строительстве и Методического пособия по определению стоимости инженерных изысканий для строительства. </t>
  </si>
  <si>
    <t xml:space="preserve">В расчете приняты предполагаемые виды и объемы изыскательских работ  в соответствие с заданием на проектирование. </t>
  </si>
  <si>
    <t>Непредвиденные для изысканий  учтены в расчетах в размере 10% на основании п. 3.7.6 в) Методического пособия по определению стоимости инженерных изысканий для строительства, утвержденных  письмом Госстроя России 
от 31.03.2004 № НЗ-2078/10</t>
  </si>
  <si>
    <t>Описание метода расчета стоимости проектных работ</t>
  </si>
  <si>
    <t>Для опредления цены проектных работ принят  проектно-сметный метод с  использованием в расчетах нормативных документов, включенных в Федеральный реестр сметных нормативов, подлежащих применению при определении сметной стоимости объектов капитального строительства,  строительство которых финансируется с привлечением средств федерального бюджета:  справочников базовых цен  на проектные работы в строительстве и Методических указаний по применению справочников базовых цен на проектные работы в строительстве.</t>
  </si>
  <si>
    <t>В расчете приняты предполагаемые виды и объемы проектных работ в соответствие с заданием на проектирование , предполагаемые технические характеристики объектов проектирования.</t>
  </si>
  <si>
    <t>В расчете учтен резерв средств на непредвиденные затраты в размере 2%</t>
  </si>
  <si>
    <t>Налог на добавленную стоимость - 20 %</t>
  </si>
  <si>
    <t>Итоговая начальная максимальная цена проектно-изыскательских работ  составляет:</t>
  </si>
  <si>
    <t>рублей с учетом НДС</t>
  </si>
  <si>
    <t>Е.А. Татаринова</t>
  </si>
  <si>
    <t>Протокол</t>
  </si>
  <si>
    <t>начальной (максимальной) цены контракта</t>
  </si>
  <si>
    <t>Объект закупки</t>
  </si>
  <si>
    <t xml:space="preserve">Начальная (максимальная ) цена контракта составляет </t>
  </si>
  <si>
    <t>Начальная (максимальная ) цена контракта включает в себя расходы:</t>
  </si>
  <si>
    <t>- затраты на инженерные изыскания:</t>
  </si>
  <si>
    <t>инженерно-геодезические изыскания;</t>
  </si>
  <si>
    <t>геофизические исследования;</t>
  </si>
  <si>
    <t>инженерно-гидрометеорологические изыскания;</t>
  </si>
  <si>
    <t>инженерно-экологические изыскания;</t>
  </si>
  <si>
    <t>оценка селевой и лавинной опасности;</t>
  </si>
  <si>
    <t>- затраты на проектные работы стадии "Проектная документация"</t>
  </si>
  <si>
    <t>- Перечень мероприятий, обеспечивающих соблюдение требований по охране труда при эксплуатации объектов капитального строительства, а также обоснование проектных решений и мероприятий, обеспечивающих соблюдение санитарно-гигиенических условий;</t>
  </si>
  <si>
    <t>- оценку воздействия на окружающую среду;</t>
  </si>
  <si>
    <t>- резерв средств на непредвиденные работы и затраты;</t>
  </si>
  <si>
    <t>- прогнозные индексы инфляции для пересчета из уровня цен на дату определения НМЦК в уровень цен соответствующего периода исполнения договора;</t>
  </si>
  <si>
    <t>- налог на добавленную стоимость в размере 20%.</t>
  </si>
  <si>
    <t>Приложение:</t>
  </si>
  <si>
    <t>Расчет начальной (максимальной) цены контракта.</t>
  </si>
  <si>
    <t xml:space="preserve">Заказчик: </t>
  </si>
  <si>
    <t>(должность, подпись, инициалы, фамилия)</t>
  </si>
  <si>
    <t xml:space="preserve">Индекс пересчета в текущие цены на I квартал 2023 г. принят согласно Письму Минстроя России от 30.01.2023 N4125-ИФ/09 </t>
  </si>
  <si>
    <t>Прогнозные индексы инфляции для пересчета из уровня цен на дату определения НМЦК в уровень цен соответствующего периода реализации проекта определены  согласно Письма Минэкономразвития России от 28.09.2022 N 36804-ПК/Д03и “О применении показателей прогноза социально-экономического развития Российской Федерации в целях ценообразования на продукцию, поставляемую по государственному оборонному заказу”</t>
  </si>
  <si>
    <t>КАЛЕНДАРНЫЙ ПЛАН</t>
  </si>
  <si>
    <t>на разработку концепции и проектной документации по объекту по объекту:</t>
  </si>
  <si>
    <t>«Благоустройство туристической деревни Поляна Азау и прилегающей территории»</t>
  </si>
  <si>
    <t>Разработка концепции «Благоустройство туристической деревни Поляна Азау и прилегающей территории»</t>
  </si>
  <si>
    <t xml:space="preserve">Инженерные изыскания </t>
  </si>
  <si>
    <t>инженерно-геодезические изыскания</t>
  </si>
  <si>
    <t>инженерно-гидрометеорологические изыскания</t>
  </si>
  <si>
    <t>инженерно-экологические изыскания</t>
  </si>
  <si>
    <t>инженерно-геологические изыскания</t>
  </si>
  <si>
    <t>Проектные работы, в том числе:</t>
  </si>
  <si>
    <t>- разработка основных технических решений</t>
  </si>
  <si>
    <t>- разработка проектной и сметной документации</t>
  </si>
  <si>
    <r>
      <t>Подготовка эскизных вариантов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общих композиционных, планировочных, архитектурных решений</t>
    </r>
  </si>
  <si>
    <t>Календарный план 
на разработку концепции и проектной документации по объекту по объекту:
'«Благоустройство туристической деревни поляна Азау и прилегающей территории»</t>
  </si>
  <si>
    <t>(A + B * (0.4 * Xмин + 0.6 * (Xмин / 2))) * Количество
(5035 тыс.руб + 141.5 тыс.руб * (0.4 * 50 + 0.6 * (50 / 2)))  * 1 *0,4*0,1*0,70035</t>
  </si>
  <si>
    <t>Рондельбан  (механические сани на небольшой монорельсовой железной дороге). 
Платформы низкие пассажирские или грузовые площадью: до 1500 м2 Применительно</t>
  </si>
  <si>
    <t>К3=1,2= (1+1*0,2)
Методика, 707/пр. Глава IX, п.152</t>
  </si>
  <si>
    <t xml:space="preserve">Родельбан </t>
  </si>
  <si>
    <t xml:space="preserve">Железные дороги. 2014 г. Таблица 07. Платформы низкие пассажирские, п.5
Основ.показ. = Х 15 (10 м2)
Количество =2
</t>
  </si>
  <si>
    <t>К1=1,06365
(Методика, 707/пр. Приложение 5, табл.5.1, п.2.3)- Усложняющий</t>
  </si>
  <si>
    <t>(A + B *Хзад.)) * Количество
(48,5 тыс.руб + 0,03 тыс.руб *(150/10))  * 1,2 *0,4*0,1*1,06365</t>
  </si>
  <si>
    <t>«Адепт: Проект в 15.2»
© ООО «Адепт»</t>
  </si>
  <si>
    <t xml:space="preserve">форма №2П
</t>
  </si>
  <si>
    <t>на инженерно-геодезические изыскания</t>
  </si>
  <si>
    <t>по объекту:</t>
  </si>
  <si>
    <t>Наименование объекта изысканий:</t>
  </si>
  <si>
    <t>Заказчик:</t>
  </si>
  <si>
    <t>АО "КАВКАЗ, РФ,"</t>
  </si>
  <si>
    <t xml:space="preserve">Подрядчик: </t>
  </si>
  <si>
    <t>Сметный расчет составлен по следующим документам: Справочник базовых цен на инженерные изыскания для строительства. Инженерно-геодезические изыскания. 2004 г.</t>
  </si>
  <si>
    <t>Сметный расчет составлен в ценах I кв. 2023 г.</t>
  </si>
  <si>
    <t>Расчет стоимости</t>
  </si>
  <si>
    <t>Раздел</t>
  </si>
  <si>
    <t>Полевые работы</t>
  </si>
  <si>
    <t>Инженерно-топографические планы. Масштаб съемки 1:500. Высота сечения рельефа 0,5 м. Вид территории: незастроенная. III категория сложности</t>
  </si>
  <si>
    <t>Справочник базовых цен на инженерные изыскания для строительства. Инженерно-геодезические изыскания. 2004 г. Часть I, Глава 2, Таблица 9. Цены на создание инженерно-топографических планов в масштабах 1:500-1:10000 п.6
A=3288 руб; 
Количество = 67 (1 га)</t>
  </si>
  <si>
    <t>Полный комплекс работ
(100%):
A * Количество * Ктек * K1
3288 руб * 67 * 1 * 1.2</t>
  </si>
  <si>
    <t/>
  </si>
  <si>
    <t>Коэффициенты</t>
  </si>
  <si>
    <t>Стадия: Изыскания</t>
  </si>
  <si>
    <t>Коэфф.перехода в тек.цены</t>
  </si>
  <si>
    <t>Ктек = 1</t>
  </si>
  <si>
    <t>Стоимость съемки подземных коммуникаций с помощью приборов поиска (трубокабелеискателя) и составление плана подземных коммуникаций на незастроенных территориях</t>
  </si>
  <si>
    <t>K1 = 1.2
Прим. к табл.9 п.4 (Ценообразующий)</t>
  </si>
  <si>
    <t>Разделы документации</t>
  </si>
  <si>
    <t>1. Пол ком раб</t>
  </si>
  <si>
    <t>Плановая опорная сеть. Класс точности: 2 разряд. Категория сложности II закладки геодезических центров и реперов</t>
  </si>
  <si>
    <t>Справочник базовых цен на инженерные изыскания для строительства. Инженерно-геодезические изыскания. 2004 г. Часть I, Глава 1, Таблица 8. Цены на создание (развитие) планово-высотных опорных геодезических сетей п.3
A=6426 руб; 
Количество = 3 (1 пункт)</t>
  </si>
  <si>
    <t>Полный комплекс работ
(100%):
A * Количество * Ктек * K1 * K2
6426 руб * 3 * 1 * 0.7 * 1.3</t>
  </si>
  <si>
    <t>Стоимость производства измерений без закладки центров и реперов на полевые работы</t>
  </si>
  <si>
    <t>K1 = 0.7
Прим. к табл.8 п.1 (Ценообразующий)</t>
  </si>
  <si>
    <t>Стоимость определения координат пунктов опорных геодезических сетей с использованием спутниковых геодезических систем</t>
  </si>
  <si>
    <t>K2 = 1.3
Прим. к табл.8 п.2 (Ценообразующий)</t>
  </si>
  <si>
    <t>Высотная опорная сеть. Класс точности: IV класс Категория сложности II</t>
  </si>
  <si>
    <t>Справочник базовых цен на инженерные изыскания для строительства. Инженерно-геодезические изыскания. 2004 г. Часть I, Глава 1, Таблица 8. Цены на создание (развитие) планово-высотных опорных геодезических сетей п.4
A=1897 руб; 
Количество = 3 (1 пункт)</t>
  </si>
  <si>
    <t>Полный комплекс работ
(100%):
A * Количество * Ктек * K1
1897 руб * 3 * 1 * 0.4</t>
  </si>
  <si>
    <t>K1 = 0.4
Прим. к табл.8 п.1 (Ценообразующий)</t>
  </si>
  <si>
    <t>Таксация лесонасаждений на территориях: незастроенных. Категория сложности II</t>
  </si>
  <si>
    <t>Справочник базовых цен на инженерные изыскания для строительства. Инженерно-геодезические изыскания. 2004 г.  Часть II, Глава 7, Таблица 58. Цены на таксацию лесонасаждений п.1
A=433 руб; 
Количество = 13 (1 га)</t>
  </si>
  <si>
    <t>Полный комплекс работ
(100%):
A * Количество * Ктек
433 руб * 13 * 1</t>
  </si>
  <si>
    <t>Итого Полевые работы:</t>
  </si>
  <si>
    <t>Коэффициент при проведении полевых изысканий без выплаты полевого довольствия или командировочных</t>
  </si>
  <si>
    <t>ОУ, п.14</t>
  </si>
  <si>
    <t>Коэф - т 0.85 от п.1.5</t>
  </si>
  <si>
    <t>Всего Полевые работы:</t>
  </si>
  <si>
    <t>Лабораторные работы</t>
  </si>
  <si>
    <t>Итого Лабораторные работы:</t>
  </si>
  <si>
    <t>Всего Лабораторные работы:</t>
  </si>
  <si>
    <t>Камеральные работы</t>
  </si>
  <si>
    <t>Инженерно-топографические планы. Масштаб съемки 1:500. Высота сечения рельефа 0,5 м. Категория сложности III. Вид территории: незастроенная</t>
  </si>
  <si>
    <t>Справочник базовых цен на инженерные изыскания для строительства. Инженерно-геодезические изыскания. 2004 г. Часть I, Глава 2, Таблица 9. Цены на создание инженерно-топографических планов в масштабах 1:500-1:10000 п.6
A=791 руб; 
Количество = 67 (1 га)</t>
  </si>
  <si>
    <t>Полный комплекс работ
(100%):
A * Количество * Ктек * K1
791 руб * 67 * 1 * 1.2</t>
  </si>
  <si>
    <t>К стоимости изыскательских работ при выполнении камеральных и картографических работ с применением компьютерных технологий к стоимости соответствующих работ применяется коэффициент</t>
  </si>
  <si>
    <t>K1 = 1.2
Общие указания п.15"д" (Ценообразующий)</t>
  </si>
  <si>
    <t>Плановая опорная сеть. Класс точности: 2 разряд. Категория сложности II</t>
  </si>
  <si>
    <t>Справочник базовых цен на инженерные изыскания для строительства. Инженерно-геодезические изыскания. 2004 г. Часть I, Глава 1, Таблица 8. Цены на создание (развитие) планово-высотных опорных геодезических сетей п.3
A=2538 руб; 
Количество = 3 (1 пункт)</t>
  </si>
  <si>
    <t>Полный комплекс работ
(100%):
A * Количество * Ктек * K1 * K2
2538 руб * 3 * 1 * 1.3 * 1.2</t>
  </si>
  <si>
    <t>K1 = 1.3
Прим. к табл.8 п.2 (Ценообразующий)</t>
  </si>
  <si>
    <t>K2 = 1.2
Общие указания п.15"д" (Ценообразующий)</t>
  </si>
  <si>
    <t>Справочник базовых цен на инженерные изыскания для строительства. Инженерно-геодезические изыскания. 2004 г. Часть I, Глава 1, Таблица 8. Цены на создание (развитие) планово-высотных опорных геодезических сетей п.4
A=428 руб; 
Количество = 3 (1 пункт)</t>
  </si>
  <si>
    <t>Полный комплекс работ
(100%):
A * Количество * Ктек * K1
428 руб * 3 * 1 * 1.2</t>
  </si>
  <si>
    <t>Составление программы (предписания) по геодезическим работам. Стоимость полевых и камеральных работ, определенная по ценам глав 4-8: до 100 тыс.руб.</t>
  </si>
  <si>
    <t>Справочник базовых цен на инженерные изыскания для строительства. Инженерно-геодезические изыскания. 2004 г. Таблица 78. Цены на составление программы (предписания) по геодезическим работам. п.1
Количество = 1</t>
  </si>
  <si>
    <t>(п.1.7+п.)*4.3/100 с искл. п.1.1-1.3
Сумма * Количество
548 руб * 1</t>
  </si>
  <si>
    <t>Ктек =</t>
  </si>
  <si>
    <t>Расходы на составление технического отчета (пояснительной записки) по геодезическим работам. Стоимость полевых и камеральных работ, определенная по ценам глав 4-8: до 100 тыс.руб.</t>
  </si>
  <si>
    <t>Справочник базовых цен на инженерные изыскания для строительства. Инженерно-геодезические изыскания. 2004 г. Таблица 79. Расходы на составление технического отчета (пояснительной записки) по геодезическим работам. п.1
Количество = 1</t>
  </si>
  <si>
    <t>(п.1.7+п.3.4)*10/100 с искл. п.1.1-1.3
Сумма * Количество
1330 руб * 1</t>
  </si>
  <si>
    <t>Итого Камеральные работы:</t>
  </si>
  <si>
    <t>Всего Камеральные работы:</t>
  </si>
  <si>
    <t>Прочие расходы</t>
  </si>
  <si>
    <t>Надбавки за выполнение изысканий в горных и высокогорных районах. Горный и высокогорный район с абсолютными высотами поверхности участка над уровнем моря св. 2000 до 3000 м</t>
  </si>
  <si>
    <t>п.8а О.у. Табл.1</t>
  </si>
  <si>
    <t>Коэф - т 0.2 от п.1.7</t>
  </si>
  <si>
    <t>Расходы по внутреннему транспорту. Расстояние от базы до участка изысканий до 5 км. Сметная стоимость полевых изыск.работ св. 150 до 300 тыс.руб</t>
  </si>
  <si>
    <t>О.у. п.9 табл 4</t>
  </si>
  <si>
    <t>8.75% от п.1.7, 4.1</t>
  </si>
  <si>
    <t>Расходы по внешнему транспорту. Расстояние проезда и перевозки в одном направлении св.100 до 300 км Продолжительность экспедиции до 1 мес</t>
  </si>
  <si>
    <t>О.у. п.10 табл 5</t>
  </si>
  <si>
    <t>19.6% от п.1.7, 4.1 - 4.2</t>
  </si>
  <si>
    <t>Расходы по организации и ликвидации работ</t>
  </si>
  <si>
    <t>О.у. п.13</t>
  </si>
  <si>
    <t>6% от п.1.7, 4.1 - 4.2</t>
  </si>
  <si>
    <t>Всего Прочие расходы:</t>
  </si>
  <si>
    <t>Итого по смете:</t>
  </si>
  <si>
    <t>Индекс на I квартал 2023 года на изыскательские работы к уровню цен на 01.01.2001</t>
  </si>
  <si>
    <t>Письмо Минстроя России от 30.01.2023 №4125-ИФ/09</t>
  </si>
  <si>
    <t>Коэф - т 5.36 от п.5</t>
  </si>
  <si>
    <t>Коэффициент пересчета 2001 г. к 2000 г. на инж.из.</t>
  </si>
  <si>
    <t>Письма Госстроя России от 04.01.2001 г. № АШ-9/10 и от 07.10.1999 г. № АШ-3412/10</t>
  </si>
  <si>
    <t>Разделить на коэф - т 1.266 от п.6</t>
  </si>
  <si>
    <t>Всего по смете:</t>
  </si>
  <si>
    <t>Непредвиденные расходы в размере не менее 10 % от сметной стоимости изыскательских работ.</t>
  </si>
  <si>
    <t xml:space="preserve">п.18 ОУ  СБЦ </t>
  </si>
  <si>
    <t>Составил:</t>
  </si>
  <si>
    <t>Щеглова Н.В.</t>
  </si>
  <si>
    <t>Проверил:.</t>
  </si>
  <si>
    <t xml:space="preserve"> Антипова М.А</t>
  </si>
  <si>
    <t>на инженерно-геологические изыскания</t>
  </si>
  <si>
    <t>Сметный расчет составлен по следующим документам: Инженерно-геологические и инженерно-экологические изыскания для строительства. 1999 г.</t>
  </si>
  <si>
    <t>Определение объемного веса в естественном залегании и коэффициента разрыхления несвязного грунта (взвешивание и замер извлекаемого грунта мерными ящиками, замер объема опытного шурфа засыпкой сортированным песком)</t>
  </si>
  <si>
    <t>Полный комплекс работ
(100%):
A * Количество * Ктек
8.5 руб * 26 * 1</t>
  </si>
  <si>
    <t>Определения химического состава грунтов (почв). Приготовление водной вытяжки</t>
  </si>
  <si>
    <t>Индекс на I квартал 2023 года на изыскательские работы к уровню цен на 01.01.1991</t>
  </si>
  <si>
    <t>Коэф - т 61.09 от п.5</t>
  </si>
  <si>
    <t xml:space="preserve">п.17 ОУ  СБЦ </t>
  </si>
  <si>
    <t>Инженерно-геофизические исследования</t>
  </si>
  <si>
    <t>Полный комплекс работ
(100%):
A * Количество * Ктек
200 руб * 1 * 1</t>
  </si>
  <si>
    <t>Расходы по внутреннему транспорту. Расстояние от базы до участка изысканий до 5 км. Сметная стоимость полевых изыск.работ до 5 тыс.руб</t>
  </si>
  <si>
    <t>«Адепт: Проект в 14.12»
© ООО «Адепт»</t>
  </si>
  <si>
    <t>форма №2П
от 24.01.2023г
к Договору  от 24.01.2023 г.</t>
  </si>
  <si>
    <t>на изыскательские работы</t>
  </si>
  <si>
    <t>Сметный расчет составлен по следующим документам: Справочник базовых цен на инженерные изыскания для строительства. Инженерно-гидрографические работы. Инженерно-гидрометеорологические изыскания на реках. 2000 г.</t>
  </si>
  <si>
    <t>Ед.
Изм</t>
  </si>
  <si>
    <t>Кол-
во.</t>
  </si>
  <si>
    <t>Рекогносцировочное обследование реки.Категория сложности II</t>
  </si>
  <si>
    <t>1 км реки</t>
  </si>
  <si>
    <t>Справочник базовых цен на инженерные изыскания для строительства. Инженерно-гидрографические работы. Инженерно-гидрометеорологические изыскания на реках. 2000 г. Часть II, Глава 8, Таблица 43. Цены на рекогносцировочное обследование бассейна реки п.1
A=30 руб; 
Количество = 2 (1 км реки)</t>
  </si>
  <si>
    <t>A * Количество * K1
30 руб * 2 * 1.2</t>
  </si>
  <si>
    <t>Выполнение изысканий в горных и высокогорных районах. Горный и высокогорный район с абсолютными высотами поверхности участка над уровнем моря св 2000 м до 3000 м</t>
  </si>
  <si>
    <t>K1 = 1.2
СБЦ на инж.из. для стр-ва Лесохозяйственные изыскания, 2006 г., ОУ п. 7а табл. 1 п.3 (Ценообразующий)</t>
  </si>
  <si>
    <t>Рекогносцировочное обследование бассейна реки.Категория сложности II</t>
  </si>
  <si>
    <t>Справочник базовых цен на инженерные изыскания для строительства. Инженерно-гидрографические работы. Инженерно-гидрометеорологические изыскания на реках. 2000 г. Часть II, Глава 8, Таблица 43. Цены на рекогносцировочное обследование бассейна реки п.2
A=20 руб; 
Количество = 4 (1 км маршрута)</t>
  </si>
  <si>
    <t>A * Количество * K1
20 руб * 4 * 1.2</t>
  </si>
  <si>
    <t>Изыскания для расчета стока с бассейна при площади, км2: до 0,5. Масштаб карты, плана 1:10000 и крупнее</t>
  </si>
  <si>
    <t>1 бассейн</t>
  </si>
  <si>
    <t>Справочник базовых цен на инженерные изыскания для строительства. Инженерно-гидрографические работы. Инженерно-гидрометеорологические изыскания на реках. 2000 г. Часть I, Глава 4, Таблица 21. Цены на изыскания для расчета стока с бассейнов малых рек п.1
A=34 руб; 
Количество = 5 (1 бассейн)</t>
  </si>
  <si>
    <t>A * Количество * K1
34 руб * 5 * 1.2</t>
  </si>
  <si>
    <t>Изыскания для расчета стока с бассейна при площади, км2: св. 10 до 20. Масштаб карты, плана 1:10000 и крупнее</t>
  </si>
  <si>
    <t>Справочник базовых цен на инженерные изыскания для строительства. Инженерно-гидрографические работы. Инженерно-гидрометеорологические изыскания на реках. 2000 г. Часть I, Глава 4, Таблица 21. Цены на изыскания для расчета стока с бассейнов малых рек п.5
A=84 руб; 
Количество = 1 (1 бассейн)</t>
  </si>
  <si>
    <t>A * Количество * K1
84 руб * 1 * 1.2</t>
  </si>
  <si>
    <t>Изыскания для расчета стока с бассейна при площади, км2: св. 50 до 100. Масштаб карты, плана 1:25000 и 1:50000</t>
  </si>
  <si>
    <t>Справочник базовых цен на инженерные изыскания для строительства. Инженерно-гидрографические работы. Инженерно-гидрометеорологические изыскания на реках. 2000 г. Часть I, Глава 4, Таблица 21. Цены на изыскания для расчета стока с бассейнов малых рек п.7
A=118 руб; 
Количество = 1 (1 бассейн)</t>
  </si>
  <si>
    <t>A * Количество * K1
118 руб * 1 * 1.2</t>
  </si>
  <si>
    <t>Разбивка и нивелирование морфометрического створа.Категория сложности III</t>
  </si>
  <si>
    <t>1 км морфометрического створа</t>
  </si>
  <si>
    <t>Справочник базовых цен на инженерные изыскания для строительства. Инженерно-гидрографические работы. Инженерно-гидрометеорологические изыскания на реках. 2000 г. Часть I, Глава 4, Таблица 24. Цены на разбивку и нивелирование морфометрического створа на пойменных участках рек п.1
A=264 руб; 
Количество = 1 (1 км морфометрического створа)</t>
  </si>
  <si>
    <t>A * Количество * K1
264 руб * 1 * 1.2</t>
  </si>
  <si>
    <t>Промеры глубин.Ширина реки, м: до 20</t>
  </si>
  <si>
    <t>1 профиль</t>
  </si>
  <si>
    <t>Справочник базовых цен на инженерные изыскания для строительства. Инженерно-гидрографические работы. Инженерно-гидрометеорологические изыскания на реках. 2000 г. Часть II, Глава 10, Таблица 48. Цены на наблюдения за характеристиками гидрологического режима рек п.3
A=19 руб; 
Количество = 14 (1 профиль)</t>
  </si>
  <si>
    <t>A * Количество * K1
19 руб * 14 * 1.2</t>
  </si>
  <si>
    <t>Определение мгновенного уклона поверхности воды в реке при количестве урезных кольев на 1 км длины реки, шт: 1. Категория сложности III</t>
  </si>
  <si>
    <t>1 определение на 1 км длины реки</t>
  </si>
  <si>
    <t>Справочник базовых цен на инженерные изыскания для строительства. Инженерно-гидрографические работы. Инженерно-гидрометеорологические изыскания на реках. 2000 г. Часть I, Глава 4, Таблица 26. Цены на определение мгновенных уклонов водной поверхности по урезным кольям п.3
A=136 руб; 
Количество = 3 (1 определение на 1 км длины реки)</t>
  </si>
  <si>
    <t>A * Количество * K1
136 руб * 3 * 1.2</t>
  </si>
  <si>
    <t>Измерение расхода воды детальным методом.Ширина реки, м: до 20</t>
  </si>
  <si>
    <t>1 расход</t>
  </si>
  <si>
    <t>Справочник базовых цен на инженерные изыскания для строительства. Инженерно-гидрографические работы. Инженерно-гидрометеорологические изыскания на реках. 2000 г. Часть II, Глава 10, Таблица 48. Цены на наблюдения за характеристиками гидрологического режима рек п.1
A=78 руб; 
Количество = 3 (1 расход)</t>
  </si>
  <si>
    <t>A * Количество * K1
78 руб * 3 * 1.2</t>
  </si>
  <si>
    <t>Фотоработы.Ширина реки, м: до 20</t>
  </si>
  <si>
    <t>Справочник базовых цен на инженерные изыскания для строительства. Инженерно-гидрографические работы. Инженерно-гидрометеорологические изыскания на реках. 2000 г. Часть II, Глава 10, Таблица 48. Цены на наблюдения за характеристиками гидрологического режима рек п.15
A=7 руб; 
Количество = 30 (1 снимок)</t>
  </si>
  <si>
    <t>A * Количество * K1
7 руб * 30 * 1.2</t>
  </si>
  <si>
    <t>Справочник базовых цен на инженерные изыскания для строительства. Инженерно-гидрографические работы. Инженерно-гидрометеорологические изыскания на реках. 2000 г. Часть II, Глава 8, Таблица 43. Цены на рекогносцировочное обследование бассейна реки п.1
A=10 руб; 
Количество = 2 (1 км реки)</t>
  </si>
  <si>
    <t>A * Количество
10 руб * 2</t>
  </si>
  <si>
    <t>Справочник базовых цен на инженерные изыскания для строительства. Инженерно-гидрографические работы. Инженерно-гидрометеорологические изыскания на реках. 2000 г. Часть II, Глава 8, Таблица 43. Цены на рекогносцировочное обследование бассейна реки п.2
A=7 руб; 
Количество = 4 (1 км маршрута)</t>
  </si>
  <si>
    <t>A * Количество
7 руб * 4</t>
  </si>
  <si>
    <t>Справочник базовых цен на инженерные изыскания для строительства. Инженерно-гидрографические работы. Инженерно-гидрометеорологические изыскания на реках. 2000 г. Часть I, Глава 4, Таблица 21. Цены на изыскания для расчета стока с бассейнов малых рек п.1
A=16 руб; 
Количество = 5 (1 бассейн)</t>
  </si>
  <si>
    <t>A * Количество
16 руб * 5</t>
  </si>
  <si>
    <t>Справочник базовых цен на инженерные изыскания для строительства. Инженерно-гидрографические работы. Инженерно-гидрометеорологические изыскания на реках. 2000 г. Часть I, Глава 4, Таблица 21. Цены на изыскания для расчета стока с бассейнов малых рек п.5
A=55 руб; 
Количество = 1 (1 бассейн)</t>
  </si>
  <si>
    <t>A * Количество
55 руб * 1</t>
  </si>
  <si>
    <t>Справочник базовых цен на инженерные изыскания для строительства. Инженерно-гидрографические работы. Инженерно-гидрометеорологические изыскания на реках. 2000 г. Часть I, Глава 4, Таблица 21. Цены на изыскания для расчета стока с бассейнов малых рек п.7
A=53 руб; 
Количество = 1 (1 бассейн)</t>
  </si>
  <si>
    <t>A * Количество
53 руб * 1</t>
  </si>
  <si>
    <t>Справочник базовых цен на инженерные изыскания для строительства. Инженерно-гидрографические работы. Инженерно-гидрометеорологические изыскания на реках. 2000 г. Часть I, Глава 4, Таблица 24. Цены на разбивку и нивелирование морфометрического створа на пойменных участках рек п.1
A=21 руб; 
Количество = 1 (1 км морфометрического створа)</t>
  </si>
  <si>
    <t>A * Количество
21 руб * 1</t>
  </si>
  <si>
    <t>Справочник базовых цен на инженерные изыскания для строительства. Инженерно-гидрографические работы. Инженерно-гидрометеорологические изыскания на реках. 2000 г. Часть II, Глава 10, Таблица 48. Цены на наблюдения за характеристиками гидрологического режима рек п.1
A=17 руб; 
Количество = 3 (1 расход)</t>
  </si>
  <si>
    <t>A * Количество
17 руб * 3</t>
  </si>
  <si>
    <t>Составление схемы гидрометеорологической изученности бассейна реки при числе пунктов наблюдений:до 50</t>
  </si>
  <si>
    <t>Справочник базовых цен на инженерные изыскания для строительства. Инженерно-гидрографические работы. Инженерно-гидрометеорологические изыскания на реках. 2000 г. Часть II, Глава 11, Таблица 51. Цены на обобщение материалов гидрометеорологической изученности п.3
A=61 руб; 
Количество = 1 (1 схема)</t>
  </si>
  <si>
    <t>A * Количество
61 руб * 1</t>
  </si>
  <si>
    <t>Составление таблицы гидрологической изученности бассейна реки при числе пунктов наблюдений:до 50</t>
  </si>
  <si>
    <t>Справочник базовых цен на инженерные изыскания для строительства. Инженерно-гидрографические работы. Инженерно-гидрометеорологические изыскания на реках. 2000 г. Часть II, Глава 11, Таблица 51. Цены на обобщение материалов гидрометеорологической изученности п.1
A=105 руб; 
Количество = 1 (1 таблица)</t>
  </si>
  <si>
    <t>A * Количество
105 руб * 1</t>
  </si>
  <si>
    <t>Определение средней высоты водосбора</t>
  </si>
  <si>
    <t>1 водосбор</t>
  </si>
  <si>
    <t>Справочник базовых цен на инженерные изыскания для строительства. Инженерно-гидрографические работы. Инженерно-гидрометеорологические изыскания на реках. 2000 г. Часть II, Глава 11, Таблица 55. Цены на гидравлические расчеты и определение гидрографических характеристик п.10
A=41 руб; 
Количество = 7 (1 водосбор)</t>
  </si>
  <si>
    <t>A * Количество
41 руб * 7</t>
  </si>
  <si>
    <t>Определение уклона водосбора</t>
  </si>
  <si>
    <t>Справочник базовых цен на инженерные изыскания для строительства. Инженерно-гидрографические работы. Инженерно-гидрометеорологические изыскания на реках. 2000 г. Часть II, Глава 11, Таблица 55. Цены на гидравлические расчеты и определение гидрографических характеристик п.11
A=19 руб; 
Количество = 7 (1 водосбор)</t>
  </si>
  <si>
    <t>A * Количество
19 руб * 7</t>
  </si>
  <si>
    <t>Определение максимального расхода воды по формуле предельной интенсивности по готовым гидрографическим характеристикам</t>
  </si>
  <si>
    <t>Справочник базовых цен на инженерные изыскания для строительства. Инженерно-гидрографические работы. Инженерно-гидрометеорологические изыскания на реках. 2000 г.Часть II, Глава 11, Таблица 56. Цены на гидрологические расчеты п.1
A=77 руб; 
Количество = 7 (1 расчет)</t>
  </si>
  <si>
    <t>A * Количество * K1
77 руб * 7 * 0.5</t>
  </si>
  <si>
    <t>При определении максимальных расходов для последующих водосборов, расположенных в данном районе</t>
  </si>
  <si>
    <t>K1 = 0.5
Прим. к табл.56 п.1 (Ценообразующий)</t>
  </si>
  <si>
    <t>Построение кривой расходов гидравлическим методом</t>
  </si>
  <si>
    <t>1 график</t>
  </si>
  <si>
    <t>Справочник базовых цен на инженерные изыскания для строительства. Инженерно-гидрографические работы. Инженерно-гидрометеорологические изыскания на реках. 2000 г. Часть II, Глава 11, Таблица 55. Цены на гидравлические расчеты и определение гидрографических характеристик п.1
A=68 руб; 
Количество = 14 (1 график)</t>
  </si>
  <si>
    <t>A * Количество
68 руб * 14</t>
  </si>
  <si>
    <t>Составление и вычерчивание тушью.Количество ординат на 1 дм профиля: св. 7 до 20</t>
  </si>
  <si>
    <t>1 дм профиля</t>
  </si>
  <si>
    <t>Справочник базовых цен на инженерные изыскания для строительства. Инженерно-гидрографические работы. Инженерно-гидрометеорологические изыскания на реках. 2000 г. Часть I, Глава 7, Таблица 39. Цены на составление и вычерчивание топографических и морфометрических профилей всех масштабов п.1
A=3.8 руб; 
Количество = 14 (1 дм профиля)</t>
  </si>
  <si>
    <t>A * Количество
3.8 руб * 14</t>
  </si>
  <si>
    <t>Определение смещений русла и его основных элементов в плане по данным съемок разных лет при числе съемок:до 3</t>
  </si>
  <si>
    <t>1 участок</t>
  </si>
  <si>
    <t>Справочник базовых цен на инженерные изыскания для строительства. Инженерно-гидрографические работы. Инженерно-гидрометеорологические изыскания на реках. 2000 г. Часть II, Глава 11, Таблица 57. Цены на расчет нормы твердого стока и определение русловых деформаций п.9
A=447 руб; 
Количество = 1 (1 участок)</t>
  </si>
  <si>
    <t>A * Количество
447 руб * 1</t>
  </si>
  <si>
    <t>Определение вертикальных деформаций русла и построение плана деформаций</t>
  </si>
  <si>
    <t>Справочник базовых цен на инженерные изыскания для строительства. Инженерно-гидрографические работы. Инженерно-гидрометеорологические изыскания на реках. 2000 г. Часть II, Глава 11, Таблица 57. Цены на расчет нормы твердого стока и определение русловых деформаций п.12
A=812 руб; 
Количество = 1 (1 участок)</t>
  </si>
  <si>
    <t>A * Количество
812 руб * 1</t>
  </si>
  <si>
    <t>Систематизация собранных материалов и данных метеорологических наблюдений. Подбор станций или постов с оценкой качества материалов наблюдений и степени их репрезентативности</t>
  </si>
  <si>
    <t>Справочник базовых цен на инженерные изыскания для строительства. Инженерно-гидрографические работы. Инженерно-гидрометеорологические изыскания на реках. 2000 г. Часть II, Глава 12, Таблица 67. Цены на систематизацию данных метеорологических наблюдений и материалов изысканий прошлых лет п.1
A=90 руб; 
Количество = 4 (1 годостанция)</t>
  </si>
  <si>
    <t>A * Количество
90 руб * 4</t>
  </si>
  <si>
    <t>Составление климатической характеристики района изысканий при числе метеорологических станций: 5. Число годостанций: до 50</t>
  </si>
  <si>
    <t>Справочник базовых цен на инженерные изыскания для строительства. Инженерно-гидрографические работы. Инженерно-гидрометеорологические изыскания на реках. 2000 г. Часть II, Глава 12, Таблица 69. Цены на составление климатической характеристики района изысканий п.3
A=305 руб; 
Количество = 1 (1 записка)</t>
  </si>
  <si>
    <t>A * Количество
305 руб * 1</t>
  </si>
  <si>
    <t>Стоимость камеральных работ, тыс. руб.: св. 5 до 10. Обоснование проекта (ТЭО)</t>
  </si>
  <si>
    <t>Справочник базовых цен на инженерные изыскания для строительства. Инженерно-гидрографические работы. Инженерно-гидрометеорологические изыскания на реках. 2000 г. Часть II, Глава 11, Таблица 53. Цены на составление программы производства гидрологических работ п.3
A=1700 руб; 
Количество = 1 (1 программа)</t>
  </si>
  <si>
    <t>A * Количество
1700 руб * 1</t>
  </si>
  <si>
    <t>Составление технического отчета. Стоимость камеральных работ св. 2000 до 5000 руб. Недостаточно изученная</t>
  </si>
  <si>
    <t>-</t>
  </si>
  <si>
    <t>Справочник базовых цен на инженерные изыскания для строительства. Инженерно-гидрографические работы. Инженерно-гидрометеорологические изыскания на реках. 2000 г. Таблица 62. Составление технического отчета. п.4
Количество = 1</t>
  </si>
  <si>
    <t>75% от п.3.1-3.19
Сумма * Количество
4345 руб * 1</t>
  </si>
  <si>
    <t>СБЦ на инж.из. для стр-ва "Инженерно-гидрографические работы. Инженерно-гидрометеорологические изыскания на реках"(ОУ п. 13)</t>
  </si>
  <si>
    <t>6% от п.3.21</t>
  </si>
  <si>
    <t>3.23</t>
  </si>
  <si>
    <t>СБЦ на инж.из. для стр-ва "Инженерно-гидрографические работы. Инженерно-гидрометеорологические изыскания на реках" (ОУ п. 9 Таблица 4)</t>
  </si>
  <si>
    <t>8.75% от п.1.11</t>
  </si>
  <si>
    <t>3.24</t>
  </si>
  <si>
    <t>Расходы по внешнему транспорту. Расстояние проезда и перевозки в одном направлении св. 100 до 300 км. Продолжительность экспедиции до 1 мес</t>
  </si>
  <si>
    <t>СБЦ на инж.из. для стр-ва "Инженерно-гидрографические работы. Инженерно-гидрометеорологические изыскания на реках" (ОУ п. 10 Таблица 5)</t>
  </si>
  <si>
    <t>19.6% от п.3.21, 3.23</t>
  </si>
  <si>
    <t>3.25</t>
  </si>
  <si>
    <t>Наименование организации – заказчика:  АО "КАВКАЗ. РФ"</t>
  </si>
  <si>
    <t xml:space="preserve">Итого полевые работы выше 2000 м                                                                                                                                     </t>
  </si>
  <si>
    <t>Расходы по внутреннему транспорту</t>
  </si>
  <si>
    <t>Таблица 4  п.1, 8.75%</t>
  </si>
  <si>
    <t xml:space="preserve">Расходы по внешнему транспорту </t>
  </si>
  <si>
    <t>Таблица 5</t>
  </si>
  <si>
    <t>Установление высот границ действия снежных лавин</t>
  </si>
  <si>
    <t>табл. 55 §9</t>
  </si>
  <si>
    <t>Определение площади зон зарождения лавин</t>
  </si>
  <si>
    <t>Определение углов наклона зон зарождения и транзита снежных лавин</t>
  </si>
  <si>
    <t>табл. 55 §11</t>
  </si>
  <si>
    <t>Построение расчетных профилей лавиносборов для расчета воздушной волны</t>
  </si>
  <si>
    <t>табл. 40 §1</t>
  </si>
  <si>
    <t>Определение дальности выброса снежных лавин</t>
  </si>
  <si>
    <t>табл. 56 §2, прим.1</t>
  </si>
  <si>
    <t>Определение скоростей снежных лавин</t>
  </si>
  <si>
    <t xml:space="preserve">Определение объемов снежных лавин </t>
  </si>
  <si>
    <t>Определение давления лавин</t>
  </si>
  <si>
    <t xml:space="preserve">табл.55 §8  </t>
  </si>
  <si>
    <t>Определение высоты фронта лавин</t>
  </si>
  <si>
    <t xml:space="preserve">табл.56 §2  </t>
  </si>
  <si>
    <t xml:space="preserve">итого камеральные работы                                                                                                                                                                                                  </t>
  </si>
  <si>
    <t>Составление программы производства работ</t>
  </si>
  <si>
    <t>Составление технического отчета</t>
  </si>
  <si>
    <t>Непредвиденные расходы</t>
  </si>
  <si>
    <t>Всего по смете с учетом инфляционного коэффициента 1 кв. 2023 (Письмо Минстрой от 30.01.2023 №4125-ИФ/09)</t>
  </si>
  <si>
    <t xml:space="preserve">Щеглова </t>
  </si>
  <si>
    <t>Проверил:</t>
  </si>
  <si>
    <t>Антипова</t>
  </si>
  <si>
    <t>на инженерно-экологические изыскания</t>
  </si>
  <si>
    <t>Инженерно-геологическая, гидрогеологическая рекогносцировка при проходимости: хорошей. Категория сложности II</t>
  </si>
  <si>
    <t>Инженерно-геологические и инженерно-экологические изыскания для строительства. 1999 г. Глава 1. Инженерно-геологическое, инженерно-гидрогеологическое и инженерно-экологическое рекогносцировочное (маршрутное) обследование Таблица 9. Рекогносцировочное обследование п.1
A=23.3 руб; 
Количество = 5.917 (1 км маршрута)</t>
  </si>
  <si>
    <t>Полный комплекс работ
(100%):
A * Количество * Ктек * K1
23.3 руб * 5.917 * 1 * 1.1</t>
  </si>
  <si>
    <t>Стоимость инженерно-экологической рекогносцировки определяется с применением коэффициента для II категории сложности</t>
  </si>
  <si>
    <t>K1 = 1.1
Часть I, Глава 1, примечания к табл.9, п.1 (Ценообразующий)</t>
  </si>
  <si>
    <t>(100%) = 100%</t>
  </si>
  <si>
    <t>100% = 152 руб.</t>
  </si>
  <si>
    <t>Рекогносцировочное почвенное обследование при проходимости: хорошей. Категория сложности II</t>
  </si>
  <si>
    <t>Инженерно-геологические и инженерно-экологические изыскания для строительства. 1999 г. Глава 1. Инженерно-геологическое, инженерно-гидрогеологическое и инженерно-экологическое рекогносцировочное (маршрутное) обследование Таблица 9. Рекогносцировочное обследование п.4
A=3.24 руб; 
Количество = 5.917 (1 км маршрута)</t>
  </si>
  <si>
    <t>Полный комплекс работ
(100%):
A * Количество * Ктек
3.24 руб * 5.917 * 1</t>
  </si>
  <si>
    <t>100% = 19 руб.</t>
  </si>
  <si>
    <t>Наблюдения при передвижении по маршруту при составлении карты: инженерно-геологической, гидрогеологической, почвенной, инженерно-экологической в масштабе: 1:2000-1:1000. Категория проходимости: хорошая</t>
  </si>
  <si>
    <t>Инженерно-геологические и инженерно-экологические изыскания для строительства. 1999 г. Глава 2. Маршрутные наблюдения, выполняемые при составлении инженерно-геологических, инженерно-гидрогеологических и инженерно-экологических карт масштабов 1:50000-1:500 Таблица 10. Наблюдения при передвижении по маршруту при составлении карты: инженерно-геологической, гидрогеологической, почвенной, инженерно-экологической п.4
A=16.3 руб; 
Количество = 5.917 (1 км маршрута)</t>
  </si>
  <si>
    <t>Полный комплекс работ
(100%):
A * Количество * Ктек * K1 * K2
16.3 руб * 5.917 * 1 * 0.6 * 1.3</t>
  </si>
  <si>
    <t>Стоимость маршрутных наблюдений, выполняемых при составлении карт узких полос вдоль трасс линейных сооружений, определяется с применением коэффициента</t>
  </si>
  <si>
    <t>K1 = 0.6
Часть I, Глава 2, п.5 (Ценообразующий)</t>
  </si>
  <si>
    <t>При определении мощности эквивалентной дозы гамма-излучения к ценам применяется коэффициент</t>
  </si>
  <si>
    <t>K2 = 1.3
Часть I, Глава 2, примечание к табл.10 (Ценообразующий)</t>
  </si>
  <si>
    <t>100% = 75 руб.</t>
  </si>
  <si>
    <t>Описание точек наблюдений при составлении инженерно-экологических карт . Категория сложности II</t>
  </si>
  <si>
    <t>Инженерно-геологические и инженерно-экологические изыскания для строительства. 1999 г. Глава 2. Маршрутные наблюдения, выполняемые при составлении инженерно-геологических, инженерно-гидрогеологических и инженерно-экологических карт масштабов 1:50000-1:500 Таблица 11. Описание точек наблюдений при составлении инженерно-геологических (гидрогеологических) и инженерно-экологических карт п.2
A=11.7 руб; 
Количество = 7 (1 точка)</t>
  </si>
  <si>
    <t>Полный комплекс работ
(100%):
A * Количество * Ктек * K1 * K2
11.7 руб * 7 * 1 * 0.6 * 0.4</t>
  </si>
  <si>
    <t>При выполнении маршрутных наблюдений для составления других карт к ценам применяются коэффициенты: почвенная карта</t>
  </si>
  <si>
    <t>K2 = 0.4
Часть I, Глава 2, примечание 1 к табл.11 (Ценообразующий)</t>
  </si>
  <si>
    <t>100% = 20 руб.</t>
  </si>
  <si>
    <t>Отбор проб</t>
  </si>
  <si>
    <t>Отбор точечных проб для анализа на загрязненность по химическим показателям:почвы</t>
  </si>
  <si>
    <t>Инженерно-геологические и инженерно-экологические изыскания для строительства. 1999 г. Глава 16. Отбор проб Таблица 60. Цены на отбор проб воды, льда, снега, донных отложений, почво-грунтов, воздуха почвенного (грунтового) и приземной атмосферы для анализов на загрязненность по химическим и бактериологическим (микробиологическим и гидробиологическим) показателям. п.7
A=6.9 руб; 
Количество = 26 (1 проба)</t>
  </si>
  <si>
    <t>Полный комплекс работ
(100%):
A * Количество * Ктек * K1
6.9 руб * 26 * 1 * 0.9</t>
  </si>
  <si>
    <t>Стоимость отбора объединенной пробы определяется умножением количества точечных проб, составляющих объединенную, на соответствующую цену с коэффициентом</t>
  </si>
  <si>
    <t>K1 = 0.9
Часть V, Глава 16, примечание 1 к таблице 60 (Ценообразующий)</t>
  </si>
  <si>
    <t>100% = 161 руб.</t>
  </si>
  <si>
    <t>Отбор точечных проб для анализа на загрязненность по химическим показателям:грунтов</t>
  </si>
  <si>
    <t>Полный комплекс работ
(100%):
A * Количество * Ктек
6.9 руб * 26 * 1</t>
  </si>
  <si>
    <t>100% = 179 руб.</t>
  </si>
  <si>
    <t>Отбор проб для бактериологического анализа:почвы</t>
  </si>
  <si>
    <t>Инженерно-геологические и инженерно-экологические изыскания для строительства. 1999 г. Глава 16. Отбор проб Таблица 60. Цены на отбор проб воды, льда, снега, донных отложений, почво-грунтов, воздуха почвенного (грунтового) и приземной атмосферы для анализов на загрязненность по химическим и бактериологическим (микробиологическим и гидробиологическим) показателям. п.10
A=37.7 руб; 
Количество = 3 (1 проба)</t>
  </si>
  <si>
    <t>Полный комплекс работ
(100%):
A * Количество * Ктек
37.7 руб * 3 * 1</t>
  </si>
  <si>
    <t>100% = 113 руб.</t>
  </si>
  <si>
    <t>Отбор проб для гельминталогических анализов анализа:почвы</t>
  </si>
  <si>
    <t>Полный комплекс работ
(100%):
A * Количество * Ктек * K1
37.7 руб * 3 * 1 * 0.9</t>
  </si>
  <si>
    <t>Стоимость отбора пробы почво-грунтов на гельминтологический анализ определяется по цене с применением коэффициента</t>
  </si>
  <si>
    <t>K1 = 0.9
Часть V, Глава 16, примечание 4 к таблице 60 (Ценообразующий)</t>
  </si>
  <si>
    <t>100% = 102 руб.</t>
  </si>
  <si>
    <t>Отбор точечных проб для анализа на загрязненность по химическим показателям:воды с поверхности</t>
  </si>
  <si>
    <t>Инженерно-геологические и инженерно-экологические изыскания для строительства. 1999 г. Глава 16. Отбор проб Таблица 60. Цены на отбор проб воды, льда, снега, донных отложений, почво-грунтов, воздуха почвенного (грунтового) и приземной атмосферы для анализов на загрязненность по химическим и бактериологическим (микробиологическим и гидробиологическим) показателям. п.1
A=4.6 руб; 
Количество = 6 (1 проба)</t>
  </si>
  <si>
    <t>Полный комплекс работ
(100%):
A * Количество * Ктек * K1
4.6 руб * 6 * 1 * 0.5</t>
  </si>
  <si>
    <t>При отборе пробы без использования плавсредств к ценам применяется коэффициент</t>
  </si>
  <si>
    <t>K1 = 0.5
Часть V, Глава 16, примечание 3 к таблице 60 (Ценообразующий)</t>
  </si>
  <si>
    <t>100% = 14 руб.</t>
  </si>
  <si>
    <t>Отбор проб для бактериологического анализа:воды</t>
  </si>
  <si>
    <t>Инженерно-геологические и инженерно-экологические изыскания для строительства. 1999 г. Глава 16. Отбор проб Таблица 60. Цены на отбор проб воды, льда, снега, донных отложений, почво-грунтов, воздуха почвенного (грунтового) и приземной атмосферы для анализов на загрязненность по химическим и бактериологическим (микробиологическим и гидробиологическим) показателям. п.9
A=18.8 руб; 
Количество = 3 (1 проба)</t>
  </si>
  <si>
    <t>Полный комплекс работ
(100%):
A * Количество * Ктек * K1
18.8 руб * 3 * 1 * 0.85</t>
  </si>
  <si>
    <t>K1 = 0.85
Часть V, Глава 16, примечание 3 к таблице 60 (Ценообразующий)</t>
  </si>
  <si>
    <t>100% = 48 руб.</t>
  </si>
  <si>
    <t>Отбор проб для бактериологического анализа:донных отложений</t>
  </si>
  <si>
    <t>Инженерно-геологические и инженерно-экологические изыскания для строительства. 1999 г. Глава 16. Отбор проб Таблица 60. Цены на отбор проб воды, льда, снега, донных отложений, почво-грунтов, воздуха почвенного (грунтового) и приземной атмосферы для анализов на загрязненность по химическим и бактериологическим (микробиологическим и гидробиологическим) показателям. п.11
A=20.3 руб; 
Количество = 3 (1 проба)</t>
  </si>
  <si>
    <t>Полный комплекс работ
(100%):
A * Количество * Ктек * K1
20.3 руб * 3 * 1 * 0.85</t>
  </si>
  <si>
    <t>100% = 52 руб.</t>
  </si>
  <si>
    <t>Отбор точечных проб для анализа на загрязненность по химическим показателям:донных отложений</t>
  </si>
  <si>
    <t>Инженерно-геологические и инженерно-экологические изыскания для строительства. 1999 г. Глава 16. Отбор проб Таблица 60. Цены на отбор проб воды, льда, снега, донных отложений, почво-грунтов, воздуха почвенного (грунтового) и приземной атмосферы для анализов на загрязненность по химическим и бактериологическим (микробиологическим и гидробиологическим) показателям. п.5
A=6.1 руб; 
Количество = 3 (1 проба)</t>
  </si>
  <si>
    <t>Полный комплекс работ
(100%):
A * Количество * Ктек * K1
6.1 руб * 3 * 1 * 0.5</t>
  </si>
  <si>
    <t>100% = 9 руб.</t>
  </si>
  <si>
    <t>Отбор точечных проб для гильменталогического анализа :донных отложений</t>
  </si>
  <si>
    <t>Отбор точечных проб для анализа на загрязненность по агрохимическим показателям:почво-грунтов (методами конверта, по диагонали и т.п.)</t>
  </si>
  <si>
    <t>Инженерно-геологические и инженерно-экологические изыскания для строительства. 1999 г. Глава 16. Отбор проб Таблица 60. Цены на отбор проб воды, льда, снега, донных отложений, почво-грунтов, воздуха почвенного (грунтового) и приземной атмосферы для анализов на загрязненность по химическим и бактериологическим (микробиологическим и гидробиологическим) показателям. п.7
A=6.9 руб; 
Количество = 9 (1 проба)</t>
  </si>
  <si>
    <t>Полный комплекс работ
(100%):
A * Количество * Ктек * K1
6.9 руб * 9 * 1 * 0.9</t>
  </si>
  <si>
    <t>100% = 56 руб.</t>
  </si>
  <si>
    <t>Отбор точечных проб для анализа на загрязненность по радиологическим показателям:почво-грунтов (методами конверта, по диагонали и т.п.)</t>
  </si>
  <si>
    <t>Определение фонового уровня загрязнения атмосферного воздуха</t>
  </si>
  <si>
    <t>Исследование  атмосферного воздуха  для определение неустойчивых  химических компонентов (взвешенные вещества, диоксид серы, оксид углерода, диоксид азота)</t>
  </si>
  <si>
    <t>Инженерно-геологические и инженерно-экологические изыскания для строительства. 1999 г. Глава 16. Отбор проб Таблица 61. Цены на определение на месте отбора пробы отдельных неустойчивых химических компонентов в воде (концентрация водородных ионов рН, окислительно-восстановительный потенциал Еh, двуокиси углерода, свободного кислорода), а также метана и СО2 в грунтовом воздухе и приземной атмосфере. п.1
A=29 руб; 
Количество = 4 (1 проба)</t>
  </si>
  <si>
    <t>Полный комплекс работ
(100%):
A * Количество * Ктек
29 руб * 4 * 1</t>
  </si>
  <si>
    <t>100% = 116 руб.</t>
  </si>
  <si>
    <t>Коэф - т 0.85 от п.1.17
1 181 руб * 0.85</t>
  </si>
  <si>
    <t>Санитарно-гигиенические показатели:</t>
  </si>
  <si>
    <t>Определения химического состава грунтов (почв). Приготовление солянокислой вытяжки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</si>
  <si>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70. Цены на единичные определения химического состава грунтов (почв). п.84
A=8.5 руб; 
Количество = 26 (1 образец)</t>
  </si>
  <si>
    <t>100% = 221 руб.</t>
  </si>
  <si>
    <t>Определения химического состава грунтов (почв). Водородный показатель рН водной или солевой вытяжки электрометрическим методом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</si>
  <si>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70. Цены на единичные определения химического состава грунтов (почв). п.14
A=2 руб; 
Количество = 26 (1 образец)</t>
  </si>
  <si>
    <t>Полный комплекс работ
(100%):
A * Количество * Ктек
2 руб * 26 * 1</t>
  </si>
  <si>
    <t>Определения химического состава грунтов (почв). Определение нефтяных углеводородов хроматографическим методом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</si>
  <si>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70. Цены на единичные определения химического состава грунтов (почв). п.63
A=19.7 руб; 
Количество = 26 (1 образец)</t>
  </si>
  <si>
    <t>Полный комплекс работ
(100%):
A * Количество * Ктек
19.7 руб * 26 * 1</t>
  </si>
  <si>
    <t>100% = 512 руб.</t>
  </si>
  <si>
    <t>Определения химического состава грунтов (почв). Определение солей тяжелых металлов без пробоподготовки методом атомной абсорбции (1 металл) / (свинец, мышьяк, никель, цинк, хром, медь, мышьяк, ртуть) 26 проб *8 мет.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</si>
  <si>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70. Цены на единичные определения химического состава грунтов (почв). п.57
A=7.8 руб; 
Количество = 208 (1 металл)</t>
  </si>
  <si>
    <t>Полный комплекс работ
(100%):
A * Количество * Ктек
7.8 руб * 208 * 1</t>
  </si>
  <si>
    <t>100% = 1622 руб.</t>
  </si>
  <si>
    <t>Определения химического состава грунтов (почв). Определение полициклических ароматических углеводородов (бенз(а)пирен) хроматографическим методом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</si>
  <si>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70. Цены на единичные определения химического состава грунтов (почв). п.66
A=95.8 руб; 
Количество = 26 (1 образец)</t>
  </si>
  <si>
    <t>Полный комплекс работ
(100%):
A * Количество * Ктек
95.8 руб * 26 * 1</t>
  </si>
  <si>
    <t>100% = 2491 руб.</t>
  </si>
  <si>
    <t>Определения химического состава грунтов (почв). Определение радионуклидов хроматомасс - спектрометрическим методом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</si>
  <si>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70. Цены на единичные определения химического состава грунтов (почв). п.69
A=147.4 руб; 
Количество = 3 (1 образец)</t>
  </si>
  <si>
    <t>Полный комплекс работ
(100%):
A * Количество * Ктек
147.4 руб * 3 * 1</t>
  </si>
  <si>
    <t>100% = 442 руб.</t>
  </si>
  <si>
    <t>Агрохимические показатели:</t>
  </si>
  <si>
    <t>Определения химического состава грунтов (почв). Отбор корешков для определения гумуса и азота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</si>
  <si>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70. Цены на единичные определения химического состава грунтов (почв). п.72
A=4.5 руб; 
Количество = 3 (1 образец)</t>
  </si>
  <si>
    <t>Полный комплекс работ
(100%):
A * Количество * Ктек
4.5 руб * 3 * 1</t>
  </si>
  <si>
    <t>Определения химического состава грунтов (почв). Гумус по Тюрингу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</si>
  <si>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70. Цены на единичные определения химического состава грунтов (почв). п.22
A=7.6 руб; 
Количество = 3 (1 образец)</t>
  </si>
  <si>
    <t>Полный комплекс работ
(100%):
A * Количество * Ктек
7.6 руб * 3 * 1</t>
  </si>
  <si>
    <t>100% = 23 руб.</t>
  </si>
  <si>
    <t>Определение физико-механических свойств глинистых грунтов. Гранулометрический анализ ситовым методом и методом пипетки с разделением на фракции от 10 до 0,001 мм</t>
  </si>
  <si>
    <t>Инженерно-геологические и инженерно-экологические изыскания для строительства. 1999 г. Глава 17. Единичные определения и комплексные исследования (испытания) физико-механических свойств грунтов (пород) Таблица 62. Цены на единичные определения физико-механических свойств глинистых грунтов. п.21
A=19.6 руб; 
Количество = 3 (1 образец)</t>
  </si>
  <si>
    <t>Полный комплекс работ
(100%):
A * Количество * Ктек
19.6 руб * 3 * 1</t>
  </si>
  <si>
    <t>100% = 59 руб.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</si>
  <si>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70. Цены на единичные определения химического состава грунтов (почв). п.83
A=3.8 руб; 
Количество = 6 (1 образец)</t>
  </si>
  <si>
    <t>Полный комплекс работ
(100%):
A * Количество * Ктек
3.8 руб * 6 * 1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</si>
  <si>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70. Цены на единичные определения химического состава грунтов (почв). п.14
A=2 руб; 
Количество = 3 (1 образец)</t>
  </si>
  <si>
    <t>Полный комплекс работ
(100%):
A * Количество * Ктек
2 руб * 3 * 1</t>
  </si>
  <si>
    <t>100% = 6 руб.</t>
  </si>
  <si>
    <t>Определения химического состава грунтов (почв). Натрий обменный по Антипову-Каратаеву и Мамаевой(3 проб) и  массовой доли натрия (3)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</si>
  <si>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70. Цены на единичные определения химического состава грунтов (почв). п.31
A=8.9 руб; 
Количество = 6 (1 образец)</t>
  </si>
  <si>
    <t>Полный комплекс работ
(100%):
A * Количество * Ктек
8.9 руб * 6 * 1</t>
  </si>
  <si>
    <t>100% = 53 руб.</t>
  </si>
  <si>
    <t>Определения химического состава грунтов (почв). Кальций и магний в солянокислой вытяжке по Гедройцу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</si>
  <si>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70. Цены на единичные определения химического состава грунтов (почв). п.50
A=13.8 руб; 
Количество = 3 (1 образец)</t>
  </si>
  <si>
    <t>Полный комплекс работ
(100%):
A * Количество * Ктек
13.8 руб * 3 * 1</t>
  </si>
  <si>
    <t>100% = 41 руб.</t>
  </si>
  <si>
    <t>Вода водотоков</t>
  </si>
  <si>
    <t>Комплексные исследования химического состава. Полный анализ воды. Физические свойства (запах, цветность, взвешенные вещества, вкус), водородный показатель -рН, углекислота свободная, гидрокарбонаты и карбонаты, хлориды, сульфаты, нитриты, нитраты, аммоний, гидрокарбонат и карбонат-ионы, кальций, магний, калий, натрий, железо закисное, железо окисное, кремниевая кислота, сухой остаток, окисляемость, виды жестокости (расчетом)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</si>
  <si>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73. Цены на комплексные исследования химического состава воды. п.1
A=96.2 руб; 
Количество = 6 (1 проба)</t>
  </si>
  <si>
    <t>Полный комплекс работ
(100%):
A * Количество * Ктек
96.2 руб * 6 * 1</t>
  </si>
  <si>
    <t>100% = 577 руб.</t>
  </si>
  <si>
    <t>Определения химического состава воды. Свинец. Колориметрический метод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</si>
  <si>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72. Цены на единичные определения химического состава воды. п.49
A=12.2 руб; 
Количество = 6 (1 проба)</t>
  </si>
  <si>
    <t>Полный комплекс работ
(100%):
A * Количество * Ктек
12.2 руб * 6 * 1</t>
  </si>
  <si>
    <t>100% = 73 руб.</t>
  </si>
  <si>
    <t>Определения химического состава воды. Медь. Пламенный атомно-абсорбционный метод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</si>
  <si>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72. Цены на единичные определения химического состава воды. п.32
A=23.5 руб; 
Количество = 6 (1 проба)</t>
  </si>
  <si>
    <t>Полный комплекс работ
(100%):
A * Количество * Ктек
23.5 руб * 6 * 1</t>
  </si>
  <si>
    <t>100% = 141 руб.</t>
  </si>
  <si>
    <t>Определения химического состава воды. Никель. Пламенный атомно-абсорбционный метод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</si>
  <si>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72. Цены на единичные определения химического состава воды. п.40
A=21.5 руб; 
Количество = 6 (1 проба)</t>
  </si>
  <si>
    <t>Полный комплекс работ
(100%):
A * Количество * Ктек
21.5 руб * 6 * 1</t>
  </si>
  <si>
    <t>100% = 129 руб.</t>
  </si>
  <si>
    <t>Определения химического состава воды. Цинк. Колориметрический метод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</si>
  <si>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72. Цены на единичные определения химического состава воды. п.75
A=8.1 руб; 
Количество = 6 (1 проба)</t>
  </si>
  <si>
    <t>Полный комплекс работ
(100%):
A * Количество * Ктек
8.1 руб * 6 * 1</t>
  </si>
  <si>
    <t>100% = 49 руб.</t>
  </si>
  <si>
    <t>Определения химического состава воды. Кадмий. Колориметрический метод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</si>
  <si>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72. Цены на единичные определения химического состава воды. п.15
A=6.1 руб; 
Количество = 6 (1 проба)</t>
  </si>
  <si>
    <t>Полный комплекс работ
(100%):
A * Количество * Ктек
6.1 руб * 6 * 1</t>
  </si>
  <si>
    <t>100% = 37 руб.</t>
  </si>
  <si>
    <t>Определения химического состава воды. Мышьяк. Колориметрический метод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</si>
  <si>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72. Цены на единичные определения химического состава воды. п.35
A=9.6 руб; 
Количество = 6 (1 проба)</t>
  </si>
  <si>
    <t>Полный комплекс работ
(100%):
A * Количество * Ктек
9.6 руб * 6 * 1</t>
  </si>
  <si>
    <t>100% = 58 руб.</t>
  </si>
  <si>
    <t>Определения химического состава воды. Ртуть. Колориметрический метод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</si>
  <si>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72. Цены на единичные определения химического состава воды. п.48
A=8.7 руб; 
Количество = 6 (1 проба)</t>
  </si>
  <si>
    <t>Полный комплекс работ
(100%):
A * Количество * Ктек
8.7 руб * 6 * 1</t>
  </si>
  <si>
    <t>Определения химического состава воды. Нефтепродукты. Метод тонкослойной хроматографии с УФ спектральным окончанием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</si>
  <si>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72. Цены на единичные определения химического состава воды. п.38
A=14 руб; 
Количество = 6 (1 проба)</t>
  </si>
  <si>
    <t>Полный комплекс работ
(100%):
A * Количество * Ктек
14 руб * 6 * 1</t>
  </si>
  <si>
    <t>100% = 84 руб.</t>
  </si>
  <si>
    <t>Определения химического состава воды. Фенолы. Фотометрический метод с пирамидоном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</si>
  <si>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72. Цены на единичные определения химического состава воды. п.66
A=11.3 руб; 
Количество = 6 (1 проба)</t>
  </si>
  <si>
    <t>Полный комплекс работ
(100%):
A * Количество * Ктек
11.3 руб * 6 * 1</t>
  </si>
  <si>
    <t>100% = 68 руб.</t>
  </si>
  <si>
    <t>Определения химического состава воды. Окисляемость пермангантная. Объемный метод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</si>
  <si>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72. Цены на единичные определения химического состава воды. п.43
A=5.6 руб; 
Количество = 6 (1 проба)</t>
  </si>
  <si>
    <t>Полный комплекс работ
(100%):
A * Количество * Ктек
5.6 руб * 6 * 1</t>
  </si>
  <si>
    <t>100% = 34 руб.</t>
  </si>
  <si>
    <t>Определения химического состава воды. Б.П.К.-5, биологическое потребление кислорода. Трехкратное определение кислорода, аэрация, фильтрование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</si>
  <si>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72. Цены на единичные определения химического состава воды. п.78
A=10.3 руб; 
Количество = 6 (1 проба)</t>
  </si>
  <si>
    <t>Полный комплекс работ
(100%):
A * Количество * Ктек
10.3 руб * 6 * 1</t>
  </si>
  <si>
    <t>100% = 62 руб.</t>
  </si>
  <si>
    <t>Определения химического состава воды. Химическое потребление кислорода. Окисление бихроматное с катализатором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</si>
  <si>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72. Цены на единичные определения химического состава воды. п.79
A=8.8 руб; 
Количество = 6 (1 проба)</t>
  </si>
  <si>
    <t>Полный комплекс работ
(100%):
A * Количество * Ктек
8.8 руб * 6 * 1</t>
  </si>
  <si>
    <t>Донные отложения водотоков</t>
  </si>
  <si>
    <t>2.27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</si>
  <si>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72. Цены на единичные определения химического состава воды. п.49
A=12.2 руб; 
Количество = 3 (1 проба)</t>
  </si>
  <si>
    <t>Полный комплекс работ
(100%):
A * Количество * Ктек
12.2 руб * 3 * 1</t>
  </si>
  <si>
    <t>2.28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</si>
  <si>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72. Цены на единичные определения химического состава воды. п.32
A=23.5 руб; 
Количество = 3 (1 проба)</t>
  </si>
  <si>
    <t>Полный комплекс работ
(100%):
A * Количество * Ктек
23.5 руб * 3 * 1</t>
  </si>
  <si>
    <t>100% = 71 руб.</t>
  </si>
  <si>
    <t>2.29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</si>
  <si>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72. Цены на единичные определения химического состава воды. п.40
A=21.5 руб; 
Количество = 3 (1 проба)</t>
  </si>
  <si>
    <t>Полный комплекс работ
(100%):
A * Количество * Ктек
21.5 руб * 3 * 1</t>
  </si>
  <si>
    <t>100% = 65 руб.</t>
  </si>
  <si>
    <t>2.30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</si>
  <si>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72. Цены на единичные определения химического состава воды. п.75
A=8.1 руб; 
Количество = 3 (1 проба)</t>
  </si>
  <si>
    <t>Полный комплекс работ
(100%):
A * Количество * Ктек
8.1 руб * 3 * 1</t>
  </si>
  <si>
    <t>100% = 24 руб.</t>
  </si>
  <si>
    <t>2.31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</si>
  <si>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72. Цены на единичные определения химического состава воды. п.15
A=6.1 руб; 
Количество = 3 (1 проба)</t>
  </si>
  <si>
    <t>Полный комплекс работ
(100%):
A * Количество * Ктек
6.1 руб * 3 * 1</t>
  </si>
  <si>
    <t>100% = 18 руб.</t>
  </si>
  <si>
    <t>2.32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</si>
  <si>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72. Цены на единичные определения химического состава воды. п.35
A=9.6 руб; 
Количество = 3 (1 проба)</t>
  </si>
  <si>
    <t>Полный комплекс работ
(100%):
A * Количество * Ктек
9.6 руб * 3 * 1</t>
  </si>
  <si>
    <t>100% = 29 руб.</t>
  </si>
  <si>
    <t>2.33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</si>
  <si>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72. Цены на единичные определения химического состава воды. п.48
A=8.7 руб; 
Количество = 3 (1 проба)</t>
  </si>
  <si>
    <t>Полный комплекс работ
(100%):
A * Количество * Ктек
8.7 руб * 3 * 1</t>
  </si>
  <si>
    <t>100% = 26 руб.</t>
  </si>
  <si>
    <t>2.34</t>
  </si>
  <si>
    <t>Определения химического состава воды. Концентрация водородных ионов - рН. Электриметрический метод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</si>
  <si>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72. Цены на единичные определения химического состава воды. п.25
A=2 руб; 
Количество = 3 (1 проба)</t>
  </si>
  <si>
    <t>2.35</t>
  </si>
  <si>
    <t>2.36</t>
  </si>
  <si>
    <t>Инженерно-геологические и инженерно-экологические изыскания для строительства. 1999 г. Глава 1. Инженерно-геологическое, инженерно-гидрогеологическое и инженерно-экологическое рекогносцировочное (маршрутное) обследование Таблица 9. Рекогносцировочное обследование п.1
A=18.5 руб; 
Количество = 5.917 (1 км маршрута)</t>
  </si>
  <si>
    <t>Полный комплекс работ
(100%):
A * Количество * Ктек * K1
18.5 руб * 5.917 * 1 * 1.1</t>
  </si>
  <si>
    <t>100% = 120 руб.</t>
  </si>
  <si>
    <t>Инженерно-геологические и инженерно-экологические изыскания для строительства. 1999 г. Глава 1. Инженерно-геологическое, инженерно-гидрогеологическое и инженерно-экологическое рекогносцировочное (маршрутное) обследование Таблица 9. Рекогносцировочное обследование п.4
A=1.69 руб; 
Количество = 5.917 (1 км маршрута)</t>
  </si>
  <si>
    <t>Полный комплекс работ
(100%):
A * Количество * Ктек
1.69 руб * 5.917 * 1</t>
  </si>
  <si>
    <t>100% = 10 руб.</t>
  </si>
  <si>
    <t>Инженерно-геологические и инженерно-экологические изыскания для строительства. 1999 г. Глава 2. Маршрутные наблюдения, выполняемые при составлении инженерно-геологических, инженерно-гидрогеологических и инженерно-экологических карт масштабов 1:50000-1:500 Таблица 10. Наблюдения при передвижении по маршруту при составлении карты: инженерно-геологической, гидрогеологической, почвенной, инженерно-экологической п.4
A=1.6 руб; 
Количество = 5.917 (1 км маршрута)</t>
  </si>
  <si>
    <t>Полный комплекс работ
(100%):
A * Количество * Ктек * K1 * K2
1.6 руб * 5.917 * 1 * 0.6 * 1.3</t>
  </si>
  <si>
    <t>100% = 7 руб.</t>
  </si>
  <si>
    <t>Инженерно-геологические и инженерно-экологические изыскания для строительства. 1999 г. Глава 2. Маршрутные наблюдения, выполняемые при составлении инженерно-геологических, инженерно-гидрогеологических и инженерно-экологических карт масштабов 1:50000-1:500 Таблица 11. Описание точек наблюдений при составлении инженерно-геологических (гидрогеологических) и инженерно-экологических карт п.2
A=7.5 руб; 
Количество = 7 (1 точка)</t>
  </si>
  <si>
    <t>Полный комплекс работ
(100%):
A * Количество * Ктек * K1 * K2
7.5 руб * 7 * 1 * 0.6 * 0.4</t>
  </si>
  <si>
    <t>100% = 13 руб.</t>
  </si>
  <si>
    <t>Камеральная обработка химических и бактериологических анализов на загрязненность почво-грунтов, воды, льда, снега и донных отложений при инженерно-экологических изысканиях</t>
  </si>
  <si>
    <t>Справочник базовых цен на инженерно-геологические и инженерно-экологические изыскания для строительства. 1999 г. Таблица 86. Цены на камеральную обработку данных лабораторных исследований, п.6
Количество = 1</t>
  </si>
  <si>
    <t>20% от п.2.1-2.8, 2.10-2.34
Сумма * Количество
1439 руб * 1</t>
  </si>
  <si>
    <t>Цены на составление программы производства работ. Средняя глубина исследования до 5 мИсследуемая площадь до 1 км2</t>
  </si>
  <si>
    <t>Инженерно-геологические и инженерно-экологические. 1999 г. Глава 20. Предполевые камеральные работы Таблица 81. Цены на составление программы производства работ. п.1
A=200 руб; 
Количество = 1 (1 программа)</t>
  </si>
  <si>
    <t>100% = 200 руб.</t>
  </si>
  <si>
    <t>Составление технического отчета (заключения) о результатах выполненных работ. Стоимость камеральных работ до 5 тыс.руб. Категория сложности инженерно-геологических условий II</t>
  </si>
  <si>
    <t>Справочник базовых цен на инженерно-геологические и инженерно-экологические изыскания для строительства. 1999 г. Таблица 87. Составление технического отчета (заключения) о результатах выполненных работ. п.1
Количество = 1</t>
  </si>
  <si>
    <t>21% от п.3.1-3.6
Сумма * Количество
376 руб * 1</t>
  </si>
  <si>
    <t>Производство специальных видов анализов и исследований, выполняемых специализированными организациями, имеющими  лицензии для проведения таких работ</t>
  </si>
  <si>
    <t>Подготовка отчета  "Рыбохозяйственная характеристика водных объектов, затрагиваемая  при реализации проекта"</t>
  </si>
  <si>
    <t>Технический отчет по результатам инженерно-экологических изысканий Т. 5,  Приложение З, счет на сумму 65596,22 (без НДС)</t>
  </si>
  <si>
    <t>65596,22/61,09</t>
  </si>
  <si>
    <t>Подготовка технического отчета по геобатаническим, эколого-фаунистическим исследованиям ФГБУ "Национальный парк "Приэльбрусье".</t>
  </si>
  <si>
    <t>Технический отчет по результатам инженерно-экологических изысканий Т. 5,  Приложение Ж, счет на сумму 65596,22 (без НДС)</t>
  </si>
  <si>
    <t>125000/61,09</t>
  </si>
  <si>
    <t>Итого Производство специальных видов анализов и исследований, выполняемых специализированными организациями, имеющими  лицензии для проведения таких работ:</t>
  </si>
  <si>
    <t>Всего Производство специальных видов анализов и исследований, выполняемых специализированными организациями, имеющими  лицензии для проведения таких работ:</t>
  </si>
  <si>
    <t>Коэф - т 0.2 от п.1.19
1 004 руб * 0.2</t>
  </si>
  <si>
    <t>8.75% от п.1.19, 5.1
(1 004 + 201) руб * 8.75 / 100</t>
  </si>
  <si>
    <t>19.6% от п.1.19, 5.1 - 5.2
(1 004 + 306) руб * 19.6 / 100</t>
  </si>
  <si>
    <t>Расходы по организации и ликвидации работ с учетом коэффициента для изысканий со сметной стоимостью до 2 тыс. руб (К=2.5)</t>
  </si>
  <si>
    <t>Коэф - т 2.5 и 6% от п.1.19, 5.1 - 5.2
(1 004 + 306) руб * 2.5 * 1 * 6 / 100</t>
  </si>
  <si>
    <t>В текущем уровне цен на 1 кв. 2023</t>
  </si>
  <si>
    <t>Коэф - т 61.09 от п.6
14 357 руб * 61.09</t>
  </si>
  <si>
    <t xml:space="preserve">В базовом  уровне цен на 01.01.2000 </t>
  </si>
  <si>
    <t>Разделить на коэф - т 5.36 от п.7
873 648 руб / 5.36</t>
  </si>
  <si>
    <t>Разделить на коэф - т 1.266 от п.8
162 994 руб / 1.266</t>
  </si>
  <si>
    <t xml:space="preserve">Наименование проектной организации:     </t>
  </si>
  <si>
    <t>Всесезонный туристско-рекреационный комплекс "Эльбрус", Кабардино-Балкарская Республика. «Благоустройство туристической деревни поляна Азау и прилегающей территории»</t>
  </si>
  <si>
    <t>«Всесезонный туристско-рекреационный комплекс «Эльбрус», Кабардино-Балкарская Республика. «Благоустройство туристической деревни поляна Азау и прилегающей территории»</t>
  </si>
  <si>
    <t xml:space="preserve">более 8 млн </t>
  </si>
  <si>
    <t xml:space="preserve">Методика определения стоимости создания произведений изобразительного искусства на территории Российской Федерации. 2008 г. (МДС 81-42.2008) Таблица 01-10. Стоимость создания объемных и объемно-пространственных композиций в материале, п.01-10-01
Кол-во ед. из. в объекте =6
Кол-во объектов =1
</t>
  </si>
  <si>
    <t>К3=2 = (1+5*0,2)
Методика, 707/пр. Глава IX, п.152</t>
  </si>
  <si>
    <t>Форма 2п</t>
  </si>
  <si>
    <t>Расчет стоимости, руб.</t>
  </si>
  <si>
    <t>Стоимость, 
руб.</t>
  </si>
  <si>
    <t>Раздел 1. Полевые работы</t>
  </si>
  <si>
    <t>Инженерно-геологическая, гидрогеологическая рекогносцировка при проходимости хорошей: 3 категория сложности, полевые работы</t>
  </si>
  <si>
    <t>СБЦ103-9-1-3-1</t>
  </si>
  <si>
    <t>(28,3*15)*1,2*1,4</t>
  </si>
  <si>
    <t>К2=1,2 ОУ п.8а; При выполнении изысканий в горных и высокогорных районах с абсолютными высотами поверхности участка над уровнем моря: св. 2000 до 3000 м;</t>
  </si>
  <si>
    <t>К3=1,4 ОУ п.8г При выполнении полевых изыскательских работ в неблагоприятный период года: при продолжительности неблагоприятного периода 8-9,5 мес.</t>
  </si>
  <si>
    <t>Плановая и высотная привязка при расстоянии между геологическими выработками или точками до 50м: категория сложности 2</t>
  </si>
  <si>
    <t>1 выработка (точка)</t>
  </si>
  <si>
    <t>СБЦ103-93-1-2</t>
  </si>
  <si>
    <t>(8,5*37)*1,2*1,4</t>
  </si>
  <si>
    <t>Плановая и высотная привязка при расстоянии между геологическими выработками или точками св. 200 до 350м: категория сложности 2</t>
  </si>
  <si>
    <t>СБЦ103-93-4-2</t>
  </si>
  <si>
    <t>(18,4*42)*1,2*1,4</t>
  </si>
  <si>
    <t>1 300,00</t>
  </si>
  <si>
    <t>Колонковое бурение скважины диаметром до 160мм, глубиной до 15м: категория породы 9</t>
  </si>
  <si>
    <t>СБЦ103-17-1-9</t>
  </si>
  <si>
    <t>(99,7*640)*1,2*1,4</t>
  </si>
  <si>
    <t>107 200,00</t>
  </si>
  <si>
    <t>Гидрогеологические наблюдения при бурении скважины диаметром до 160мм глубиной до 15м</t>
  </si>
  <si>
    <t>СБЦ103-18-1-1</t>
  </si>
  <si>
    <t>(1,6*50)*0,6*1,2*1,4</t>
  </si>
  <si>
    <t>К3=0,6 Ч.II,Гл.4,п.8; при выполнении гидрогеологических наблюдений без «тартания»;</t>
  </si>
  <si>
    <t>К4=1,4 ОУ п.8г При выполнении полевых изыскательских работ в неблагоприятный период года: при продолжительности неблагоприятного периода 8-9,5 мес.</t>
  </si>
  <si>
    <t>Крепление скважины при бурении диаметром до 160мм глубиной до 15м</t>
  </si>
  <si>
    <t>СБЦ103-18-4-1</t>
  </si>
  <si>
    <t>(2,1*420)*1,2*1,4</t>
  </si>
  <si>
    <t>1 480,00</t>
  </si>
  <si>
    <t>Отбор монолитов из горных выработок и котлованов (несвязные грунты) с глубины до 10м</t>
  </si>
  <si>
    <t>1 монолит</t>
  </si>
  <si>
    <t>СБЦ103-57-1-3</t>
  </si>
  <si>
    <t>(37,4*10)*1,2*1,4</t>
  </si>
  <si>
    <t>опыт</t>
  </si>
  <si>
    <t>СБЦ103-59-8</t>
  </si>
  <si>
    <t>(60,2*12)*1,2*1,4</t>
  </si>
  <si>
    <t>1 210,00</t>
  </si>
  <si>
    <t>Отбор валовых проб из массива в открытых горных выработках</t>
  </si>
  <si>
    <t>т</t>
  </si>
  <si>
    <t>СБЦ103-59-1</t>
  </si>
  <si>
    <t>(17*1,2)*1,2*1,4</t>
  </si>
  <si>
    <t>Обработка и грохочение валовых проб валунно-галечных и гравийно-галечных отложений (отборка валунов, квартование, сокращение, грохочение, рассев пробы и взвешивание по фракциям, составление гранулометрического описания по фракциям)</t>
  </si>
  <si>
    <t>СБЦ103-59-5</t>
  </si>
  <si>
    <t>(160,2*1,2)*1,2*1,4</t>
  </si>
  <si>
    <t>Итоги по разделу 1 Полевые работы:</t>
  </si>
  <si>
    <t xml:space="preserve">   Итого Поз. 1, 3-5, 7-8, 10-13</t>
  </si>
  <si>
    <t>113 490,00</t>
  </si>
  <si>
    <t xml:space="preserve">   Всего с учетом "Расходы по внутреннему транспорту при расстоянии от базы до участка изысканий 10-15 км, при сметной стоимости полевых изыскательских работ св. 50 тыс. руб. К=1,0875"</t>
  </si>
  <si>
    <t>123 420,00</t>
  </si>
  <si>
    <t xml:space="preserve">   Всего с учетом "Расходы по внешнему транспорту при расстоянии проезда в одном направлении 1000-2000 км, при экспедиционных условиях продолжительностью до 2 мес. К=1,322"</t>
  </si>
  <si>
    <t>163 160,00</t>
  </si>
  <si>
    <t xml:space="preserve">   Всего с учетом "При сметной стоимости до 2 тыс. руб. или при  изысканиях, выполняемых в районах Крайнего Севера и приравненных к ним местностях, а также в малонаселенных (необжитых) районах (высокогорных, пустынных, таежных и тундровых) К=2,5"</t>
  </si>
  <si>
    <t>407 900,00</t>
  </si>
  <si>
    <t xml:space="preserve">   Итого по разделу 1 Полевые работы</t>
  </si>
  <si>
    <t>Раздел 2. Лабораторные работы</t>
  </si>
  <si>
    <t>Сокращенный комплекс определений физических свойств скальных и полускальных грунтов</t>
  </si>
  <si>
    <t>1 образец</t>
  </si>
  <si>
    <t xml:space="preserve">СБЦ103-68-1 </t>
  </si>
  <si>
    <t>48,9*10</t>
  </si>
  <si>
    <t>Определение предела прочности при сжатии в естественном, или воздушно-сухом, или водонасыщенном состоянии скального и полускального грунта</t>
  </si>
  <si>
    <t xml:space="preserve">СБЦ103-67-9 </t>
  </si>
  <si>
    <t>1,8*20</t>
  </si>
  <si>
    <t>Определение влажности песчаных грунтов</t>
  </si>
  <si>
    <t xml:space="preserve">СБЦ103-64-1 </t>
  </si>
  <si>
    <t>1,9*70</t>
  </si>
  <si>
    <t>Определение плотности песчаных грунтов</t>
  </si>
  <si>
    <t xml:space="preserve">СБЦ103-64-3 </t>
  </si>
  <si>
    <t>2,9*70</t>
  </si>
  <si>
    <t>Гранулометрический анализ песчаных грунтов ситовым методом с разделением на фракции от 10 до 0.1мм без кипячения и промывки, (навеска свыше 1кг)</t>
  </si>
  <si>
    <t xml:space="preserve">СБЦ103-64-11 </t>
  </si>
  <si>
    <t>13,7*70</t>
  </si>
  <si>
    <t>Исследование консистенции при нарушенной структуре глинистых грунтов</t>
  </si>
  <si>
    <t xml:space="preserve">СБЦ103-63-3 </t>
  </si>
  <si>
    <t>18,2*40</t>
  </si>
  <si>
    <t>Определение истираемости щебня (гравия) в полочном барабане</t>
  </si>
  <si>
    <t>1 проба</t>
  </si>
  <si>
    <t xml:space="preserve">СБЦ103-76-30 </t>
  </si>
  <si>
    <t>11,3*6</t>
  </si>
  <si>
    <t>Единичные определения химического состава грунтов (почв): приготовление водной вытяжки</t>
  </si>
  <si>
    <t xml:space="preserve">СБЦ103-70-83 </t>
  </si>
  <si>
    <t>3,8*6</t>
  </si>
  <si>
    <t>Анализ водной вытяжки с определением по разности суммы натрия и калия</t>
  </si>
  <si>
    <t xml:space="preserve">СБЦ103-71-1 </t>
  </si>
  <si>
    <t>48,8*6</t>
  </si>
  <si>
    <t>Определение коррозионной активности грунтов по отношению к стали</t>
  </si>
  <si>
    <t xml:space="preserve">СБЦ103-75-4 </t>
  </si>
  <si>
    <t>18,2*6</t>
  </si>
  <si>
    <t>Итого по разделу 2 Лабораторные работы</t>
  </si>
  <si>
    <t xml:space="preserve">   Итого Поз. 14, 2, 6, 9, 15-20</t>
  </si>
  <si>
    <t>3 040,00</t>
  </si>
  <si>
    <t xml:space="preserve">   Итого по разделу 2 Лабораторные работы</t>
  </si>
  <si>
    <t>Раздел 3. Камеральные работы</t>
  </si>
  <si>
    <t>Инженерно-геологическая, гидрогеологическая рекогносцировка при проходимости хорошей: 3 категория сложности, камеральные работы</t>
  </si>
  <si>
    <t xml:space="preserve">СБЦ103-9-1-3-2 </t>
  </si>
  <si>
    <t>23,4*15</t>
  </si>
  <si>
    <t>Сбор, изучение и систематизация материалов изысканий прошлых лет по горным выработкам: 3 категория сложности инженерно-геологических условий</t>
  </si>
  <si>
    <t>1м выработки</t>
  </si>
  <si>
    <t xml:space="preserve">СБЦ103-78-1-3 </t>
  </si>
  <si>
    <t>10,8*300</t>
  </si>
  <si>
    <t>3 240,00</t>
  </si>
  <si>
    <t>Сбор, изучение и систематизация материалов изысканий прошлых лет по цифровым показателям: 3 категория сложности инженерно-геологических условий</t>
  </si>
  <si>
    <t>10 цифровых значений</t>
  </si>
  <si>
    <t xml:space="preserve">СБЦ103-78-2-3 </t>
  </si>
  <si>
    <t>4,3*200</t>
  </si>
  <si>
    <t>Камеральная обработка материалов буровых и горнопроходческих работ: категория сложности инженерно-геологических условий 3</t>
  </si>
  <si>
    <t xml:space="preserve">СБЦ103-82-1-3 </t>
  </si>
  <si>
    <t>9,4*590</t>
  </si>
  <si>
    <t>5 550,00</t>
  </si>
  <si>
    <t>Камеральная обработка материалов буровых и горнопроходческих работ с гидрогеологическими наблюдениями: категория сложности инженерно-геологических условий 3</t>
  </si>
  <si>
    <t xml:space="preserve">СБЦ103-82-2-3 </t>
  </si>
  <si>
    <t>10,7*50</t>
  </si>
  <si>
    <t>Камеральная обработка комплексных исследований и отдельных определений физико-механических свойств грунтов (пород): скальных и полускальных - 10%</t>
  </si>
  <si>
    <t>%</t>
  </si>
  <si>
    <t>СБЦ103-86-3</t>
  </si>
  <si>
    <t>(530)*0,1</t>
  </si>
  <si>
    <t>К2=0,1 Таб.86 Камеральная обработка комплексных исследований и отдельных определений физико-механических свойств грунтов (пород): скальных и полускальных  (к стоимости лабораторных работ)</t>
  </si>
  <si>
    <t>Камеральная обработка определения коррозионной активности грунтов и воды - 15% от стоимости лабораторных работ</t>
  </si>
  <si>
    <t>СБЦ103-86-8</t>
  </si>
  <si>
    <t>(420)*0,15</t>
  </si>
  <si>
    <t>К2=0,15 Таб.86 Камеральная обработка определения коррозионной активности грунтов и воды (к стоимости лабораторных работ)</t>
  </si>
  <si>
    <t>Камеральная обработка комплексных исследований и отдельных определений физико-механических свойств грунтов (пород): песчаных- 15% от стоимости лабораторных работ</t>
  </si>
  <si>
    <t>СБЦ103-86-2</t>
  </si>
  <si>
    <t>(1290)*0,15</t>
  </si>
  <si>
    <t>К2=0,15 Таб.86 Камеральная обработка комплексных исследований и отдельных определений физико-механических свойств грунтов (пород): песчаных (к стоимости лабораторных работ)</t>
  </si>
  <si>
    <t>Камеральная обработка комплексных исследований и отдельных определений: химического состава грунтов и почв - 12% от стоимости лабораторных работ</t>
  </si>
  <si>
    <t>СБЦ103-86-4</t>
  </si>
  <si>
    <t>(800)*0,12</t>
  </si>
  <si>
    <t>К2=0,12 Таб.86 Камеральная обработка химического состава грунтов и почвх (к стоимости лабораторных работ)</t>
  </si>
  <si>
    <t>Составление программы производства работ, средняя глубина исследования: 5-10м, исследуемая площадь до 1км2</t>
  </si>
  <si>
    <t>СБЦ103-81-2-1</t>
  </si>
  <si>
    <t>(500*1)*1,4</t>
  </si>
  <si>
    <t>К2=1,4 прим.1 для районов 3 категории сложности инженерно-геологических условий</t>
  </si>
  <si>
    <t>Составление технического отчета (заключения) о результатах выполненных работ,  категория сложности инженерно-геологических условий 3, при стоимости камеральных работ: до 5 тыс. руб. - 25%</t>
  </si>
  <si>
    <t xml:space="preserve">СБЦ103-87-1-3 </t>
  </si>
  <si>
    <t>Итого по разделу 3 Камеральные работы</t>
  </si>
  <si>
    <t xml:space="preserve">   Итого Поз. 21-29, 31, 30</t>
  </si>
  <si>
    <t>11 670,00</t>
  </si>
  <si>
    <t xml:space="preserve">   Итого по разделу 3 Камеральные работы</t>
  </si>
  <si>
    <t>Итоги по смете:</t>
  </si>
  <si>
    <t xml:space="preserve">   Инженерно-геологические и инженерно-экологические изыскания для строительства (1999)</t>
  </si>
  <si>
    <t>12 080,00</t>
  </si>
  <si>
    <t xml:space="preserve">      Итого Поз. 3-4, 11, 13</t>
  </si>
  <si>
    <t>3 360,00</t>
  </si>
  <si>
    <t xml:space="preserve">      Всего с учетом "Расходы по внутреннему транспорту при расстоянии от базы до участка изысканий 10-15 км, при сметной стоимости полевых изыскательских работ св. 50 тыс. руб. К=1,0875"</t>
  </si>
  <si>
    <t>3 650,00</t>
  </si>
  <si>
    <t xml:space="preserve">      Всего с учетом "Расходы по внешнему транспорту при расстоянии проезда в одном направлении 1000-2000 км, при экспедиционных условиях продолжительностью до 2 мес. К=1,322"</t>
  </si>
  <si>
    <t>4 830,00</t>
  </si>
  <si>
    <t xml:space="preserve">      Всего с учетом "При сметной стоимости до 2 тыс. руб. или при  изысканиях, выполняемых в районах Крайнего Севера и приравненных к ним местностях, а также в малонаселенных (необжитых) районах (высокогорных, пустынных, таежных и тундровых) К=2,5"</t>
  </si>
  <si>
    <t xml:space="preserve">   Инженерно-геологические и инженерно-экологические изыскания для строительства: Полевые работы (1999)</t>
  </si>
  <si>
    <t>395 850,00</t>
  </si>
  <si>
    <t xml:space="preserve">      Итого Поз. 1, 5, 7-8, 10, 12</t>
  </si>
  <si>
    <t>110 130,00</t>
  </si>
  <si>
    <t>119 770,00</t>
  </si>
  <si>
    <t>158 340,00</t>
  </si>
  <si>
    <t xml:space="preserve">   Инженерно-геологические и инженерно-экологические изыскания для строительства: Камеральные работы (1999)</t>
  </si>
  <si>
    <t xml:space="preserve">      Итого Поз. 21-29, 31, 30</t>
  </si>
  <si>
    <t xml:space="preserve">   Инженерно-геологические и инженерно-экологические изыскания для строительства: Лабораторные работы (1999)</t>
  </si>
  <si>
    <t xml:space="preserve">      Итого Поз. 14, 2, 6, 9, 15-20</t>
  </si>
  <si>
    <t xml:space="preserve">   Итого</t>
  </si>
  <si>
    <t>Индекс на I квартал 2023 года на изыскательские работы к уровню цен на 01.01.1991 (Письмо Минстроя России от 30.01.2023 №4125-ИФ/09)  К =61,09</t>
  </si>
  <si>
    <t>Индекс на I квартал 2022 года на изыскательские работы к уровню цен на 01.01.2001 (Письмо Минстроя России от 30.01.2023 №4125-ИФ/09)  Разделить на коэф. =5,36</t>
  </si>
  <si>
    <t>Коэффициент пересчета 2001 г. к 2000 г. на инж.из. Письма Госстроя России от 04.01.2001 г. № АШ-9/10 и от 07.10.1999 г. № АШ-3412/10
Разделить на коэф. =1,266</t>
  </si>
  <si>
    <t xml:space="preserve">   ВСЕГО по смете</t>
  </si>
  <si>
    <t xml:space="preserve">   Непредвиденные расходы 10%</t>
  </si>
  <si>
    <t xml:space="preserve">   ВСЕГО с непредвиденными  расходами </t>
  </si>
  <si>
    <t xml:space="preserve">Начальник отдела ____________________ </t>
  </si>
  <si>
    <t xml:space="preserve">Составил ___________________________ </t>
  </si>
  <si>
    <t xml:space="preserve">Проверил ___________________________ </t>
  </si>
  <si>
    <t>Прогнозный индекс-дефлятор  рассчитан в соответствии с графиком и с учетом авансирования объекта в размере 50% от цены работ.</t>
  </si>
  <si>
    <t>Сейсморазведка МПВ при возбуждении колебаний ударами кувалды, наблюдения с двумя сейсмограммами на местности 3 категории сложности, шаг до 2 м: число пикетов взрыва - 7</t>
  </si>
  <si>
    <t>1 физическое наблюдение</t>
  </si>
  <si>
    <t>СЦ82-258-88-7</t>
  </si>
  <si>
    <t>(13*20)*1,2*1,4</t>
  </si>
  <si>
    <t>К1=1,2 ОУ п.7а; При выполнении изысканий в горных и высокогорных районах с абсолютными высотами над уровнем моря от 2000 до 3000 м;</t>
  </si>
  <si>
    <t>К2=1,4 ОУ п.7г При выполнении в неблагоприятный период года полевых инженерно-геодезических, гидрографических,  трассировочных, геологосъемочных, мелиоративных, почвенных, лесотехнических и торфотехнических изысканий: продолжительность неблагоприятного периода года 8-9,5 мес.</t>
  </si>
  <si>
    <t>Вертикальное электрическое зондирование с поверхности земли симметричной установкой АВ длиной св. 50 до 100 м: категория сложности 3</t>
  </si>
  <si>
    <t>СЦ82-267-2-3</t>
  </si>
  <si>
    <t>(8*10)*1,1*1,1*1,4*1,15*1,1</t>
  </si>
  <si>
    <t>К1=1,1 Гл.16 ОП п.6; При переносе оборудования с профиля на профиль, от скважины или горной выработки на расстояние до 200 м;</t>
  </si>
  <si>
    <t>К2=1,1 таб.265.п.4; Разность потенциалов до 0,3 мВ, неустойчивые токи ПС;</t>
  </si>
  <si>
    <t>К3=1,4 ОУ п.7г; При выполнении в неблагоприятный период года полевых инженерно-геодезических, гидрографических,  трассировочных, геологосъемочных, мелиоративных, почвенных, лесотехнических и торфотехнических изысканий: продолжительность неблагоприятного периода года 8-9,5 мес.;</t>
  </si>
  <si>
    <t>К4=1,15 ОУ п.7а; При выполнении изысканий в горных и высокогорных районах с абсолютными высотами над уровнем моря от 1700 до 2000 м;</t>
  </si>
  <si>
    <t>К5=1,1 таб.265.п.1 Устройство заземлений удлиненными электродами в песках,галечниках, в мерзлых глинах, суглинках, супесях</t>
  </si>
  <si>
    <t xml:space="preserve">   Итого Поз. 1-2</t>
  </si>
  <si>
    <t xml:space="preserve">   Всего с учетом "Расходы по внутреннему транспорту при расстоянии от базы изыскательской организации, партии, отряда до участка изысканий св. 10 до 15 км, при сметной стоимости полевых изыскательских работ до 5 тыс. руб. - 11%, с учетом  Постановления Госстроя №22 от 01.03.1990г -11%*1,25=13,75% К=1,1375"</t>
  </si>
  <si>
    <t xml:space="preserve">   Всего с учетом "Расходы по внешнему транспорту в обоих направлениях при расстоянии проезда и перевозки в одном направлении св. 1000 до 2000 км, при экспедиционных условиях продолжительностью до 1 мес. - 26%, с учетом с Постановления Госстроя №22 от 01.03.1990г 26%*1,4=36,4% К=1,364"</t>
  </si>
  <si>
    <t xml:space="preserve">   Всего с учетом "Метрологическое обеспечение единства и точности средств измерений К=1,05"</t>
  </si>
  <si>
    <t>Раздел 2. Камеральные работы</t>
  </si>
  <si>
    <t>Сейсморазведка МПВ на дневной поверхности при двух типах волн</t>
  </si>
  <si>
    <t>1 физическое наблюдение (годограф)</t>
  </si>
  <si>
    <t>СЦ82-291-2</t>
  </si>
  <si>
    <t>(13*40)*1,15</t>
  </si>
  <si>
    <t>К1=1,15 прим.2 При выполнении специальных расчетов по оценке физико-механических и динамических параметров, напряженного состояния, трещиноватости и др., а также расчетов на ЭВМ</t>
  </si>
  <si>
    <t>Обработка материалов сейсмологических наблюдений за колебаниями грунтов при землетрясениях, взрывах и микроколебаниях: при машинной обработке</t>
  </si>
  <si>
    <t>1 запись</t>
  </si>
  <si>
    <t>СЦ82-293-8</t>
  </si>
  <si>
    <t>(43*20)*1,15</t>
  </si>
  <si>
    <t>К1=1,15 п.15 ДОП. При выполнении расчетов на ЭВМ к ценам на соответствующие камеральные работы применяется коэффициент 1,15. (ДОП.)</t>
  </si>
  <si>
    <t>Составление программы изысканий при стоимости изысканий св. 2 до 5 тыс.руб.</t>
  </si>
  <si>
    <t xml:space="preserve">СЦ82-294-1б </t>
  </si>
  <si>
    <t>200*1</t>
  </si>
  <si>
    <t>Составление технического отчета по сейсморазведке, электроразведке, геофизическим исследованиям скважин и сейсмическому микрорайонированию (1000 руб. + 10 % от стоимости камеральной обработки)</t>
  </si>
  <si>
    <t xml:space="preserve">СЦ82-294-10 </t>
  </si>
  <si>
    <t>1590*1</t>
  </si>
  <si>
    <t>1 590,00</t>
  </si>
  <si>
    <t>Итого по разделу 2 Камеральные работы</t>
  </si>
  <si>
    <t xml:space="preserve">   Итого Поз. 3-4, 6, 5</t>
  </si>
  <si>
    <t>3 380,00</t>
  </si>
  <si>
    <t>3 550,00</t>
  </si>
  <si>
    <t xml:space="preserve">   Итого по разделу 2 Камеральные работы</t>
  </si>
  <si>
    <t xml:space="preserve">   Изыскательские работы для капитального строительства: Полевые работы (1982)</t>
  </si>
  <si>
    <t xml:space="preserve">      Итого Поз. 1-2</t>
  </si>
  <si>
    <t xml:space="preserve">      Всего с учетом "Расходы по внутреннему транспорту при расстоянии от базы изыскательской организации, партии, отряда до участка изысканий св. 10 до 15 км, при сметной стоимости полевых изыскательских работ до 5 тыс. руб. - 11%, с учетом  Постановления Госстроя №22 от 01.03.1990г -11%*1,25=13,75% К=1,1375"</t>
  </si>
  <si>
    <t xml:space="preserve">      Всего с учетом "Расходы по внешнему транспорту в обоих направлениях при расстоянии проезда и перевозки в одном направлении св. 1000 до 2000 км, при экспедиционных условиях продолжительностью до 1 мес. - 26%, с учетом с Постановления Госстроя №22 от 01.03.1990г 26%*1,4=36,4% К=1,364"</t>
  </si>
  <si>
    <t xml:space="preserve">      Всего с учетом "Метрологическое обеспечение единства и точности средств измерений К=1,05"</t>
  </si>
  <si>
    <t xml:space="preserve">   Изыскательские работы для капитального строительства: Камеральные работы (1982)</t>
  </si>
  <si>
    <t xml:space="preserve">      Итого Поз. 3-4, 6, 5</t>
  </si>
  <si>
    <t>Индекс на I квартал 2023 года на изыскательские работы к СЦиР 1981 г. (Главы 16 и 20, кроме таблиц 256, 282, 286, 341, 343)
 (Письмо Минстроя России от 30.01.2023 №4125-ИФ/09)  К =73,91</t>
  </si>
  <si>
    <t>Сметный расчет составлен по следующим документам: Сборник цен на изыскательские работы для капитального строительства. 1981г. (Глава 16, Глава 20)</t>
  </si>
  <si>
    <t>К3=0,85 ОУ п.14 При проведении полевых изысканий без выплаты полевого довольствия</t>
  </si>
  <si>
    <t>на инженерно-геофизические изыскания</t>
  </si>
  <si>
    <t>Х+43</t>
  </si>
  <si>
    <t>Х+10</t>
  </si>
  <si>
    <t>Х+131</t>
  </si>
  <si>
    <t>Х+62</t>
  </si>
  <si>
    <t>Х+120</t>
  </si>
  <si>
    <t>Х+110</t>
  </si>
  <si>
    <t>Х+166</t>
  </si>
  <si>
    <t>Х+14</t>
  </si>
  <si>
    <t>Индекс пересчета в уровень цен 
IV кв. 2025 г.</t>
  </si>
  <si>
    <t>Берегоукрепление р. Баксан</t>
  </si>
  <si>
    <t>песчано-гравийная или каменная наброска</t>
  </si>
  <si>
    <t>благоустройство территории</t>
  </si>
  <si>
    <t>с возможностью подъезда к гостиницам пожарной техники.</t>
  </si>
  <si>
    <t>НЦС81-02-20-2023  ТЧ Табл. 2</t>
  </si>
  <si>
    <t>НЦС81-02-20-2023  ТЧ Табл. 3 п.7</t>
  </si>
  <si>
    <t>ИТОГО по п. 1-10</t>
  </si>
  <si>
    <t>Берегоукрепление откосного типа укладкой
железобетонных блоков с использованием естественного
откоса. Применительно</t>
  </si>
  <si>
    <t>НЦС81-02-20-2023,
табл.20-06-001-05</t>
  </si>
  <si>
    <t>7.1.13</t>
  </si>
  <si>
    <t>2500 п.м.</t>
  </si>
  <si>
    <t>(A +В*Хзад)* Количество
(118.75 тыс.руб+118.75*2.5) *1*0,4*1,24</t>
  </si>
  <si>
    <t>Автомобильные дороги общего пользования. 2007 г. Таблица 2. Автомобильные дороги общего пользования, п.6
А=118.75 тыс. руб.; В= 118.75 тыс. руб.
Осн. Показ.= 2,5 км
Количество= 1</t>
  </si>
  <si>
    <t>Автомобильные дороги общего пользования. Категория дороги V. Категория сложности проектирования: 3. Протяжение дороги свыше 2 до 5 км.</t>
  </si>
  <si>
    <t>Набережные полуоткосные на естественном основании (уголковые стенки, из массивов, блоковые, с упорной призмой) высотой до 6,0 м, протяженностью, до 0,5 км</t>
  </si>
  <si>
    <t>Объекты жилищно-гражданского строительства. 2010 г. Раздел 4. Таблица 32. Инженерная подготовка территории, набережные п.4</t>
  </si>
  <si>
    <t>(A + B * (0.4 * Xмин + 0.6 * (Xмин / 2))) * Количество
(381.92 тыс.руб + 0 тыс.руб * (0.4 * 0.5 + 0.6 * 0.26))) * 1 *0,4*0,69229</t>
  </si>
  <si>
    <t>(A + B * (0.4 * Xмин + 0.6 * (Xмин / 2))) * Количество
(381.92 тыс.руб + 0 тыс.руб *0,510)) * 1 *0,4*0,69229</t>
  </si>
  <si>
    <t>(A + B * (0.4 * Xмин + 0.6 * (Xмин / 2))) * Количество
(381.92 тыс.руб + 0 тыс.руб *0,520)) * 1 *0,4*0,69229</t>
  </si>
  <si>
    <t>Набережные полуоткосные на естественном основании (уголковые стенки, из массивов, блоковые, с упорной призмой) высотой до 6,0 м, протяженностью, свыше 0,5 до 1 км</t>
  </si>
  <si>
    <t>Объекты жилищно-гражданского строительства. 2010 г. Раздел 4. Таблица 32. Инженерная подготовка территории, набережные п.9</t>
  </si>
  <si>
    <t>(A + B * (0.4 * Xмин + 0.6 * Хзад.))) * Количество
(535.04 тыс.руб + 0 тыс.руб 0,4*0,5+0,6*0,8)) * 1 *0,4*0,69229</t>
  </si>
  <si>
    <t>инженерно-геологические изыскания ;</t>
  </si>
  <si>
    <t>«Адепт: Проект в 10.3»© ООО «Адепт»</t>
  </si>
  <si>
    <t>форма №2П
от 02.07.2018г</t>
  </si>
  <si>
    <t>Наименование предприятия, здания, сооружения, стадии проектирования, этапа, вида проектных или изыскательских работ</t>
  </si>
  <si>
    <t>Наименование организации заказчика</t>
  </si>
  <si>
    <t>Смета № 1ПД</t>
  </si>
  <si>
    <t>«Всесезонный туристско-рекреационный комплекс «Эльбрус», Кабардино-Балкарская Республика.
 «Благоустройство туристической деревни поляна Азау и прилегающей территории»
Этап 1. Благоустройство въездной группы</t>
  </si>
  <si>
    <t>АО "КАВКАЗ. РФ"</t>
  </si>
  <si>
    <t>Смета № 2ПД</t>
  </si>
  <si>
    <t>«Всесезонный туристско-рекреационный комплекс «Эльбрус», Кабардино-Балкарская Республика.
 «Благоустройство туристической деревни поляна Азау и прилегающей территории»
Этап 2. Благоустройство центральной площади и площади зоны выката</t>
  </si>
  <si>
    <t>Смета № 3ПД</t>
  </si>
  <si>
    <t>«Всесезонный туристско-рекреационный комплекс «Эльбрус», Кабардино-Балкарская Республика.
 «Благоустройство туристической деревни поляна Азау и прилегающей территории»
Этап 3. Благоустройство дорожной (уличной) сети</t>
  </si>
  <si>
    <t>Смета № 4ПД</t>
  </si>
  <si>
    <t>«Всесезонный туристско-рекреационный комплекс «Эльбрус», Кабардино-Балкарская Республика.
 «Благоустройство туристической деревни поляна Азау и прилегающей территории»
Этап 4 (Лот №1). Благоустройство зоны рекреации</t>
  </si>
  <si>
    <t>Смета № 5ПД</t>
  </si>
  <si>
    <t>«Всесезонный туристско-рекреационный комплекс «Эльбрус», Кабардино-Балкарская Республика.
 «Благоустройство туристической деревни поляна Азау и прилегающей территории»
Этап 5 (Лот №2). Благоустройство зоны рекреации</t>
  </si>
  <si>
    <t>Смета № 6.1ПД</t>
  </si>
  <si>
    <t>«Всесезонный туристско-рекреационный комплекс «Эльбрус», Кабардино-Балкарская Республика.
 «Благоустройство туристической деревни поляна Азау и прилегающей территории»
Подэтап 6.1 – Благоустройство парковой зоны</t>
  </si>
  <si>
    <t>платформы</t>
  </si>
  <si>
    <t>Смета № 6.2 ПД</t>
  </si>
  <si>
    <t>«Всесезонный туристско-рекреационный комплекс «Эльбрус», Кабардино-Балкарская Республика.
 «Благоустройство туристической деревни поляна Азау и прилегающей территории»
Подэтап 6.2 – Благоустройство детского парка</t>
  </si>
  <si>
    <t>Смета № 6.3 ПД</t>
  </si>
  <si>
    <t>«Всесезонный туристско-рекреационный комплекс «Эльбрус», Кабардино-Балкарская Республика.
 «Благоустройство туристической деревни поляна Азау и прилегающей территории»
Подэтап 6.3 – Благоустройство зоны воркаута</t>
  </si>
  <si>
    <t>Смета № 6.4 ПД</t>
  </si>
  <si>
    <t>«Всесезонный туристско-рекреационный комплекс «Эльбрус», Кабардино-Балкарская Республика.
 «Благоустройство туристической деревни поляна Азау и прилегающей территории»
Подэтап 6.4 – Благоустройство парка активного отдыха</t>
  </si>
  <si>
    <t>Смета № 7.1 ПД</t>
  </si>
  <si>
    <t>«Всесезонный туристско-рекреационный комплекс «Эльбрус», Кабардино-Балкарская Республика.
 «Благоустройство туристической деревни поляна Азау и прилегающей территории»
Подэтап 7.1 Благоустройство зоны рекреации</t>
  </si>
  <si>
    <t>Смета № 7.2 ПД</t>
  </si>
  <si>
    <t>3.2.1</t>
  </si>
  <si>
    <t xml:space="preserve"> в т.ч. Пешеходные тропы с обогревом</t>
  </si>
  <si>
    <t>Ипр=</t>
  </si>
  <si>
    <t>Значение прогнозного индекса-дефлятора   на VI квартал 2025 г.</t>
  </si>
  <si>
    <t>Подготовка эскизных вариантов общих композиционных, планировочных, архитектурных решений</t>
  </si>
  <si>
    <t>Резерв средств на непредвиденные работы и затраты для проектных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</si>
</sst>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0.0%"/>
    <numFmt numFmtId="167" formatCode="0.0000"/>
    <numFmt numFmtId="168" formatCode="_-* #,##0.0000\ _₽_-;\-* #,##0.0000\ _₽_-;_-* &quot;-&quot;??\ _₽_-;_-@_-"/>
    <numFmt numFmtId="169" formatCode="0.000%"/>
    <numFmt numFmtId="170" formatCode="_-* #,##0.000000\ _₽_-;\-* #,##0.000000\ _₽_-;_-* &quot;-&quot;??\ _₽_-;_-@_-"/>
    <numFmt numFmtId="171" formatCode="0_)"/>
    <numFmt numFmtId="172" formatCode="0.0_)"/>
    <numFmt numFmtId="173" formatCode="0.00_)"/>
    <numFmt numFmtId="174" formatCode="0.000_)"/>
    <numFmt numFmtId="175" formatCode="0.0000_)"/>
    <numFmt numFmtId="176" formatCode="_-* #,##0\ _₽_-;\-* #,##0\ _₽_-;_-* &quot;-&quot;??\ _₽_-;_-@_-"/>
    <numFmt numFmtId="177" formatCode="#,##0.000"/>
    <numFmt numFmtId="178" formatCode="_-* #,##0.00_р_._-;\-* #,##0.00_р_._-;_-* &quot;-&quot;??_р_._-;_-@_-"/>
    <numFmt numFmtId="179" formatCode="0.0000000"/>
    <numFmt numFmtId="180" formatCode="_-* #,##0_р_._-;\-* #,##0_р_._-;_-* &quot;-&quot;_р_._-;_-@_-"/>
    <numFmt numFmtId="181" formatCode="#,##0.0000000"/>
    <numFmt numFmtId="182" formatCode="_-* #,##0.00&quot;р.&quot;_-;\-* #,##0.00&quot;р.&quot;_-;_-* &quot;-&quot;??&quot;р.&quot;_-;_-@_-"/>
    <numFmt numFmtId="183" formatCode="#,##0.0000"/>
  </numFmts>
  <fonts count="13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6"/>
      <color rgb="FF203277"/>
      <name val="Arial"/>
      <family val="2"/>
      <charset val="204"/>
    </font>
    <font>
      <b/>
      <sz val="11"/>
      <color rgb="FF203277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Courier"/>
      <family val="1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3"/>
      <color indexed="8"/>
      <name val="Times New Roman CYR"/>
      <family val="1"/>
      <charset val="204"/>
    </font>
    <font>
      <b/>
      <vertAlign val="superscript"/>
      <sz val="13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rgb="FF203277"/>
      <name val="Arial"/>
      <family val="2"/>
      <charset val="204"/>
    </font>
    <font>
      <sz val="12"/>
      <color rgb="FF203277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name val="Courier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i/>
      <vertAlign val="superscript"/>
      <sz val="13"/>
      <color indexed="8"/>
      <name val="Arial"/>
      <family val="2"/>
      <charset val="204"/>
    </font>
    <font>
      <i/>
      <sz val="14"/>
      <color indexed="8"/>
      <name val="Cambria"/>
      <family val="1"/>
      <charset val="204"/>
    </font>
    <font>
      <strike/>
      <sz val="14"/>
      <name val="Cambria"/>
      <family val="1"/>
      <charset val="204"/>
    </font>
    <font>
      <sz val="12"/>
      <color indexed="8"/>
      <name val="Cambria"/>
      <family val="1"/>
      <charset val="204"/>
    </font>
    <font>
      <sz val="13"/>
      <color indexed="8"/>
      <name val="Times New Roman"/>
      <family val="1"/>
      <charset val="204"/>
    </font>
    <font>
      <sz val="13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4"/>
      <color indexed="8"/>
      <name val="Courier"/>
      <family val="1"/>
      <charset val="204"/>
    </font>
    <font>
      <b/>
      <sz val="14"/>
      <name val="Cambria"/>
      <family val="1"/>
      <charset val="204"/>
    </font>
    <font>
      <sz val="13"/>
      <name val="Courier"/>
      <family val="1"/>
      <charset val="204"/>
    </font>
    <font>
      <sz val="13"/>
      <name val="Times New Roman"/>
      <family val="1"/>
      <charset val="204"/>
    </font>
    <font>
      <b/>
      <i/>
      <sz val="12"/>
      <name val="Arial"/>
      <family val="2"/>
      <charset val="204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6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b/>
      <vertAlign val="superscript"/>
      <sz val="13"/>
      <color indexed="8"/>
      <name val="Arial"/>
      <family val="2"/>
      <charset val="204"/>
    </font>
    <font>
      <vertAlign val="superscript"/>
      <sz val="13"/>
      <name val="Arial"/>
      <family val="2"/>
      <charset val="204"/>
    </font>
    <font>
      <sz val="13"/>
      <name val="Arial"/>
      <family val="2"/>
      <charset val="204"/>
    </font>
    <font>
      <sz val="13"/>
      <color theme="0"/>
      <name val="Courier"/>
      <family val="1"/>
      <charset val="204"/>
    </font>
    <font>
      <sz val="13"/>
      <color theme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indexed="8"/>
      <name val="Courier"/>
      <family val="1"/>
      <charset val="204"/>
    </font>
    <font>
      <sz val="12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2"/>
      <color rgb="FF00B0F0"/>
      <name val="Times New Roman"/>
      <family val="1"/>
      <charset val="204"/>
    </font>
    <font>
      <sz val="12"/>
      <name val="Times New Roman"/>
      <family val="1"/>
      <charset val="204"/>
    </font>
    <font>
      <sz val="18"/>
      <color rgb="FFFF0000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Arial Cyr"/>
      <charset val="204"/>
    </font>
    <font>
      <b/>
      <sz val="8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2"/>
      <color rgb="FF444444"/>
      <name val="Arial"/>
      <family val="2"/>
      <charset val="204"/>
    </font>
    <font>
      <sz val="12"/>
      <color rgb="FF444444"/>
      <name val="Arial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name val="Calibri"/>
      <family val="2"/>
      <charset val="204"/>
      <scheme val="minor"/>
    </font>
    <font>
      <i/>
      <u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name val="Arial"/>
      <family val="2"/>
      <charset val="204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i/>
      <sz val="9"/>
      <color theme="1"/>
      <name val="Arial"/>
      <family val="2"/>
      <charset val="204"/>
    </font>
    <font>
      <b/>
      <sz val="6"/>
      <name val="Arial"/>
      <family val="2"/>
      <charset val="204"/>
    </font>
    <font>
      <u/>
      <sz val="12"/>
      <name val="Arial"/>
      <family val="2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F1F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1">
      <alignment horizontal="left" vertical="top"/>
    </xf>
    <xf numFmtId="0" fontId="1" fillId="0" borderId="0"/>
    <xf numFmtId="0" fontId="18" fillId="0" borderId="0"/>
    <xf numFmtId="0" fontId="18" fillId="0" borderId="0" applyFill="0" applyProtection="0"/>
    <xf numFmtId="0" fontId="15" fillId="0" borderId="0">
      <alignment horizontal="center"/>
    </xf>
    <xf numFmtId="0" fontId="15" fillId="0" borderId="11">
      <alignment horizontal="center" wrapText="1"/>
    </xf>
    <xf numFmtId="0" fontId="15" fillId="0" borderId="0">
      <alignment horizontal="right" vertical="top" wrapText="1"/>
    </xf>
    <xf numFmtId="0" fontId="15" fillId="0" borderId="0">
      <alignment horizontal="left" vertical="top"/>
    </xf>
    <xf numFmtId="0" fontId="30" fillId="0" borderId="0"/>
    <xf numFmtId="0" fontId="18" fillId="0" borderId="0"/>
    <xf numFmtId="171" fontId="35" fillId="0" borderId="0"/>
    <xf numFmtId="0" fontId="1" fillId="0" borderId="0"/>
    <xf numFmtId="171" fontId="35" fillId="0" borderId="0"/>
    <xf numFmtId="0" fontId="19" fillId="0" borderId="0"/>
    <xf numFmtId="0" fontId="1" fillId="0" borderId="0"/>
    <xf numFmtId="0" fontId="84" fillId="0" borderId="0">
      <alignment horizontal="center" vertical="center"/>
    </xf>
    <xf numFmtId="0" fontId="16" fillId="0" borderId="0">
      <alignment horizontal="center" vertical="top"/>
    </xf>
    <xf numFmtId="0" fontId="97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center"/>
    </xf>
    <xf numFmtId="0" fontId="97" fillId="0" borderId="0">
      <alignment horizontal="left" vertical="center"/>
    </xf>
    <xf numFmtId="0" fontId="16" fillId="0" borderId="11">
      <alignment horizontal="center" vertical="center"/>
    </xf>
    <xf numFmtId="0" fontId="16" fillId="0" borderId="11">
      <alignment horizontal="left" vertical="center"/>
    </xf>
    <xf numFmtId="0" fontId="16" fillId="0" borderId="18">
      <alignment horizontal="left" vertical="top"/>
    </xf>
    <xf numFmtId="178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" fillId="0" borderId="0"/>
    <xf numFmtId="43" fontId="30" fillId="0" borderId="0" applyFont="0" applyFill="0" applyBorder="0" applyAlignment="0" applyProtection="0"/>
    <xf numFmtId="178" fontId="106" fillId="0" borderId="0" applyFont="0" applyFill="0" applyBorder="0" applyAlignment="0" applyProtection="0"/>
    <xf numFmtId="0" fontId="106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182" fontId="18" fillId="0" borderId="0" applyFont="0" applyFill="0" applyBorder="0" applyAlignment="0" applyProtection="0"/>
    <xf numFmtId="0" fontId="19" fillId="0" borderId="11" applyBorder="0" applyAlignment="0">
      <alignment horizontal="center" wrapText="1"/>
    </xf>
  </cellStyleXfs>
  <cellXfs count="127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10" fontId="0" fillId="0" borderId="0" xfId="2" applyNumberFormat="1" applyFont="1"/>
    <xf numFmtId="10" fontId="0" fillId="0" borderId="0" xfId="0" applyNumberFormat="1"/>
    <xf numFmtId="167" fontId="0" fillId="0" borderId="0" xfId="0" applyNumberFormat="1"/>
    <xf numFmtId="168" fontId="0" fillId="0" borderId="0" xfId="1" applyNumberFormat="1" applyFont="1"/>
    <xf numFmtId="169" fontId="0" fillId="0" borderId="0" xfId="0" applyNumberFormat="1"/>
    <xf numFmtId="170" fontId="0" fillId="0" borderId="0" xfId="1" applyNumberFormat="1" applyFont="1"/>
    <xf numFmtId="0" fontId="4" fillId="2" borderId="0" xfId="0" applyFont="1" applyFill="1"/>
    <xf numFmtId="0" fontId="3" fillId="2" borderId="0" xfId="0" applyFont="1" applyFill="1"/>
    <xf numFmtId="0" fontId="0" fillId="0" borderId="0" xfId="0" applyAlignment="1"/>
    <xf numFmtId="0" fontId="3" fillId="2" borderId="0" xfId="0" applyFont="1" applyFill="1" applyAlignment="1"/>
    <xf numFmtId="169" fontId="5" fillId="0" borderId="0" xfId="2" applyNumberFormat="1" applyFont="1"/>
    <xf numFmtId="168" fontId="4" fillId="2" borderId="0" xfId="1" applyNumberFormat="1" applyFont="1" applyFill="1"/>
    <xf numFmtId="169" fontId="4" fillId="2" borderId="0" xfId="0" applyNumberFormat="1" applyFont="1" applyFill="1"/>
    <xf numFmtId="4" fontId="0" fillId="0" borderId="0" xfId="0" applyNumberFormat="1" applyAlignment="1">
      <alignment vertical="top"/>
    </xf>
    <xf numFmtId="0" fontId="7" fillId="0" borderId="0" xfId="0" applyFont="1"/>
    <xf numFmtId="0" fontId="8" fillId="0" borderId="0" xfId="0" applyFont="1"/>
    <xf numFmtId="0" fontId="11" fillId="5" borderId="6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vertical="center"/>
    </xf>
    <xf numFmtId="0" fontId="11" fillId="5" borderId="6" xfId="0" applyFont="1" applyFill="1" applyBorder="1" applyAlignment="1">
      <alignment vertical="center" wrapText="1"/>
    </xf>
    <xf numFmtId="0" fontId="11" fillId="5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vertical="center"/>
    </xf>
    <xf numFmtId="0" fontId="11" fillId="5" borderId="8" xfId="0" applyFont="1" applyFill="1" applyBorder="1" applyAlignment="1">
      <alignment vertical="center" wrapText="1"/>
    </xf>
    <xf numFmtId="0" fontId="11" fillId="5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vertical="center"/>
    </xf>
    <xf numFmtId="0" fontId="17" fillId="0" borderId="0" xfId="4" applyFont="1" applyFill="1" applyAlignment="1">
      <alignment wrapText="1"/>
    </xf>
    <xf numFmtId="0" fontId="17" fillId="0" borderId="0" xfId="4" applyFont="1" applyFill="1" applyAlignment="1"/>
    <xf numFmtId="2" fontId="17" fillId="0" borderId="0" xfId="4" applyNumberFormat="1" applyFont="1" applyFill="1" applyAlignment="1">
      <alignment wrapText="1"/>
    </xf>
    <xf numFmtId="0" fontId="17" fillId="0" borderId="0" xfId="4" applyFont="1" applyAlignment="1">
      <alignment wrapText="1"/>
    </xf>
    <xf numFmtId="4" fontId="8" fillId="2" borderId="0" xfId="0" applyNumberFormat="1" applyFont="1" applyFill="1" applyBorder="1" applyAlignment="1">
      <alignment vertical="top"/>
    </xf>
    <xf numFmtId="0" fontId="0" fillId="0" borderId="0" xfId="0" applyNumberFormat="1" applyAlignment="1">
      <alignment wrapText="1"/>
    </xf>
    <xf numFmtId="4" fontId="8" fillId="3" borderId="0" xfId="0" applyNumberFormat="1" applyFont="1" applyFill="1" applyBorder="1" applyAlignment="1">
      <alignment vertical="top"/>
    </xf>
    <xf numFmtId="0" fontId="11" fillId="3" borderId="6" xfId="0" applyNumberFormat="1" applyFont="1" applyFill="1" applyBorder="1" applyAlignment="1">
      <alignment vertical="center" wrapText="1"/>
    </xf>
    <xf numFmtId="0" fontId="19" fillId="0" borderId="0" xfId="5" applyFont="1" applyFill="1" applyAlignment="1">
      <alignment horizontal="center" vertical="center"/>
    </xf>
    <xf numFmtId="49" fontId="19" fillId="0" borderId="0" xfId="5" applyNumberFormat="1" applyFont="1" applyFill="1" applyAlignment="1">
      <alignment horizontal="left" vertical="center"/>
    </xf>
    <xf numFmtId="0" fontId="19" fillId="0" borderId="0" xfId="5" applyFont="1" applyFill="1" applyAlignment="1">
      <alignment vertical="center"/>
    </xf>
    <xf numFmtId="49" fontId="19" fillId="0" borderId="0" xfId="5" applyNumberFormat="1" applyFont="1" applyFill="1" applyAlignment="1">
      <alignment horizontal="right" vertical="center"/>
    </xf>
    <xf numFmtId="49" fontId="19" fillId="0" borderId="1" xfId="5" applyNumberFormat="1" applyFont="1" applyFill="1" applyBorder="1" applyAlignment="1">
      <alignment horizontal="left" vertical="center"/>
    </xf>
    <xf numFmtId="0" fontId="19" fillId="0" borderId="1" xfId="5" applyFont="1" applyFill="1" applyBorder="1" applyAlignment="1">
      <alignment horizontal="center" vertical="center"/>
    </xf>
    <xf numFmtId="0" fontId="20" fillId="0" borderId="0" xfId="5" applyFont="1" applyFill="1" applyAlignment="1">
      <alignment horizontal="center" vertical="center"/>
    </xf>
    <xf numFmtId="0" fontId="19" fillId="0" borderId="0" xfId="5" applyFont="1" applyFill="1" applyAlignment="1">
      <alignment horizontal="right" vertical="center"/>
    </xf>
    <xf numFmtId="0" fontId="19" fillId="0" borderId="0" xfId="5" applyFont="1" applyFill="1" applyBorder="1" applyAlignment="1">
      <alignment horizontal="center" vertical="center"/>
    </xf>
    <xf numFmtId="49" fontId="19" fillId="0" borderId="0" xfId="5" applyNumberFormat="1" applyFont="1" applyFill="1" applyBorder="1" applyAlignment="1">
      <alignment horizontal="left" vertical="center"/>
    </xf>
    <xf numFmtId="0" fontId="20" fillId="0" borderId="0" xfId="5" applyFont="1" applyFill="1" applyBorder="1" applyAlignment="1">
      <alignment horizontal="center" vertical="center"/>
    </xf>
    <xf numFmtId="0" fontId="19" fillId="0" borderId="0" xfId="5" applyFont="1" applyFill="1" applyBorder="1" applyAlignment="1">
      <alignment vertical="center"/>
    </xf>
    <xf numFmtId="49" fontId="19" fillId="0" borderId="0" xfId="6" applyNumberFormat="1" applyFont="1" applyFill="1" applyAlignment="1">
      <alignment horizontal="center" vertical="center"/>
    </xf>
    <xf numFmtId="0" fontId="21" fillId="0" borderId="0" xfId="6" applyFont="1" applyFill="1" applyBorder="1" applyAlignment="1">
      <alignment vertical="center"/>
    </xf>
    <xf numFmtId="0" fontId="19" fillId="0" borderId="0" xfId="6" applyFont="1" applyFill="1" applyAlignment="1">
      <alignment horizontal="left" vertical="center" wrapText="1"/>
    </xf>
    <xf numFmtId="0" fontId="19" fillId="0" borderId="0" xfId="6" applyFont="1" applyFill="1" applyAlignment="1">
      <alignment horizontal="center" vertical="center" wrapText="1"/>
    </xf>
    <xf numFmtId="0" fontId="19" fillId="0" borderId="0" xfId="6" applyFont="1" applyFill="1" applyAlignment="1">
      <alignment vertical="center"/>
    </xf>
    <xf numFmtId="0" fontId="19" fillId="0" borderId="0" xfId="6" applyFont="1" applyFill="1" applyAlignment="1">
      <alignment horizontal="right" vertical="center"/>
    </xf>
    <xf numFmtId="0" fontId="19" fillId="0" borderId="0" xfId="6" applyFont="1" applyFill="1" applyBorder="1" applyAlignment="1">
      <alignment horizontal="right" vertical="center"/>
    </xf>
    <xf numFmtId="0" fontId="22" fillId="0" borderId="0" xfId="7" applyFont="1" applyFill="1" applyBorder="1" applyAlignment="1">
      <alignment vertical="center"/>
    </xf>
    <xf numFmtId="0" fontId="22" fillId="0" borderId="0" xfId="5" applyFont="1" applyFill="1" applyBorder="1" applyAlignment="1">
      <alignment vertical="center"/>
    </xf>
    <xf numFmtId="0" fontId="21" fillId="0" borderId="0" xfId="5" applyFont="1" applyFill="1" applyBorder="1" applyAlignment="1">
      <alignment vertical="center"/>
    </xf>
    <xf numFmtId="0" fontId="23" fillId="0" borderId="0" xfId="5" applyFont="1" applyFill="1" applyAlignment="1">
      <alignment horizontal="center" vertical="center"/>
    </xf>
    <xf numFmtId="0" fontId="21" fillId="0" borderId="0" xfId="5" applyFont="1" applyFill="1" applyBorder="1" applyAlignment="1">
      <alignment horizontal="center" vertical="center"/>
    </xf>
    <xf numFmtId="0" fontId="24" fillId="0" borderId="15" xfId="8" applyFont="1" applyFill="1" applyBorder="1" applyAlignment="1">
      <alignment horizontal="center" vertical="center" wrapText="1"/>
    </xf>
    <xf numFmtId="49" fontId="25" fillId="0" borderId="11" xfId="5" applyNumberFormat="1" applyFont="1" applyFill="1" applyBorder="1" applyAlignment="1">
      <alignment horizontal="center" vertical="center" wrapText="1"/>
    </xf>
    <xf numFmtId="0" fontId="25" fillId="0" borderId="11" xfId="5" applyFont="1" applyFill="1" applyBorder="1" applyAlignment="1">
      <alignment horizontal="left" vertical="center" wrapText="1"/>
    </xf>
    <xf numFmtId="0" fontId="19" fillId="0" borderId="11" xfId="5" applyFont="1" applyFill="1" applyBorder="1" applyAlignment="1">
      <alignment horizontal="left" vertical="center" wrapText="1"/>
    </xf>
    <xf numFmtId="0" fontId="19" fillId="0" borderId="0" xfId="5" applyFont="1" applyFill="1" applyBorder="1" applyAlignment="1">
      <alignment vertical="center" wrapText="1"/>
    </xf>
    <xf numFmtId="49" fontId="19" fillId="0" borderId="11" xfId="5" applyNumberFormat="1" applyFont="1" applyFill="1" applyBorder="1" applyAlignment="1">
      <alignment horizontal="center" vertical="center" wrapText="1"/>
    </xf>
    <xf numFmtId="49" fontId="19" fillId="0" borderId="11" xfId="5" applyNumberFormat="1" applyFont="1" applyFill="1" applyBorder="1" applyAlignment="1">
      <alignment vertical="center" wrapText="1"/>
    </xf>
    <xf numFmtId="0" fontId="19" fillId="0" borderId="11" xfId="5" applyFont="1" applyBorder="1" applyAlignment="1">
      <alignment vertical="center" wrapText="1"/>
    </xf>
    <xf numFmtId="49" fontId="19" fillId="0" borderId="11" xfId="5" applyNumberFormat="1" applyFont="1" applyFill="1" applyBorder="1" applyAlignment="1">
      <alignment horizontal="right" vertical="center" wrapText="1"/>
    </xf>
    <xf numFmtId="0" fontId="19" fillId="0" borderId="11" xfId="5" applyNumberFormat="1" applyFont="1" applyFill="1" applyBorder="1" applyAlignment="1">
      <alignment vertical="center" wrapText="1"/>
    </xf>
    <xf numFmtId="4" fontId="19" fillId="0" borderId="11" xfId="5" applyNumberFormat="1" applyFont="1" applyFill="1" applyBorder="1" applyAlignment="1">
      <alignment vertical="center" wrapText="1"/>
    </xf>
    <xf numFmtId="0" fontId="19" fillId="0" borderId="11" xfId="5" applyFont="1" applyBorder="1" applyAlignment="1">
      <alignment horizontal="right" vertical="center"/>
    </xf>
    <xf numFmtId="0" fontId="19" fillId="0" borderId="11" xfId="5" applyFont="1" applyBorder="1" applyAlignment="1">
      <alignment vertical="center"/>
    </xf>
    <xf numFmtId="2" fontId="19" fillId="0" borderId="11" xfId="5" applyNumberFormat="1" applyFont="1" applyBorder="1" applyAlignment="1">
      <alignment vertical="center" wrapText="1"/>
    </xf>
    <xf numFmtId="0" fontId="19" fillId="0" borderId="0" xfId="5" applyFont="1" applyAlignment="1">
      <alignment vertical="center"/>
    </xf>
    <xf numFmtId="49" fontId="19" fillId="0" borderId="11" xfId="5" applyNumberFormat="1" applyFont="1" applyFill="1" applyBorder="1" applyAlignment="1">
      <alignment horizontal="left" vertical="center" wrapText="1"/>
    </xf>
    <xf numFmtId="0" fontId="19" fillId="0" borderId="11" xfId="5" applyFont="1" applyFill="1" applyBorder="1" applyAlignment="1">
      <alignment vertical="center"/>
    </xf>
    <xf numFmtId="0" fontId="19" fillId="0" borderId="11" xfId="5" applyNumberFormat="1" applyFont="1" applyFill="1" applyBorder="1" applyAlignment="1">
      <alignment horizontal="center" vertical="center" wrapText="1"/>
    </xf>
    <xf numFmtId="4" fontId="19" fillId="0" borderId="11" xfId="5" applyNumberFormat="1" applyFont="1" applyFill="1" applyBorder="1" applyAlignment="1">
      <alignment horizontal="right" vertical="center" wrapText="1"/>
    </xf>
    <xf numFmtId="0" fontId="19" fillId="0" borderId="11" xfId="5" applyFont="1" applyFill="1" applyBorder="1" applyAlignment="1">
      <alignment horizontal="center" vertical="top" wrapText="1"/>
    </xf>
    <xf numFmtId="49" fontId="19" fillId="0" borderId="11" xfId="5" applyNumberFormat="1" applyFont="1" applyFill="1" applyBorder="1" applyAlignment="1">
      <alignment horizontal="left" vertical="top" wrapText="1"/>
    </xf>
    <xf numFmtId="0" fontId="19" fillId="0" borderId="11" xfId="5" applyFont="1" applyFill="1" applyBorder="1" applyAlignment="1">
      <alignment horizontal="right" vertical="top"/>
    </xf>
    <xf numFmtId="0" fontId="19" fillId="0" borderId="11" xfId="5" applyFont="1" applyFill="1" applyBorder="1" applyAlignment="1">
      <alignment horizontal="right" vertical="top" wrapText="1"/>
    </xf>
    <xf numFmtId="165" fontId="19" fillId="0" borderId="11" xfId="5" applyNumberFormat="1" applyFont="1" applyFill="1" applyBorder="1" applyAlignment="1">
      <alignment horizontal="right" vertical="top" wrapText="1"/>
    </xf>
    <xf numFmtId="0" fontId="19" fillId="0" borderId="0" xfId="5" applyFont="1" applyFill="1"/>
    <xf numFmtId="49" fontId="26" fillId="0" borderId="11" xfId="5" applyNumberFormat="1" applyFont="1" applyFill="1" applyBorder="1" applyAlignment="1">
      <alignment horizontal="left" vertical="top" wrapText="1"/>
    </xf>
    <xf numFmtId="2" fontId="26" fillId="0" borderId="11" xfId="5" applyNumberFormat="1" applyFont="1" applyFill="1" applyBorder="1" applyAlignment="1">
      <alignment horizontal="right" vertical="top" wrapText="1"/>
    </xf>
    <xf numFmtId="0" fontId="26" fillId="0" borderId="11" xfId="5" applyFont="1" applyFill="1" applyBorder="1" applyAlignment="1">
      <alignment horizontal="center" vertical="top" wrapText="1"/>
    </xf>
    <xf numFmtId="165" fontId="26" fillId="0" borderId="11" xfId="5" applyNumberFormat="1" applyFont="1" applyFill="1" applyBorder="1" applyAlignment="1">
      <alignment horizontal="right" vertical="top" wrapText="1"/>
    </xf>
    <xf numFmtId="49" fontId="19" fillId="0" borderId="11" xfId="5" applyNumberFormat="1" applyFont="1" applyFill="1" applyBorder="1" applyAlignment="1">
      <alignment horizontal="center" vertical="top" wrapText="1"/>
    </xf>
    <xf numFmtId="0" fontId="19" fillId="0" borderId="11" xfId="5" applyFont="1" applyFill="1" applyBorder="1" applyAlignment="1">
      <alignment horizontal="left" vertical="top" wrapText="1"/>
    </xf>
    <xf numFmtId="2" fontId="19" fillId="0" borderId="11" xfId="5" applyNumberFormat="1" applyFont="1" applyFill="1" applyBorder="1" applyAlignment="1">
      <alignment horizontal="right" vertical="top" wrapText="1"/>
    </xf>
    <xf numFmtId="0" fontId="19" fillId="0" borderId="11" xfId="5" applyFont="1" applyFill="1" applyBorder="1" applyAlignment="1">
      <alignment horizontal="left" vertical="top"/>
    </xf>
    <xf numFmtId="16" fontId="19" fillId="0" borderId="11" xfId="5" applyNumberFormat="1" applyFont="1" applyFill="1" applyBorder="1" applyAlignment="1">
      <alignment horizontal="center" vertical="top" wrapText="1"/>
    </xf>
    <xf numFmtId="0" fontId="19" fillId="0" borderId="11" xfId="5" applyNumberFormat="1" applyFont="1" applyFill="1" applyBorder="1" applyAlignment="1">
      <alignment horizontal="center" vertical="top" wrapText="1"/>
    </xf>
    <xf numFmtId="4" fontId="19" fillId="0" borderId="11" xfId="9" applyNumberFormat="1" applyFont="1" applyFill="1" applyBorder="1" applyAlignment="1">
      <alignment horizontal="right" vertical="center" wrapText="1"/>
    </xf>
    <xf numFmtId="4" fontId="26" fillId="0" borderId="11" xfId="9" applyNumberFormat="1" applyFont="1" applyFill="1" applyBorder="1" applyAlignment="1">
      <alignment horizontal="right" vertical="center" wrapText="1"/>
    </xf>
    <xf numFmtId="4" fontId="19" fillId="0" borderId="0" xfId="5" applyNumberFormat="1" applyFont="1" applyFill="1" applyBorder="1" applyAlignment="1">
      <alignment vertical="center" wrapText="1"/>
    </xf>
    <xf numFmtId="0" fontId="19" fillId="0" borderId="0" xfId="9" applyFont="1" applyFill="1" applyBorder="1" applyAlignment="1">
      <alignment horizontal="center" vertical="center" wrapText="1"/>
    </xf>
    <xf numFmtId="0" fontId="19" fillId="0" borderId="0" xfId="9" applyFont="1" applyFill="1" applyBorder="1" applyAlignment="1">
      <alignment horizontal="left" vertical="center" wrapText="1"/>
    </xf>
    <xf numFmtId="0" fontId="19" fillId="0" borderId="0" xfId="9" applyFont="1" applyFill="1" applyBorder="1" applyAlignment="1">
      <alignment horizontal="right" vertical="center" wrapText="1"/>
    </xf>
    <xf numFmtId="0" fontId="27" fillId="0" borderId="0" xfId="5" applyFont="1" applyFill="1" applyBorder="1" applyAlignment="1">
      <alignment horizontal="center" vertical="center"/>
    </xf>
    <xf numFmtId="0" fontId="19" fillId="0" borderId="0" xfId="10" applyFont="1" applyFill="1" applyAlignment="1">
      <alignment horizontal="left" vertical="center"/>
    </xf>
    <xf numFmtId="0" fontId="31" fillId="7" borderId="0" xfId="12" applyFont="1" applyFill="1" applyBorder="1" applyAlignment="1"/>
    <xf numFmtId="0" fontId="32" fillId="7" borderId="0" xfId="12" applyFont="1" applyFill="1" applyBorder="1" applyAlignment="1"/>
    <xf numFmtId="0" fontId="19" fillId="0" borderId="0" xfId="12" applyFont="1" applyFill="1" applyBorder="1"/>
    <xf numFmtId="0" fontId="33" fillId="7" borderId="1" xfId="12" applyFont="1" applyFill="1" applyBorder="1" applyAlignment="1">
      <alignment vertical="top"/>
    </xf>
    <xf numFmtId="0" fontId="34" fillId="7" borderId="1" xfId="12" applyFont="1" applyFill="1" applyBorder="1" applyAlignment="1">
      <alignment vertical="top"/>
    </xf>
    <xf numFmtId="0" fontId="34" fillId="7" borderId="0" xfId="12" applyFont="1" applyFill="1" applyBorder="1" applyAlignment="1">
      <alignment vertical="top"/>
    </xf>
    <xf numFmtId="0" fontId="33" fillId="0" borderId="18" xfId="12" applyFont="1" applyFill="1" applyBorder="1" applyAlignment="1">
      <alignment vertical="top"/>
    </xf>
    <xf numFmtId="0" fontId="34" fillId="0" borderId="18" xfId="12" applyFont="1" applyFill="1" applyBorder="1" applyAlignment="1">
      <alignment vertical="top"/>
    </xf>
    <xf numFmtId="0" fontId="33" fillId="0" borderId="0" xfId="12" applyFont="1" applyFill="1" applyBorder="1" applyAlignment="1">
      <alignment vertical="top"/>
    </xf>
    <xf numFmtId="0" fontId="34" fillId="0" borderId="0" xfId="12" applyFont="1" applyFill="1" applyBorder="1" applyAlignment="1">
      <alignment vertical="top"/>
    </xf>
    <xf numFmtId="171" fontId="36" fillId="0" borderId="19" xfId="13" applyFont="1" applyBorder="1" applyAlignment="1" applyProtection="1">
      <alignment horizontal="center" vertical="center"/>
      <protection locked="0"/>
    </xf>
    <xf numFmtId="171" fontId="37" fillId="0" borderId="20" xfId="13" applyFont="1" applyFill="1" applyBorder="1" applyAlignment="1" applyProtection="1">
      <alignment horizontal="center" vertical="center" wrapText="1"/>
      <protection locked="0"/>
    </xf>
    <xf numFmtId="171" fontId="37" fillId="0" borderId="21" xfId="13" applyFont="1" applyFill="1" applyBorder="1" applyAlignment="1" applyProtection="1">
      <alignment horizontal="center" vertical="center" wrapText="1"/>
      <protection locked="0"/>
    </xf>
    <xf numFmtId="171" fontId="38" fillId="0" borderId="0" xfId="13" applyFont="1" applyBorder="1" applyAlignment="1" applyProtection="1">
      <alignment horizontal="center" vertical="center"/>
      <protection locked="0"/>
    </xf>
    <xf numFmtId="171" fontId="39" fillId="0" borderId="0" xfId="13" applyFont="1" applyFill="1" applyBorder="1" applyAlignment="1" applyProtection="1">
      <alignment horizontal="center" vertical="center" wrapText="1"/>
      <protection locked="0"/>
    </xf>
    <xf numFmtId="171" fontId="39" fillId="2" borderId="0" xfId="13" applyFont="1" applyFill="1" applyBorder="1" applyAlignment="1" applyProtection="1">
      <alignment horizontal="center" vertical="center" wrapText="1"/>
      <protection locked="0"/>
    </xf>
    <xf numFmtId="0" fontId="1" fillId="0" borderId="0" xfId="14" applyBorder="1"/>
    <xf numFmtId="0" fontId="1" fillId="0" borderId="0" xfId="14"/>
    <xf numFmtId="171" fontId="25" fillId="0" borderId="22" xfId="13" applyFont="1" applyBorder="1" applyAlignment="1" applyProtection="1">
      <alignment horizontal="center" vertical="center"/>
      <protection locked="0"/>
    </xf>
    <xf numFmtId="0" fontId="25" fillId="0" borderId="15" xfId="14" applyFont="1" applyFill="1" applyBorder="1" applyAlignment="1">
      <alignment horizontal="center"/>
    </xf>
    <xf numFmtId="171" fontId="42" fillId="0" borderId="0" xfId="13" applyFont="1" applyBorder="1" applyAlignment="1" applyProtection="1">
      <alignment horizontal="center" vertical="center"/>
      <protection locked="0"/>
    </xf>
    <xf numFmtId="171" fontId="43" fillId="0" borderId="0" xfId="13" applyFont="1" applyFill="1" applyBorder="1" applyAlignment="1" applyProtection="1">
      <alignment horizontal="center" vertical="center" wrapText="1"/>
      <protection locked="0"/>
    </xf>
    <xf numFmtId="171" fontId="44" fillId="0" borderId="0" xfId="13" applyFont="1" applyFill="1" applyBorder="1" applyAlignment="1" applyProtection="1">
      <alignment horizontal="center" vertical="center" wrapText="1"/>
      <protection locked="0"/>
    </xf>
    <xf numFmtId="171" fontId="44" fillId="2" borderId="0" xfId="13" applyFont="1" applyFill="1" applyBorder="1" applyAlignment="1" applyProtection="1">
      <alignment horizontal="center" vertical="center" wrapText="1"/>
      <protection locked="0"/>
    </xf>
    <xf numFmtId="0" fontId="45" fillId="0" borderId="0" xfId="14" applyFont="1" applyBorder="1" applyAlignment="1"/>
    <xf numFmtId="0" fontId="46" fillId="7" borderId="24" xfId="12" applyFont="1" applyFill="1" applyBorder="1" applyAlignment="1">
      <alignment horizontal="left" vertical="center" wrapText="1" indent="2"/>
    </xf>
    <xf numFmtId="1" fontId="47" fillId="7" borderId="25" xfId="12" applyNumberFormat="1" applyFont="1" applyFill="1" applyBorder="1" applyAlignment="1">
      <alignment horizontal="center" vertical="center"/>
    </xf>
    <xf numFmtId="1" fontId="47" fillId="7" borderId="26" xfId="12" applyNumberFormat="1" applyFont="1" applyFill="1" applyBorder="1" applyAlignment="1">
      <alignment horizontal="center" vertical="center"/>
    </xf>
    <xf numFmtId="1" fontId="47" fillId="7" borderId="12" xfId="12" applyNumberFormat="1" applyFont="1" applyFill="1" applyBorder="1" applyAlignment="1">
      <alignment horizontal="center" vertical="center"/>
    </xf>
    <xf numFmtId="0" fontId="46" fillId="7" borderId="5" xfId="12" applyFont="1" applyFill="1" applyBorder="1"/>
    <xf numFmtId="171" fontId="48" fillId="8" borderId="0" xfId="13" applyFont="1" applyFill="1" applyBorder="1" applyAlignment="1">
      <alignment vertical="center" wrapText="1"/>
    </xf>
    <xf numFmtId="172" fontId="49" fillId="8" borderId="0" xfId="13" applyNumberFormat="1" applyFont="1" applyFill="1" applyBorder="1"/>
    <xf numFmtId="172" fontId="50" fillId="8" borderId="0" xfId="13" applyNumberFormat="1" applyFont="1" applyFill="1" applyBorder="1" applyAlignment="1">
      <alignment horizontal="center" vertical="center"/>
    </xf>
    <xf numFmtId="171" fontId="49" fillId="2" borderId="0" xfId="13" applyFont="1" applyFill="1" applyBorder="1"/>
    <xf numFmtId="171" fontId="49" fillId="8" borderId="0" xfId="13" applyFont="1" applyFill="1" applyBorder="1"/>
    <xf numFmtId="171" fontId="37" fillId="0" borderId="27" xfId="13" applyFont="1" applyFill="1" applyBorder="1" applyAlignment="1">
      <alignment vertical="center"/>
    </xf>
    <xf numFmtId="172" fontId="25" fillId="0" borderId="17" xfId="13" applyNumberFormat="1" applyFont="1" applyFill="1" applyBorder="1" applyAlignment="1">
      <alignment horizontal="center" vertical="center"/>
    </xf>
    <xf numFmtId="172" fontId="25" fillId="0" borderId="0" xfId="13" applyNumberFormat="1" applyFont="1" applyFill="1" applyBorder="1" applyAlignment="1">
      <alignment horizontal="center" vertical="center"/>
    </xf>
    <xf numFmtId="172" fontId="25" fillId="0" borderId="8" xfId="13" applyNumberFormat="1" applyFont="1" applyFill="1" applyBorder="1" applyAlignment="1">
      <alignment horizontal="center" vertical="center"/>
    </xf>
    <xf numFmtId="171" fontId="51" fillId="0" borderId="0" xfId="13" applyFont="1" applyFill="1" applyBorder="1" applyAlignment="1">
      <alignment vertical="center"/>
    </xf>
    <xf numFmtId="172" fontId="52" fillId="0" borderId="0" xfId="13" applyNumberFormat="1" applyFont="1" applyFill="1" applyBorder="1" applyAlignment="1">
      <alignment horizontal="center" vertical="center"/>
    </xf>
    <xf numFmtId="172" fontId="52" fillId="2" borderId="0" xfId="13" applyNumberFormat="1" applyFont="1" applyFill="1" applyBorder="1" applyAlignment="1">
      <alignment horizontal="center" vertical="center"/>
    </xf>
    <xf numFmtId="171" fontId="36" fillId="0" borderId="27" xfId="13" applyFont="1" applyFill="1" applyBorder="1" applyAlignment="1">
      <alignment vertical="center"/>
    </xf>
    <xf numFmtId="172" fontId="53" fillId="0" borderId="17" xfId="13" applyNumberFormat="1" applyFont="1" applyFill="1" applyBorder="1" applyAlignment="1">
      <alignment horizontal="center" vertical="center"/>
    </xf>
    <xf numFmtId="172" fontId="53" fillId="0" borderId="0" xfId="13" applyNumberFormat="1" applyFont="1" applyFill="1" applyBorder="1" applyAlignment="1">
      <alignment horizontal="center" vertical="center"/>
    </xf>
    <xf numFmtId="172" fontId="53" fillId="0" borderId="8" xfId="13" applyNumberFormat="1" applyFont="1" applyFill="1" applyBorder="1" applyAlignment="1">
      <alignment horizontal="center" vertical="center"/>
    </xf>
    <xf numFmtId="171" fontId="38" fillId="0" borderId="0" xfId="13" applyFont="1" applyFill="1" applyBorder="1" applyAlignment="1">
      <alignment vertical="center"/>
    </xf>
    <xf numFmtId="172" fontId="50" fillId="0" borderId="0" xfId="13" applyNumberFormat="1" applyFont="1" applyFill="1" applyBorder="1" applyAlignment="1">
      <alignment horizontal="center" vertical="center"/>
    </xf>
    <xf numFmtId="172" fontId="50" fillId="2" borderId="0" xfId="13" applyNumberFormat="1" applyFont="1" applyFill="1" applyBorder="1" applyAlignment="1">
      <alignment horizontal="center" vertical="center"/>
    </xf>
    <xf numFmtId="171" fontId="54" fillId="0" borderId="27" xfId="13" applyFont="1" applyFill="1" applyBorder="1" applyAlignment="1">
      <alignment vertical="center" wrapText="1"/>
    </xf>
    <xf numFmtId="171" fontId="55" fillId="9" borderId="0" xfId="13" applyFont="1" applyFill="1" applyBorder="1" applyAlignment="1">
      <alignment vertical="center" wrapText="1"/>
    </xf>
    <xf numFmtId="0" fontId="46" fillId="7" borderId="28" xfId="12" applyFont="1" applyFill="1" applyBorder="1" applyAlignment="1">
      <alignment horizontal="left" vertical="center" wrapText="1" indent="2"/>
    </xf>
    <xf numFmtId="1" fontId="47" fillId="7" borderId="15" xfId="12" applyNumberFormat="1" applyFont="1" applyFill="1" applyBorder="1" applyAlignment="1">
      <alignment horizontal="center" vertical="center"/>
    </xf>
    <xf numFmtId="1" fontId="47" fillId="7" borderId="18" xfId="12" applyNumberFormat="1" applyFont="1" applyFill="1" applyBorder="1" applyAlignment="1">
      <alignment horizontal="center" vertical="center"/>
    </xf>
    <xf numFmtId="0" fontId="46" fillId="7" borderId="23" xfId="12" applyFont="1" applyFill="1" applyBorder="1"/>
    <xf numFmtId="171" fontId="48" fillId="10" borderId="0" xfId="13" applyFont="1" applyFill="1" applyBorder="1" applyAlignment="1">
      <alignment vertical="center" wrapText="1"/>
    </xf>
    <xf numFmtId="172" fontId="49" fillId="10" borderId="0" xfId="13" applyNumberFormat="1" applyFont="1" applyFill="1" applyBorder="1"/>
    <xf numFmtId="171" fontId="49" fillId="10" borderId="0" xfId="13" applyFont="1" applyFill="1" applyBorder="1"/>
    <xf numFmtId="171" fontId="36" fillId="0" borderId="22" xfId="13" applyFont="1" applyFill="1" applyBorder="1" applyAlignment="1">
      <alignment vertical="center"/>
    </xf>
    <xf numFmtId="172" fontId="53" fillId="0" borderId="16" xfId="13" applyNumberFormat="1" applyFont="1" applyFill="1" applyBorder="1" applyAlignment="1">
      <alignment horizontal="center" vertical="center"/>
    </xf>
    <xf numFmtId="172" fontId="53" fillId="0" borderId="1" xfId="13" applyNumberFormat="1" applyFont="1" applyFill="1" applyBorder="1" applyAlignment="1">
      <alignment horizontal="center" vertical="center"/>
    </xf>
    <xf numFmtId="172" fontId="53" fillId="0" borderId="29" xfId="13" applyNumberFormat="1" applyFont="1" applyFill="1" applyBorder="1" applyAlignment="1">
      <alignment horizontal="center" vertical="center"/>
    </xf>
    <xf numFmtId="171" fontId="56" fillId="10" borderId="0" xfId="13" applyFont="1" applyFill="1" applyBorder="1" applyAlignment="1">
      <alignment vertical="center" wrapText="1"/>
    </xf>
    <xf numFmtId="171" fontId="58" fillId="0" borderId="0" xfId="13" applyFont="1" applyFill="1" applyBorder="1" applyAlignment="1">
      <alignment vertical="center" wrapText="1"/>
    </xf>
    <xf numFmtId="172" fontId="59" fillId="0" borderId="0" xfId="13" applyNumberFormat="1" applyFont="1" applyFill="1" applyBorder="1"/>
    <xf numFmtId="171" fontId="59" fillId="0" borderId="0" xfId="13" applyFont="1" applyFill="1" applyBorder="1"/>
    <xf numFmtId="171" fontId="59" fillId="2" borderId="0" xfId="13" applyFont="1" applyFill="1" applyBorder="1"/>
    <xf numFmtId="171" fontId="60" fillId="0" borderId="0" xfId="13" applyFont="1" applyFill="1" applyBorder="1" applyAlignment="1">
      <alignment vertical="center"/>
    </xf>
    <xf numFmtId="171" fontId="36" fillId="0" borderId="30" xfId="13" applyFont="1" applyFill="1" applyBorder="1" applyAlignment="1">
      <alignment vertical="center"/>
    </xf>
    <xf numFmtId="172" fontId="53" fillId="0" borderId="31" xfId="13" applyNumberFormat="1" applyFont="1" applyFill="1" applyBorder="1" applyAlignment="1">
      <alignment horizontal="center" vertical="center"/>
    </xf>
    <xf numFmtId="172" fontId="53" fillId="0" borderId="32" xfId="13" applyNumberFormat="1" applyFont="1" applyFill="1" applyBorder="1" applyAlignment="1">
      <alignment horizontal="center" vertical="center"/>
    </xf>
    <xf numFmtId="172" fontId="53" fillId="0" borderId="6" xfId="13" applyNumberFormat="1" applyFont="1" applyFill="1" applyBorder="1" applyAlignment="1">
      <alignment horizontal="center" vertical="center"/>
    </xf>
    <xf numFmtId="0" fontId="46" fillId="7" borderId="14" xfId="12" applyFont="1" applyFill="1" applyBorder="1" applyAlignment="1">
      <alignment horizontal="left" vertical="center" wrapText="1" indent="2"/>
    </xf>
    <xf numFmtId="1" fontId="47" fillId="7" borderId="17" xfId="12" applyNumberFormat="1" applyFont="1" applyFill="1" applyBorder="1" applyAlignment="1">
      <alignment horizontal="center" vertical="center"/>
    </xf>
    <xf numFmtId="1" fontId="47" fillId="7" borderId="0" xfId="12" applyNumberFormat="1" applyFont="1" applyFill="1" applyBorder="1" applyAlignment="1">
      <alignment horizontal="center" vertical="center"/>
    </xf>
    <xf numFmtId="0" fontId="46" fillId="7" borderId="8" xfId="12" applyFont="1" applyFill="1" applyBorder="1"/>
    <xf numFmtId="0" fontId="47" fillId="7" borderId="28" xfId="12" applyFont="1" applyFill="1" applyBorder="1" applyAlignment="1">
      <alignment horizontal="left" vertical="center" wrapText="1" indent="2"/>
    </xf>
    <xf numFmtId="0" fontId="47" fillId="7" borderId="23" xfId="12" applyFont="1" applyFill="1" applyBorder="1"/>
    <xf numFmtId="171" fontId="61" fillId="10" borderId="0" xfId="13" applyFont="1" applyFill="1" applyBorder="1" applyAlignment="1">
      <alignment vertical="center" wrapText="1"/>
    </xf>
    <xf numFmtId="172" fontId="52" fillId="6" borderId="0" xfId="13" applyNumberFormat="1" applyFont="1" applyFill="1" applyBorder="1" applyAlignment="1">
      <alignment horizontal="center" vertical="center"/>
    </xf>
    <xf numFmtId="1" fontId="46" fillId="7" borderId="15" xfId="12" applyNumberFormat="1" applyFont="1" applyFill="1" applyBorder="1" applyAlignment="1">
      <alignment horizontal="center" vertical="center"/>
    </xf>
    <xf numFmtId="1" fontId="46" fillId="7" borderId="18" xfId="12" applyNumberFormat="1" applyFont="1" applyFill="1" applyBorder="1" applyAlignment="1">
      <alignment horizontal="center" vertical="center"/>
    </xf>
    <xf numFmtId="0" fontId="47" fillId="7" borderId="14" xfId="12" applyFont="1" applyFill="1" applyBorder="1" applyAlignment="1">
      <alignment horizontal="left" vertical="center" wrapText="1" indent="2"/>
    </xf>
    <xf numFmtId="0" fontId="47" fillId="7" borderId="8" xfId="12" applyFont="1" applyFill="1" applyBorder="1"/>
    <xf numFmtId="0" fontId="2" fillId="0" borderId="0" xfId="14" applyFont="1" applyBorder="1"/>
    <xf numFmtId="0" fontId="2" fillId="0" borderId="0" xfId="14" applyFont="1"/>
    <xf numFmtId="172" fontId="50" fillId="6" borderId="0" xfId="13" applyNumberFormat="1" applyFont="1" applyFill="1" applyBorder="1" applyAlignment="1">
      <alignment horizontal="center" vertical="center"/>
    </xf>
    <xf numFmtId="171" fontId="61" fillId="10" borderId="0" xfId="13" applyFont="1" applyFill="1" applyBorder="1" applyAlignment="1">
      <alignment horizontal="left" vertical="center" wrapText="1"/>
    </xf>
    <xf numFmtId="171" fontId="62" fillId="10" borderId="0" xfId="13" applyFont="1" applyFill="1" applyBorder="1" applyAlignment="1">
      <alignment vertical="center" wrapText="1"/>
    </xf>
    <xf numFmtId="172" fontId="59" fillId="10" borderId="0" xfId="13" applyNumberFormat="1" applyFont="1" applyFill="1" applyBorder="1"/>
    <xf numFmtId="171" fontId="59" fillId="10" borderId="0" xfId="13" applyFont="1" applyFill="1" applyBorder="1"/>
    <xf numFmtId="172" fontId="25" fillId="0" borderId="16" xfId="13" applyNumberFormat="1" applyFont="1" applyFill="1" applyBorder="1" applyAlignment="1">
      <alignment horizontal="center" vertical="center"/>
    </xf>
    <xf numFmtId="172" fontId="25" fillId="0" borderId="1" xfId="13" applyNumberFormat="1" applyFont="1" applyFill="1" applyBorder="1" applyAlignment="1">
      <alignment horizontal="center" vertical="center"/>
    </xf>
    <xf numFmtId="172" fontId="25" fillId="0" borderId="29" xfId="13" applyNumberFormat="1" applyFont="1" applyFill="1" applyBorder="1" applyAlignment="1">
      <alignment horizontal="center" vertical="center"/>
    </xf>
    <xf numFmtId="171" fontId="63" fillId="0" borderId="0" xfId="13" applyFont="1" applyFill="1" applyBorder="1" applyAlignment="1">
      <alignment vertical="center"/>
    </xf>
    <xf numFmtId="171" fontId="64" fillId="10" borderId="0" xfId="13" applyFont="1" applyFill="1" applyBorder="1"/>
    <xf numFmtId="171" fontId="64" fillId="2" borderId="0" xfId="13" applyFont="1" applyFill="1" applyBorder="1"/>
    <xf numFmtId="171" fontId="36" fillId="0" borderId="14" xfId="13" applyFont="1" applyFill="1" applyBorder="1" applyAlignment="1">
      <alignment vertical="center"/>
    </xf>
    <xf numFmtId="172" fontId="65" fillId="0" borderId="0" xfId="13" applyNumberFormat="1" applyFont="1" applyFill="1" applyBorder="1" applyAlignment="1">
      <alignment horizontal="center" vertical="center"/>
    </xf>
    <xf numFmtId="172" fontId="66" fillId="8" borderId="0" xfId="13" applyNumberFormat="1" applyFont="1" applyFill="1" applyBorder="1"/>
    <xf numFmtId="172" fontId="67" fillId="8" borderId="0" xfId="13" applyNumberFormat="1" applyFont="1" applyFill="1" applyBorder="1" applyAlignment="1">
      <alignment horizontal="center" vertical="center"/>
    </xf>
    <xf numFmtId="171" fontId="66" fillId="2" borderId="0" xfId="13" applyFont="1" applyFill="1" applyBorder="1"/>
    <xf numFmtId="171" fontId="66" fillId="8" borderId="0" xfId="13" applyFont="1" applyFill="1" applyBorder="1"/>
    <xf numFmtId="172" fontId="68" fillId="0" borderId="17" xfId="13" applyNumberFormat="1" applyFont="1" applyFill="1" applyBorder="1" applyAlignment="1">
      <alignment horizontal="center" vertical="center"/>
    </xf>
    <xf numFmtId="172" fontId="69" fillId="0" borderId="0" xfId="13" applyNumberFormat="1" applyFont="1" applyFill="1" applyBorder="1" applyAlignment="1">
      <alignment horizontal="center" vertical="center"/>
    </xf>
    <xf numFmtId="172" fontId="70" fillId="0" borderId="0" xfId="13" applyNumberFormat="1" applyFont="1" applyFill="1" applyBorder="1" applyAlignment="1">
      <alignment horizontal="center" vertical="center"/>
    </xf>
    <xf numFmtId="172" fontId="69" fillId="6" borderId="0" xfId="13" applyNumberFormat="1" applyFont="1" applyFill="1" applyBorder="1" applyAlignment="1">
      <alignment horizontal="center" vertical="center"/>
    </xf>
    <xf numFmtId="172" fontId="70" fillId="2" borderId="0" xfId="13" applyNumberFormat="1" applyFont="1" applyFill="1" applyBorder="1" applyAlignment="1">
      <alignment horizontal="center" vertical="center"/>
    </xf>
    <xf numFmtId="172" fontId="70" fillId="6" borderId="0" xfId="13" applyNumberFormat="1" applyFont="1" applyFill="1" applyBorder="1" applyAlignment="1">
      <alignment horizontal="center" vertical="center"/>
    </xf>
    <xf numFmtId="171" fontId="36" fillId="0" borderId="33" xfId="13" applyFont="1" applyFill="1" applyBorder="1" applyAlignment="1">
      <alignment vertical="center" wrapText="1"/>
    </xf>
    <xf numFmtId="171" fontId="38" fillId="9" borderId="0" xfId="13" applyFont="1" applyFill="1" applyBorder="1" applyAlignment="1">
      <alignment vertical="center" wrapText="1"/>
    </xf>
    <xf numFmtId="172" fontId="67" fillId="6" borderId="0" xfId="13" applyNumberFormat="1" applyFont="1" applyFill="1" applyBorder="1" applyAlignment="1">
      <alignment horizontal="center" vertical="center"/>
    </xf>
    <xf numFmtId="172" fontId="67" fillId="2" borderId="0" xfId="13" applyNumberFormat="1" applyFont="1" applyFill="1" applyBorder="1" applyAlignment="1">
      <alignment horizontal="center" vertical="center"/>
    </xf>
    <xf numFmtId="172" fontId="71" fillId="6" borderId="0" xfId="13" applyNumberFormat="1" applyFont="1" applyFill="1" applyBorder="1" applyAlignment="1">
      <alignment horizontal="center" vertical="center"/>
    </xf>
    <xf numFmtId="0" fontId="72" fillId="0" borderId="0" xfId="14" applyFont="1" applyBorder="1"/>
    <xf numFmtId="171" fontId="51" fillId="6" borderId="0" xfId="13" applyFont="1" applyFill="1" applyBorder="1" applyAlignment="1">
      <alignment vertical="center"/>
    </xf>
    <xf numFmtId="171" fontId="53" fillId="0" borderId="27" xfId="13" applyFont="1" applyFill="1" applyBorder="1" applyAlignment="1">
      <alignment vertical="center"/>
    </xf>
    <xf numFmtId="171" fontId="53" fillId="0" borderId="30" xfId="13" applyFont="1" applyFill="1" applyBorder="1" applyAlignment="1">
      <alignment vertical="center" wrapText="1"/>
    </xf>
    <xf numFmtId="172" fontId="53" fillId="6" borderId="31" xfId="13" applyNumberFormat="1" applyFont="1" applyFill="1" applyBorder="1" applyAlignment="1">
      <alignment horizontal="center" vertical="center"/>
    </xf>
    <xf numFmtId="172" fontId="53" fillId="6" borderId="32" xfId="13" applyNumberFormat="1" applyFont="1" applyFill="1" applyBorder="1" applyAlignment="1">
      <alignment horizontal="center" vertical="center"/>
    </xf>
    <xf numFmtId="172" fontId="53" fillId="6" borderId="6" xfId="13" applyNumberFormat="1" applyFont="1" applyFill="1" applyBorder="1" applyAlignment="1">
      <alignment horizontal="center" vertical="center"/>
    </xf>
    <xf numFmtId="1" fontId="46" fillId="7" borderId="17" xfId="12" applyNumberFormat="1" applyFont="1" applyFill="1" applyBorder="1" applyAlignment="1">
      <alignment horizontal="center" vertical="center"/>
    </xf>
    <xf numFmtId="1" fontId="46" fillId="7" borderId="0" xfId="12" applyNumberFormat="1" applyFont="1" applyFill="1" applyBorder="1" applyAlignment="1">
      <alignment horizontal="center" vertical="center"/>
    </xf>
    <xf numFmtId="172" fontId="76" fillId="8" borderId="0" xfId="13" applyNumberFormat="1" applyFont="1" applyFill="1" applyBorder="1"/>
    <xf numFmtId="172" fontId="77" fillId="8" borderId="0" xfId="13" applyNumberFormat="1" applyFont="1" applyFill="1" applyBorder="1" applyAlignment="1">
      <alignment horizontal="center" vertical="center"/>
    </xf>
    <xf numFmtId="171" fontId="76" fillId="2" borderId="0" xfId="13" applyFont="1" applyFill="1" applyBorder="1"/>
    <xf numFmtId="171" fontId="76" fillId="8" borderId="0" xfId="13" applyFont="1" applyFill="1" applyBorder="1"/>
    <xf numFmtId="172" fontId="25" fillId="11" borderId="17" xfId="13" applyNumberFormat="1" applyFont="1" applyFill="1" applyBorder="1" applyAlignment="1">
      <alignment horizontal="center" vertical="center"/>
    </xf>
    <xf numFmtId="172" fontId="25" fillId="11" borderId="0" xfId="13" applyNumberFormat="1" applyFont="1" applyFill="1" applyBorder="1" applyAlignment="1">
      <alignment horizontal="center" vertical="center"/>
    </xf>
    <xf numFmtId="172" fontId="25" fillId="11" borderId="8" xfId="13" applyNumberFormat="1" applyFont="1" applyFill="1" applyBorder="1" applyAlignment="1">
      <alignment horizontal="center" vertical="center"/>
    </xf>
    <xf numFmtId="172" fontId="45" fillId="0" borderId="0" xfId="14" applyNumberFormat="1" applyFont="1" applyBorder="1" applyAlignment="1">
      <alignment vertical="center" wrapText="1"/>
    </xf>
    <xf numFmtId="0" fontId="1" fillId="0" borderId="0" xfId="14" applyFont="1"/>
    <xf numFmtId="171" fontId="78" fillId="8" borderId="0" xfId="13" applyFont="1" applyFill="1" applyBorder="1" applyAlignment="1">
      <alignment vertical="center" wrapText="1"/>
    </xf>
    <xf numFmtId="171" fontId="48" fillId="8" borderId="0" xfId="13" applyFont="1" applyFill="1" applyBorder="1" applyAlignment="1">
      <alignment wrapText="1"/>
    </xf>
    <xf numFmtId="172" fontId="79" fillId="8" borderId="0" xfId="13" applyNumberFormat="1" applyFont="1" applyFill="1" applyBorder="1"/>
    <xf numFmtId="171" fontId="79" fillId="8" borderId="0" xfId="13" applyFont="1" applyFill="1" applyBorder="1"/>
    <xf numFmtId="171" fontId="79" fillId="2" borderId="0" xfId="13" applyFont="1" applyFill="1" applyBorder="1"/>
    <xf numFmtId="171" fontId="51" fillId="9" borderId="0" xfId="13" applyFont="1" applyFill="1" applyBorder="1" applyAlignment="1">
      <alignment vertical="center"/>
    </xf>
    <xf numFmtId="0" fontId="45" fillId="0" borderId="0" xfId="14" applyFont="1" applyBorder="1" applyAlignment="1">
      <alignment vertical="center" wrapText="1"/>
    </xf>
    <xf numFmtId="173" fontId="70" fillId="0" borderId="0" xfId="13" applyNumberFormat="1" applyFont="1" applyFill="1" applyBorder="1" applyAlignment="1">
      <alignment horizontal="center" vertical="center"/>
    </xf>
    <xf numFmtId="0" fontId="80" fillId="0" borderId="0" xfId="14" applyFont="1" applyAlignment="1">
      <alignment horizontal="left"/>
    </xf>
    <xf numFmtId="172" fontId="53" fillId="0" borderId="0" xfId="13" applyNumberFormat="1" applyFont="1" applyBorder="1" applyAlignment="1">
      <alignment horizontal="center" vertical="center"/>
    </xf>
    <xf numFmtId="0" fontId="82" fillId="0" borderId="0" xfId="14" applyFont="1" applyBorder="1" applyAlignment="1">
      <alignment horizontal="left"/>
    </xf>
    <xf numFmtId="0" fontId="1" fillId="2" borderId="0" xfId="14" applyFill="1" applyBorder="1"/>
    <xf numFmtId="0" fontId="80" fillId="0" borderId="0" xfId="14" applyFont="1"/>
    <xf numFmtId="0" fontId="82" fillId="0" borderId="0" xfId="14" applyFont="1" applyBorder="1" applyAlignment="1">
      <alignment wrapText="1"/>
    </xf>
    <xf numFmtId="0" fontId="1" fillId="0" borderId="0" xfId="14" applyFill="1" applyBorder="1"/>
    <xf numFmtId="0" fontId="80" fillId="0" borderId="0" xfId="14" applyFont="1" applyFill="1" applyAlignment="1">
      <alignment horizontal="left"/>
    </xf>
    <xf numFmtId="0" fontId="80" fillId="0" borderId="0" xfId="14" applyFont="1" applyAlignment="1">
      <alignment horizontal="left" wrapText="1"/>
    </xf>
    <xf numFmtId="165" fontId="80" fillId="0" borderId="0" xfId="14" applyNumberFormat="1" applyFont="1"/>
    <xf numFmtId="0" fontId="82" fillId="0" borderId="0" xfId="14" applyFont="1" applyFill="1" applyAlignment="1">
      <alignment horizontal="left"/>
    </xf>
    <xf numFmtId="174" fontId="56" fillId="0" borderId="0" xfId="15" applyNumberFormat="1" applyFont="1" applyFill="1" applyBorder="1" applyAlignment="1">
      <alignment horizontal="center" vertical="center"/>
    </xf>
    <xf numFmtId="174" fontId="1" fillId="0" borderId="0" xfId="14" applyNumberFormat="1" applyBorder="1"/>
    <xf numFmtId="174" fontId="1" fillId="2" borderId="0" xfId="14" applyNumberFormat="1" applyFill="1" applyBorder="1"/>
    <xf numFmtId="0" fontId="1" fillId="2" borderId="0" xfId="14" applyFill="1"/>
    <xf numFmtId="175" fontId="51" fillId="0" borderId="0" xfId="13" applyNumberFormat="1" applyFont="1" applyFill="1" applyBorder="1" applyAlignment="1">
      <alignment vertical="center"/>
    </xf>
    <xf numFmtId="49" fontId="26" fillId="0" borderId="11" xfId="5" applyNumberFormat="1" applyFont="1" applyFill="1" applyBorder="1" applyAlignment="1">
      <alignment horizontal="left" vertical="center" wrapText="1"/>
    </xf>
    <xf numFmtId="4" fontId="25" fillId="0" borderId="11" xfId="5" applyNumberFormat="1" applyFont="1" applyFill="1" applyBorder="1" applyAlignment="1">
      <alignment horizontal="right" vertical="center" wrapText="1"/>
    </xf>
    <xf numFmtId="49" fontId="26" fillId="0" borderId="15" xfId="5" applyNumberFormat="1" applyFont="1" applyFill="1" applyBorder="1" applyAlignment="1">
      <alignment horizontal="left" vertical="center" wrapText="1"/>
    </xf>
    <xf numFmtId="49" fontId="19" fillId="0" borderId="15" xfId="5" applyNumberFormat="1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wrapText="1"/>
    </xf>
    <xf numFmtId="0" fontId="45" fillId="0" borderId="11" xfId="0" applyFont="1" applyBorder="1" applyAlignment="1">
      <alignment wrapText="1"/>
    </xf>
    <xf numFmtId="0" fontId="45" fillId="0" borderId="11" xfId="0" applyFont="1" applyBorder="1"/>
    <xf numFmtId="0" fontId="45" fillId="0" borderId="11" xfId="0" applyFont="1" applyBorder="1" applyAlignment="1">
      <alignment horizontal="center" vertical="top"/>
    </xf>
    <xf numFmtId="0" fontId="45" fillId="0" borderId="11" xfId="0" applyFont="1" applyBorder="1" applyAlignment="1">
      <alignment vertical="top"/>
    </xf>
    <xf numFmtId="0" fontId="45" fillId="0" borderId="11" xfId="0" applyFont="1" applyBorder="1" applyAlignment="1">
      <alignment vertical="top" wrapText="1"/>
    </xf>
    <xf numFmtId="4" fontId="84" fillId="2" borderId="11" xfId="0" applyNumberFormat="1" applyFont="1" applyFill="1" applyBorder="1" applyAlignment="1">
      <alignment vertical="top"/>
    </xf>
    <xf numFmtId="0" fontId="86" fillId="0" borderId="11" xfId="0" applyFont="1" applyBorder="1" applyAlignment="1">
      <alignment vertical="top" wrapText="1"/>
    </xf>
    <xf numFmtId="0" fontId="86" fillId="0" borderId="11" xfId="0" applyFont="1" applyBorder="1" applyAlignment="1">
      <alignment vertical="top"/>
    </xf>
    <xf numFmtId="164" fontId="45" fillId="0" borderId="11" xfId="0" applyNumberFormat="1" applyFont="1" applyBorder="1"/>
    <xf numFmtId="0" fontId="84" fillId="0" borderId="11" xfId="0" applyFont="1" applyBorder="1" applyAlignment="1">
      <alignment wrapText="1"/>
    </xf>
    <xf numFmtId="9" fontId="84" fillId="0" borderId="11" xfId="0" applyNumberFormat="1" applyFont="1" applyBorder="1"/>
    <xf numFmtId="167" fontId="45" fillId="0" borderId="11" xfId="0" applyNumberFormat="1" applyFont="1" applyBorder="1"/>
    <xf numFmtId="169" fontId="84" fillId="0" borderId="11" xfId="0" applyNumberFormat="1" applyFont="1" applyBorder="1"/>
    <xf numFmtId="9" fontId="45" fillId="0" borderId="11" xfId="2" applyFont="1" applyBorder="1"/>
    <xf numFmtId="0" fontId="45" fillId="0" borderId="11" xfId="0" applyFont="1" applyBorder="1" applyAlignment="1">
      <alignment horizontal="right"/>
    </xf>
    <xf numFmtId="10" fontId="45" fillId="0" borderId="11" xfId="2" applyNumberFormat="1" applyFont="1" applyBorder="1"/>
    <xf numFmtId="1" fontId="45" fillId="0" borderId="11" xfId="0" applyNumberFormat="1" applyFont="1" applyBorder="1"/>
    <xf numFmtId="9" fontId="26" fillId="0" borderId="11" xfId="0" applyNumberFormat="1" applyFont="1" applyBorder="1"/>
    <xf numFmtId="0" fontId="84" fillId="0" borderId="11" xfId="0" applyFont="1" applyBorder="1"/>
    <xf numFmtId="44" fontId="84" fillId="0" borderId="11" xfId="0" applyNumberFormat="1" applyFont="1" applyBorder="1"/>
    <xf numFmtId="0" fontId="84" fillId="0" borderId="11" xfId="0" applyFont="1" applyFill="1" applyBorder="1" applyAlignment="1">
      <alignment vertical="center" wrapText="1"/>
    </xf>
    <xf numFmtId="0" fontId="45" fillId="0" borderId="11" xfId="0" applyFont="1" applyBorder="1" applyAlignment="1">
      <alignment horizont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35" xfId="0" applyFont="1" applyBorder="1" applyAlignment="1">
      <alignment horizontal="center" wrapText="1"/>
    </xf>
    <xf numFmtId="0" fontId="84" fillId="2" borderId="11" xfId="0" applyFont="1" applyFill="1" applyBorder="1"/>
    <xf numFmtId="164" fontId="86" fillId="0" borderId="11" xfId="0" applyNumberFormat="1" applyFont="1" applyBorder="1" applyAlignment="1">
      <alignment vertical="top"/>
    </xf>
    <xf numFmtId="0" fontId="45" fillId="0" borderId="11" xfId="0" applyFont="1" applyBorder="1" applyAlignment="1">
      <alignment horizontal="center" vertical="top" wrapText="1"/>
    </xf>
    <xf numFmtId="2" fontId="19" fillId="0" borderId="0" xfId="5" applyNumberFormat="1" applyFont="1" applyFill="1" applyBorder="1" applyAlignment="1">
      <alignment vertical="center" wrapText="1"/>
    </xf>
    <xf numFmtId="2" fontId="19" fillId="0" borderId="0" xfId="5" applyNumberFormat="1" applyFont="1" applyFill="1"/>
    <xf numFmtId="49" fontId="11" fillId="12" borderId="36" xfId="0" applyNumberFormat="1" applyFont="1" applyFill="1" applyBorder="1" applyAlignment="1">
      <alignment horizontal="center" vertical="center"/>
    </xf>
    <xf numFmtId="0" fontId="11" fillId="12" borderId="11" xfId="0" applyFont="1" applyFill="1" applyBorder="1" applyAlignment="1">
      <alignment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/>
    </xf>
    <xf numFmtId="0" fontId="88" fillId="5" borderId="37" xfId="0" applyFont="1" applyFill="1" applyBorder="1" applyAlignment="1">
      <alignment vertical="center"/>
    </xf>
    <xf numFmtId="0" fontId="11" fillId="3" borderId="0" xfId="0" applyNumberFormat="1" applyFont="1" applyFill="1" applyBorder="1" applyAlignment="1">
      <alignment vertical="center" wrapText="1"/>
    </xf>
    <xf numFmtId="49" fontId="11" fillId="5" borderId="36" xfId="0" applyNumberFormat="1" applyFont="1" applyFill="1" applyBorder="1" applyAlignment="1">
      <alignment horizontal="center" vertical="center"/>
    </xf>
    <xf numFmtId="0" fontId="0" fillId="3" borderId="0" xfId="0" applyNumberFormat="1" applyFill="1" applyAlignment="1">
      <alignment wrapText="1"/>
    </xf>
    <xf numFmtId="0" fontId="11" fillId="5" borderId="37" xfId="0" applyFont="1" applyFill="1" applyBorder="1" applyAlignment="1">
      <alignment vertical="center"/>
    </xf>
    <xf numFmtId="0" fontId="11" fillId="6" borderId="11" xfId="0" applyFont="1" applyFill="1" applyBorder="1" applyAlignment="1">
      <alignment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/>
    </xf>
    <xf numFmtId="0" fontId="11" fillId="12" borderId="6" xfId="0" applyFont="1" applyFill="1" applyBorder="1" applyAlignment="1">
      <alignment horizontal="center" vertical="center" wrapText="1"/>
    </xf>
    <xf numFmtId="49" fontId="11" fillId="12" borderId="6" xfId="0" applyNumberFormat="1" applyFont="1" applyFill="1" applyBorder="1" applyAlignment="1">
      <alignment horizontal="center" vertical="center"/>
    </xf>
    <xf numFmtId="0" fontId="11" fillId="12" borderId="6" xfId="0" applyNumberFormat="1" applyFont="1" applyFill="1" applyBorder="1" applyAlignment="1">
      <alignment vertical="center" wrapText="1"/>
    </xf>
    <xf numFmtId="0" fontId="11" fillId="5" borderId="11" xfId="0" applyFont="1" applyFill="1" applyBorder="1" applyAlignment="1">
      <alignment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88" fillId="5" borderId="37" xfId="0" applyFont="1" applyFill="1" applyBorder="1" applyAlignment="1">
      <alignment vertical="center" wrapText="1"/>
    </xf>
    <xf numFmtId="49" fontId="11" fillId="5" borderId="22" xfId="0" applyNumberFormat="1" applyFont="1" applyFill="1" applyBorder="1" applyAlignment="1">
      <alignment horizontal="center" vertical="center"/>
    </xf>
    <xf numFmtId="49" fontId="13" fillId="2" borderId="36" xfId="0" applyNumberFormat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49" fontId="13" fillId="2" borderId="6" xfId="0" applyNumberFormat="1" applyFont="1" applyFill="1" applyBorder="1" applyAlignment="1">
      <alignment horizontal="center" vertical="center"/>
    </xf>
    <xf numFmtId="0" fontId="11" fillId="12" borderId="8" xfId="0" applyNumberFormat="1" applyFont="1" applyFill="1" applyBorder="1" applyAlignment="1">
      <alignment vertical="center" wrapText="1"/>
    </xf>
    <xf numFmtId="0" fontId="13" fillId="12" borderId="11" xfId="0" applyFont="1" applyFill="1" applyBorder="1" applyAlignment="1">
      <alignment horizontal="center" vertical="center"/>
    </xf>
    <xf numFmtId="4" fontId="0" fillId="0" borderId="0" xfId="0" applyNumberFormat="1"/>
    <xf numFmtId="0" fontId="89" fillId="3" borderId="6" xfId="0" applyNumberFormat="1" applyFont="1" applyFill="1" applyBorder="1" applyAlignment="1">
      <alignment vertical="center" wrapText="1"/>
    </xf>
    <xf numFmtId="49" fontId="11" fillId="12" borderId="11" xfId="0" applyNumberFormat="1" applyFont="1" applyFill="1" applyBorder="1" applyAlignment="1">
      <alignment horizontal="center" vertical="center"/>
    </xf>
    <xf numFmtId="0" fontId="11" fillId="12" borderId="11" xfId="0" applyFont="1" applyFill="1" applyBorder="1" applyAlignment="1">
      <alignment vertical="center"/>
    </xf>
    <xf numFmtId="0" fontId="88" fillId="5" borderId="38" xfId="0" applyFont="1" applyFill="1" applyBorder="1" applyAlignment="1">
      <alignment vertical="center" wrapText="1"/>
    </xf>
    <xf numFmtId="0" fontId="19" fillId="0" borderId="11" xfId="5" applyFont="1" applyFill="1" applyBorder="1" applyAlignment="1">
      <alignment horizontal="center" vertical="center" wrapText="1"/>
    </xf>
    <xf numFmtId="0" fontId="19" fillId="0" borderId="11" xfId="5" applyFont="1" applyFill="1" applyBorder="1" applyAlignment="1">
      <alignment horizontal="center" vertical="center"/>
    </xf>
    <xf numFmtId="0" fontId="19" fillId="0" borderId="0" xfId="5" applyFont="1" applyFill="1" applyAlignment="1">
      <alignment horizontal="center"/>
    </xf>
    <xf numFmtId="0" fontId="11" fillId="3" borderId="5" xfId="0" applyNumberFormat="1" applyFont="1" applyFill="1" applyBorder="1" applyAlignment="1">
      <alignment vertical="center" wrapText="1"/>
    </xf>
    <xf numFmtId="49" fontId="11" fillId="6" borderId="36" xfId="0" applyNumberFormat="1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/>
    </xf>
    <xf numFmtId="0" fontId="90" fillId="0" borderId="0" xfId="0" applyFont="1"/>
    <xf numFmtId="0" fontId="88" fillId="5" borderId="38" xfId="0" applyFont="1" applyFill="1" applyBorder="1" applyAlignment="1">
      <alignment vertical="center"/>
    </xf>
    <xf numFmtId="0" fontId="11" fillId="4" borderId="11" xfId="0" applyFont="1" applyFill="1" applyBorder="1" applyAlignment="1">
      <alignment horizontal="center" vertical="center"/>
    </xf>
    <xf numFmtId="0" fontId="11" fillId="12" borderId="5" xfId="0" applyNumberFormat="1" applyFont="1" applyFill="1" applyBorder="1" applyAlignment="1">
      <alignment vertical="center" wrapText="1"/>
    </xf>
    <xf numFmtId="0" fontId="0" fillId="0" borderId="14" xfId="0" applyBorder="1" applyAlignment="1">
      <alignment horizontal="left"/>
    </xf>
    <xf numFmtId="49" fontId="11" fillId="12" borderId="36" xfId="0" applyNumberFormat="1" applyFont="1" applyFill="1" applyBorder="1" applyAlignment="1">
      <alignment horizontal="center" vertical="center"/>
    </xf>
    <xf numFmtId="0" fontId="11" fillId="12" borderId="11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/>
    </xf>
    <xf numFmtId="0" fontId="11" fillId="5" borderId="37" xfId="0" applyFont="1" applyFill="1" applyBorder="1" applyAlignment="1">
      <alignment vertical="center"/>
    </xf>
    <xf numFmtId="0" fontId="13" fillId="3" borderId="6" xfId="0" applyNumberFormat="1" applyFont="1" applyFill="1" applyBorder="1" applyAlignment="1">
      <alignment vertical="center" wrapText="1"/>
    </xf>
    <xf numFmtId="0" fontId="11" fillId="12" borderId="16" xfId="0" applyFont="1" applyFill="1" applyBorder="1" applyAlignment="1">
      <alignment vertical="center" wrapText="1"/>
    </xf>
    <xf numFmtId="0" fontId="11" fillId="12" borderId="16" xfId="0" applyFont="1" applyFill="1" applyBorder="1" applyAlignment="1">
      <alignment horizontal="center" vertical="center" wrapText="1"/>
    </xf>
    <xf numFmtId="0" fontId="11" fillId="12" borderId="16" xfId="0" applyFont="1" applyFill="1" applyBorder="1" applyAlignment="1">
      <alignment horizontal="center" vertical="center"/>
    </xf>
    <xf numFmtId="49" fontId="10" fillId="5" borderId="39" xfId="0" applyNumberFormat="1" applyFont="1" applyFill="1" applyBorder="1" applyAlignment="1">
      <alignment horizontal="center" vertical="center"/>
    </xf>
    <xf numFmtId="0" fontId="13" fillId="12" borderId="6" xfId="0" applyNumberFormat="1" applyFont="1" applyFill="1" applyBorder="1" applyAlignment="1">
      <alignment vertical="center" wrapText="1"/>
    </xf>
    <xf numFmtId="0" fontId="11" fillId="6" borderId="37" xfId="0" applyFont="1" applyFill="1" applyBorder="1" applyAlignment="1">
      <alignment vertical="center"/>
    </xf>
    <xf numFmtId="0" fontId="11" fillId="5" borderId="38" xfId="0" applyFont="1" applyFill="1" applyBorder="1" applyAlignment="1">
      <alignment vertical="center"/>
    </xf>
    <xf numFmtId="0" fontId="8" fillId="2" borderId="0" xfId="0" applyFont="1" applyFill="1"/>
    <xf numFmtId="49" fontId="11" fillId="2" borderId="36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vertical="center"/>
    </xf>
    <xf numFmtId="0" fontId="0" fillId="2" borderId="0" xfId="0" applyFill="1"/>
    <xf numFmtId="0" fontId="11" fillId="2" borderId="0" xfId="0" applyNumberFormat="1" applyFont="1" applyFill="1" applyBorder="1" applyAlignment="1">
      <alignment vertical="center" wrapText="1"/>
    </xf>
    <xf numFmtId="4" fontId="17" fillId="0" borderId="0" xfId="4" applyNumberFormat="1" applyFont="1" applyFill="1" applyAlignment="1"/>
    <xf numFmtId="0" fontId="0" fillId="0" borderId="0" xfId="0" applyBorder="1"/>
    <xf numFmtId="49" fontId="13" fillId="2" borderId="11" xfId="0" applyNumberFormat="1" applyFont="1" applyFill="1" applyBorder="1" applyAlignment="1">
      <alignment horizontal="center" vertical="center"/>
    </xf>
    <xf numFmtId="49" fontId="11" fillId="12" borderId="22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11" fillId="2" borderId="6" xfId="0" applyNumberFormat="1" applyFont="1" applyFill="1" applyBorder="1" applyAlignment="1">
      <alignment vertical="center" wrapText="1"/>
    </xf>
    <xf numFmtId="0" fontId="45" fillId="6" borderId="11" xfId="0" applyFont="1" applyFill="1" applyBorder="1" applyAlignment="1">
      <alignment vertical="center" wrapText="1"/>
    </xf>
    <xf numFmtId="0" fontId="84" fillId="0" borderId="11" xfId="0" applyFont="1" applyBorder="1" applyAlignment="1">
      <alignment horizontal="center" vertical="top"/>
    </xf>
    <xf numFmtId="0" fontId="85" fillId="2" borderId="11" xfId="0" applyFont="1" applyFill="1" applyBorder="1" applyAlignment="1">
      <alignment vertical="top"/>
    </xf>
    <xf numFmtId="0" fontId="84" fillId="2" borderId="11" xfId="0" applyFont="1" applyFill="1" applyBorder="1" applyAlignment="1">
      <alignment vertical="top"/>
    </xf>
    <xf numFmtId="0" fontId="84" fillId="0" borderId="11" xfId="0" applyFont="1" applyBorder="1" applyAlignment="1">
      <alignment vertical="top" wrapText="1"/>
    </xf>
    <xf numFmtId="9" fontId="84" fillId="0" borderId="11" xfId="0" applyNumberFormat="1" applyFont="1" applyBorder="1" applyAlignment="1">
      <alignment vertical="top"/>
    </xf>
    <xf numFmtId="167" fontId="45" fillId="0" borderId="11" xfId="0" applyNumberFormat="1" applyFont="1" applyBorder="1" applyAlignment="1">
      <alignment vertical="top"/>
    </xf>
    <xf numFmtId="9" fontId="45" fillId="0" borderId="11" xfId="2" applyFont="1" applyBorder="1" applyAlignment="1">
      <alignment vertical="top"/>
    </xf>
    <xf numFmtId="10" fontId="45" fillId="0" borderId="11" xfId="2" applyNumberFormat="1" applyFont="1" applyBorder="1" applyAlignment="1">
      <alignment vertical="top"/>
    </xf>
    <xf numFmtId="0" fontId="45" fillId="0" borderId="11" xfId="0" applyFont="1" applyBorder="1" applyAlignment="1">
      <alignment horizontal="right" vertical="top"/>
    </xf>
    <xf numFmtId="0" fontId="84" fillId="0" borderId="11" xfId="0" applyFont="1" applyBorder="1" applyAlignment="1">
      <alignment vertical="top"/>
    </xf>
    <xf numFmtId="44" fontId="84" fillId="0" borderId="11" xfId="0" applyNumberFormat="1" applyFont="1" applyBorder="1" applyAlignment="1">
      <alignment vertical="top"/>
    </xf>
    <xf numFmtId="169" fontId="26" fillId="0" borderId="11" xfId="2" applyNumberFormat="1" applyFont="1" applyBorder="1" applyAlignment="1">
      <alignment vertical="top"/>
    </xf>
    <xf numFmtId="0" fontId="19" fillId="6" borderId="11" xfId="0" applyFont="1" applyFill="1" applyBorder="1" applyAlignment="1">
      <alignment horizontal="center" vertical="top" wrapText="1"/>
    </xf>
    <xf numFmtId="0" fontId="84" fillId="0" borderId="11" xfId="0" applyFont="1" applyFill="1" applyBorder="1" applyAlignment="1">
      <alignment vertical="top" wrapText="1"/>
    </xf>
    <xf numFmtId="0" fontId="80" fillId="0" borderId="11" xfId="0" applyFont="1" applyBorder="1" applyAlignment="1">
      <alignment vertical="top"/>
    </xf>
    <xf numFmtId="0" fontId="9" fillId="0" borderId="0" xfId="0" applyFont="1"/>
    <xf numFmtId="0" fontId="45" fillId="0" borderId="0" xfId="0" applyFont="1"/>
    <xf numFmtId="0" fontId="45" fillId="0" borderId="11" xfId="0" applyFont="1" applyFill="1" applyBorder="1" applyAlignment="1">
      <alignment vertical="top" wrapText="1"/>
    </xf>
    <xf numFmtId="0" fontId="85" fillId="4" borderId="11" xfId="0" applyFont="1" applyFill="1" applyBorder="1" applyAlignment="1">
      <alignment vertical="top"/>
    </xf>
    <xf numFmtId="169" fontId="45" fillId="0" borderId="11" xfId="2" applyNumberFormat="1" applyFont="1" applyBorder="1" applyAlignment="1">
      <alignment vertical="top"/>
    </xf>
    <xf numFmtId="0" fontId="45" fillId="12" borderId="11" xfId="0" applyFont="1" applyFill="1" applyBorder="1" applyAlignment="1">
      <alignment vertical="center" wrapText="1"/>
    </xf>
    <xf numFmtId="49" fontId="1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1" fillId="5" borderId="40" xfId="0" applyFont="1" applyFill="1" applyBorder="1" applyAlignment="1">
      <alignment horizontal="center" vertical="center"/>
    </xf>
    <xf numFmtId="49" fontId="11" fillId="5" borderId="40" xfId="0" applyNumberFormat="1" applyFont="1" applyFill="1" applyBorder="1" applyAlignment="1">
      <alignment horizontal="center" vertical="center"/>
    </xf>
    <xf numFmtId="0" fontId="11" fillId="5" borderId="40" xfId="0" applyFont="1" applyFill="1" applyBorder="1" applyAlignment="1">
      <alignment horizontal="center" vertical="center" wrapText="1"/>
    </xf>
    <xf numFmtId="0" fontId="11" fillId="3" borderId="41" xfId="0" applyNumberFormat="1" applyFont="1" applyFill="1" applyBorder="1" applyAlignment="1">
      <alignment horizontal="center" vertical="center" wrapText="1"/>
    </xf>
    <xf numFmtId="0" fontId="0" fillId="3" borderId="41" xfId="0" applyNumberFormat="1" applyFill="1" applyBorder="1" applyAlignment="1">
      <alignment wrapText="1"/>
    </xf>
    <xf numFmtId="0" fontId="11" fillId="3" borderId="41" xfId="0" applyNumberFormat="1" applyFont="1" applyFill="1" applyBorder="1" applyAlignment="1">
      <alignment vertical="center" wrapText="1"/>
    </xf>
    <xf numFmtId="0" fontId="11" fillId="3" borderId="8" xfId="0" applyNumberFormat="1" applyFont="1" applyFill="1" applyBorder="1" applyAlignment="1">
      <alignment vertical="center" wrapText="1"/>
    </xf>
    <xf numFmtId="49" fontId="0" fillId="0" borderId="0" xfId="0" applyNumberFormat="1"/>
    <xf numFmtId="0" fontId="89" fillId="6" borderId="0" xfId="16" applyFont="1" applyFill="1"/>
    <xf numFmtId="0" fontId="15" fillId="6" borderId="0" xfId="16" applyFont="1" applyFill="1"/>
    <xf numFmtId="0" fontId="15" fillId="6" borderId="0" xfId="16" applyFont="1" applyFill="1" applyAlignment="1">
      <alignment vertical="center"/>
    </xf>
    <xf numFmtId="0" fontId="89" fillId="6" borderId="1" xfId="16" applyFont="1" applyFill="1" applyBorder="1"/>
    <xf numFmtId="0" fontId="89" fillId="6" borderId="0" xfId="16" applyFont="1" applyFill="1" applyAlignment="1">
      <alignment vertical="center"/>
    </xf>
    <xf numFmtId="0" fontId="42" fillId="6" borderId="1" xfId="16" applyFont="1" applyFill="1" applyBorder="1" applyAlignment="1">
      <alignment horizontal="right"/>
    </xf>
    <xf numFmtId="49" fontId="42" fillId="6" borderId="11" xfId="16" applyNumberFormat="1" applyFont="1" applyFill="1" applyBorder="1" applyAlignment="1">
      <alignment horizontal="center" vertical="center" wrapText="1"/>
    </xf>
    <xf numFmtId="0" fontId="42" fillId="6" borderId="11" xfId="16" applyFont="1" applyFill="1" applyBorder="1" applyAlignment="1">
      <alignment horizontal="center" vertical="center" wrapText="1"/>
    </xf>
    <xf numFmtId="49" fontId="89" fillId="6" borderId="11" xfId="16" applyNumberFormat="1" applyFont="1" applyFill="1" applyBorder="1" applyAlignment="1">
      <alignment horizontal="center" vertical="center" wrapText="1"/>
    </xf>
    <xf numFmtId="0" fontId="89" fillId="0" borderId="11" xfId="11" applyFont="1" applyBorder="1" applyAlignment="1">
      <alignment vertical="center"/>
    </xf>
    <xf numFmtId="0" fontId="89" fillId="6" borderId="11" xfId="16" applyFont="1" applyFill="1" applyBorder="1" applyAlignment="1">
      <alignment horizontal="center" vertical="center" wrapText="1"/>
    </xf>
    <xf numFmtId="3" fontId="89" fillId="0" borderId="11" xfId="11" applyNumberFormat="1" applyFont="1" applyBorder="1" applyAlignment="1">
      <alignment horizontal="center" vertical="center"/>
    </xf>
    <xf numFmtId="3" fontId="89" fillId="6" borderId="11" xfId="16" applyNumberFormat="1" applyFont="1" applyFill="1" applyBorder="1" applyAlignment="1">
      <alignment horizontal="center" vertical="center" wrapText="1"/>
    </xf>
    <xf numFmtId="3" fontId="89" fillId="6" borderId="11" xfId="16" applyNumberFormat="1" applyFont="1" applyFill="1" applyBorder="1" applyAlignment="1">
      <alignment horizontal="center" vertical="center"/>
    </xf>
    <xf numFmtId="3" fontId="42" fillId="6" borderId="11" xfId="16" applyNumberFormat="1" applyFont="1" applyFill="1" applyBorder="1" applyAlignment="1">
      <alignment horizontal="center" vertical="center" wrapText="1"/>
    </xf>
    <xf numFmtId="49" fontId="89" fillId="6" borderId="43" xfId="16" applyNumberFormat="1" applyFont="1" applyFill="1" applyBorder="1" applyAlignment="1">
      <alignment horizontal="left" vertical="center" wrapText="1"/>
    </xf>
    <xf numFmtId="4" fontId="94" fillId="6" borderId="11" xfId="16" applyNumberFormat="1" applyFont="1" applyFill="1" applyBorder="1" applyAlignment="1">
      <alignment horizontal="center" vertical="center" wrapText="1"/>
    </xf>
    <xf numFmtId="3" fontId="89" fillId="6" borderId="11" xfId="16" applyNumberFormat="1" applyFont="1" applyFill="1" applyBorder="1" applyAlignment="1">
      <alignment horizontal="right" vertical="center" wrapText="1"/>
    </xf>
    <xf numFmtId="49" fontId="42" fillId="6" borderId="0" xfId="16" applyNumberFormat="1" applyFont="1" applyFill="1" applyBorder="1" applyAlignment="1">
      <alignment horizontal="right" vertical="center" wrapText="1"/>
    </xf>
    <xf numFmtId="3" fontId="42" fillId="0" borderId="0" xfId="16" applyNumberFormat="1" applyFont="1" applyFill="1" applyBorder="1" applyAlignment="1">
      <alignment horizontal="center" vertical="center" wrapText="1"/>
    </xf>
    <xf numFmtId="3" fontId="42" fillId="0" borderId="0" xfId="16" applyNumberFormat="1" applyFont="1" applyFill="1" applyBorder="1" applyAlignment="1">
      <alignment horizontal="right" vertical="center" wrapText="1"/>
    </xf>
    <xf numFmtId="49" fontId="92" fillId="6" borderId="0" xfId="16" applyNumberFormat="1" applyFont="1" applyFill="1" applyBorder="1" applyAlignment="1">
      <alignment horizontal="right" vertical="center" wrapText="1"/>
    </xf>
    <xf numFmtId="3" fontId="92" fillId="0" borderId="0" xfId="16" applyNumberFormat="1" applyFont="1" applyFill="1" applyBorder="1" applyAlignment="1">
      <alignment horizontal="right" vertical="center" wrapText="1"/>
    </xf>
    <xf numFmtId="0" fontId="95" fillId="0" borderId="0" xfId="11" applyFont="1" applyAlignment="1">
      <alignment vertical="center"/>
    </xf>
    <xf numFmtId="0" fontId="92" fillId="0" borderId="0" xfId="11" applyFont="1" applyAlignment="1">
      <alignment vertical="center"/>
    </xf>
    <xf numFmtId="0" fontId="92" fillId="0" borderId="0" xfId="11" applyFont="1"/>
    <xf numFmtId="0" fontId="17" fillId="0" borderId="11" xfId="11" applyFont="1" applyBorder="1" applyAlignment="1">
      <alignment vertical="center" wrapText="1"/>
    </xf>
    <xf numFmtId="0" fontId="17" fillId="0" borderId="11" xfId="11" applyFont="1" applyBorder="1" applyAlignment="1">
      <alignment horizontal="center" vertical="center" wrapText="1"/>
    </xf>
    <xf numFmtId="0" fontId="17" fillId="0" borderId="11" xfId="11" applyFont="1" applyBorder="1" applyAlignment="1">
      <alignment horizontal="center" vertical="center"/>
    </xf>
    <xf numFmtId="0" fontId="17" fillId="0" borderId="11" xfId="11" applyFont="1" applyBorder="1" applyAlignment="1">
      <alignment horizontal="center"/>
    </xf>
    <xf numFmtId="177" fontId="17" fillId="0" borderId="11" xfId="11" applyNumberFormat="1" applyFont="1" applyBorder="1" applyAlignment="1">
      <alignment horizontal="center"/>
    </xf>
    <xf numFmtId="0" fontId="17" fillId="6" borderId="11" xfId="11" applyFont="1" applyFill="1" applyBorder="1" applyAlignment="1">
      <alignment vertical="center"/>
    </xf>
    <xf numFmtId="0" fontId="17" fillId="6" borderId="11" xfId="11" applyFont="1" applyFill="1" applyBorder="1" applyAlignment="1">
      <alignment horizontal="center" vertical="center"/>
    </xf>
    <xf numFmtId="0" fontId="30" fillId="0" borderId="11" xfId="11" applyBorder="1" applyAlignment="1">
      <alignment horizontal="center" vertical="center" wrapText="1"/>
    </xf>
    <xf numFmtId="177" fontId="30" fillId="0" borderId="11" xfId="11" applyNumberFormat="1" applyBorder="1" applyAlignment="1">
      <alignment horizontal="center"/>
    </xf>
    <xf numFmtId="177" fontId="17" fillId="6" borderId="11" xfId="11" applyNumberFormat="1" applyFont="1" applyFill="1" applyBorder="1" applyAlignment="1">
      <alignment horizontal="center" vertical="center"/>
    </xf>
    <xf numFmtId="165" fontId="17" fillId="6" borderId="11" xfId="11" applyNumberFormat="1" applyFont="1" applyFill="1" applyBorder="1" applyAlignment="1">
      <alignment horizontal="center" vertical="center"/>
    </xf>
    <xf numFmtId="0" fontId="17" fillId="0" borderId="11" xfId="11" applyFont="1" applyBorder="1"/>
    <xf numFmtId="0" fontId="92" fillId="0" borderId="11" xfId="11" applyFont="1" applyBorder="1" applyAlignment="1">
      <alignment horizontal="center"/>
    </xf>
    <xf numFmtId="3" fontId="17" fillId="0" borderId="11" xfId="11" applyNumberFormat="1" applyFont="1" applyBorder="1" applyAlignment="1">
      <alignment horizontal="center"/>
    </xf>
    <xf numFmtId="0" fontId="93" fillId="0" borderId="11" xfId="11" applyFont="1" applyBorder="1" applyAlignment="1">
      <alignment vertical="center" wrapText="1"/>
    </xf>
    <xf numFmtId="3" fontId="93" fillId="0" borderId="11" xfId="11" applyNumberFormat="1" applyFont="1" applyBorder="1" applyAlignment="1">
      <alignment horizontal="center"/>
    </xf>
    <xf numFmtId="0" fontId="17" fillId="0" borderId="0" xfId="11" applyFont="1"/>
    <xf numFmtId="0" fontId="93" fillId="0" borderId="11" xfId="11" applyFont="1" applyFill="1" applyBorder="1" applyAlignment="1">
      <alignment horizontal="right"/>
    </xf>
    <xf numFmtId="4" fontId="93" fillId="0" borderId="11" xfId="11" applyNumberFormat="1" applyFont="1" applyBorder="1" applyAlignment="1">
      <alignment horizontal="center"/>
    </xf>
    <xf numFmtId="0" fontId="30" fillId="0" borderId="0" xfId="11"/>
    <xf numFmtId="0" fontId="96" fillId="0" borderId="0" xfId="11" applyFont="1" applyFill="1" applyBorder="1" applyAlignment="1">
      <alignment horizontal="right"/>
    </xf>
    <xf numFmtId="4" fontId="96" fillId="0" borderId="0" xfId="11" applyNumberFormat="1" applyFont="1" applyBorder="1" applyAlignment="1">
      <alignment horizontal="center"/>
    </xf>
    <xf numFmtId="0" fontId="89" fillId="6" borderId="43" xfId="16" applyNumberFormat="1" applyFont="1" applyFill="1" applyBorder="1" applyAlignment="1">
      <alignment horizontal="left" vertical="center" wrapText="1"/>
    </xf>
    <xf numFmtId="164" fontId="11" fillId="12" borderId="11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0" fontId="11" fillId="0" borderId="0" xfId="17" applyFont="1" applyFill="1" applyAlignment="1">
      <alignment horizontal="center"/>
    </xf>
    <xf numFmtId="0" fontId="11" fillId="0" borderId="0" xfId="17" applyFont="1" applyFill="1"/>
    <xf numFmtId="0" fontId="11" fillId="0" borderId="0" xfId="17" applyFont="1" applyFill="1" applyAlignment="1">
      <alignment wrapText="1"/>
    </xf>
    <xf numFmtId="4" fontId="11" fillId="0" borderId="0" xfId="17" applyNumberFormat="1" applyFont="1" applyFill="1"/>
    <xf numFmtId="0" fontId="30" fillId="0" borderId="0" xfId="11" applyFill="1"/>
    <xf numFmtId="0" fontId="11" fillId="0" borderId="11" xfId="24" quotePrefix="1" applyFont="1" applyFill="1" applyBorder="1" applyAlignment="1">
      <alignment horizontal="center" vertical="center" wrapText="1"/>
    </xf>
    <xf numFmtId="4" fontId="11" fillId="0" borderId="11" xfId="24" quotePrefix="1" applyNumberFormat="1" applyFont="1" applyFill="1" applyBorder="1" applyAlignment="1">
      <alignment horizontal="center" vertical="center" wrapText="1"/>
    </xf>
    <xf numFmtId="0" fontId="11" fillId="0" borderId="11" xfId="25" quotePrefix="1" applyFont="1" applyFill="1" applyBorder="1" applyAlignment="1">
      <alignment horizontal="left" vertical="center" wrapText="1"/>
    </xf>
    <xf numFmtId="0" fontId="11" fillId="0" borderId="11" xfId="25" quotePrefix="1" applyFont="1" applyFill="1" applyBorder="1" applyAlignment="1">
      <alignment horizontal="left" vertical="top" wrapText="1"/>
    </xf>
    <xf numFmtId="3" fontId="11" fillId="0" borderId="11" xfId="21" quotePrefix="1" applyNumberFormat="1" applyFont="1" applyFill="1" applyBorder="1" applyAlignment="1">
      <alignment horizontal="center" vertical="center" wrapText="1"/>
    </xf>
    <xf numFmtId="178" fontId="11" fillId="0" borderId="11" xfId="21" quotePrefix="1" applyNumberFormat="1" applyFont="1" applyFill="1" applyBorder="1" applyAlignment="1">
      <alignment horizontal="center" vertical="center" wrapText="1"/>
    </xf>
    <xf numFmtId="0" fontId="11" fillId="0" borderId="11" xfId="17" applyFont="1" applyFill="1" applyBorder="1" applyAlignment="1">
      <alignment wrapText="1"/>
    </xf>
    <xf numFmtId="2" fontId="11" fillId="0" borderId="11" xfId="21" quotePrefix="1" applyNumberFormat="1" applyFont="1" applyFill="1" applyBorder="1" applyAlignment="1">
      <alignment horizontal="center" vertical="center" wrapText="1"/>
    </xf>
    <xf numFmtId="0" fontId="11" fillId="0" borderId="11" xfId="21" quotePrefix="1" applyFont="1" applyFill="1" applyBorder="1" applyAlignment="1">
      <alignment horizontal="center" vertical="center" wrapText="1"/>
    </xf>
    <xf numFmtId="0" fontId="11" fillId="0" borderId="11" xfId="21" quotePrefix="1" applyNumberFormat="1" applyFont="1" applyFill="1" applyBorder="1" applyAlignment="1">
      <alignment horizontal="center" vertical="center" wrapText="1"/>
    </xf>
    <xf numFmtId="0" fontId="89" fillId="10" borderId="11" xfId="11" applyFont="1" applyFill="1" applyBorder="1" applyAlignment="1">
      <alignment horizontal="center" wrapText="1"/>
    </xf>
    <xf numFmtId="0" fontId="89" fillId="10" borderId="11" xfId="11" applyFont="1" applyFill="1" applyBorder="1" applyAlignment="1">
      <alignment horizontal="left" vertical="center" wrapText="1"/>
    </xf>
    <xf numFmtId="0" fontId="89" fillId="10" borderId="11" xfId="25" quotePrefix="1" applyFont="1" applyFill="1" applyBorder="1" applyAlignment="1">
      <alignment horizontal="left" vertical="center" wrapText="1"/>
    </xf>
    <xf numFmtId="3" fontId="89" fillId="10" borderId="11" xfId="21" quotePrefix="1" applyNumberFormat="1" applyFont="1" applyFill="1" applyBorder="1" applyAlignment="1">
      <alignment horizontal="center" vertical="center" wrapText="1"/>
    </xf>
    <xf numFmtId="178" fontId="89" fillId="10" borderId="11" xfId="21" quotePrefix="1" applyNumberFormat="1" applyFont="1" applyFill="1" applyBorder="1" applyAlignment="1">
      <alignment horizontal="center" vertical="center" wrapText="1"/>
    </xf>
    <xf numFmtId="0" fontId="89" fillId="10" borderId="11" xfId="17" applyFont="1" applyFill="1" applyBorder="1" applyAlignment="1">
      <alignment vertical="center" wrapText="1"/>
    </xf>
    <xf numFmtId="0" fontId="89" fillId="10" borderId="11" xfId="11" applyFont="1" applyFill="1" applyBorder="1" applyAlignment="1">
      <alignment horizontal="center" vertical="center" wrapText="1"/>
    </xf>
    <xf numFmtId="4" fontId="89" fillId="10" borderId="11" xfId="27" applyNumberFormat="1" applyFont="1" applyFill="1" applyBorder="1" applyAlignment="1">
      <alignment wrapText="1"/>
    </xf>
    <xf numFmtId="0" fontId="89" fillId="0" borderId="11" xfId="11" applyFont="1" applyBorder="1" applyAlignment="1">
      <alignment horizontal="center" wrapText="1"/>
    </xf>
    <xf numFmtId="0" fontId="89" fillId="0" borderId="11" xfId="11" quotePrefix="1" applyFont="1" applyFill="1" applyBorder="1" applyAlignment="1">
      <alignment vertical="center" wrapText="1"/>
    </xf>
    <xf numFmtId="0" fontId="89" fillId="0" borderId="11" xfId="25" quotePrefix="1" applyFont="1" applyFill="1" applyBorder="1" applyAlignment="1">
      <alignment horizontal="left" vertical="center" wrapText="1"/>
    </xf>
    <xf numFmtId="0" fontId="89" fillId="0" borderId="11" xfId="21" quotePrefix="1" applyFont="1" applyFill="1" applyBorder="1" applyAlignment="1">
      <alignment horizontal="left" vertical="center" wrapText="1"/>
    </xf>
    <xf numFmtId="0" fontId="89" fillId="0" borderId="11" xfId="17" applyFont="1" applyFill="1" applyBorder="1" applyAlignment="1">
      <alignment vertical="center" wrapText="1"/>
    </xf>
    <xf numFmtId="0" fontId="89" fillId="0" borderId="11" xfId="17" applyFont="1" applyFill="1" applyBorder="1" applyAlignment="1">
      <alignment horizontal="center" wrapText="1"/>
    </xf>
    <xf numFmtId="3" fontId="89" fillId="0" borderId="11" xfId="17" applyNumberFormat="1" applyFont="1" applyFill="1" applyBorder="1" applyAlignment="1">
      <alignment horizontal="center" wrapText="1"/>
    </xf>
    <xf numFmtId="0" fontId="89" fillId="0" borderId="11" xfId="11" applyFont="1" applyBorder="1" applyAlignment="1">
      <alignment horizontal="left" vertical="center" wrapText="1"/>
    </xf>
    <xf numFmtId="0" fontId="89" fillId="0" borderId="11" xfId="25" quotePrefix="1" applyFont="1" applyFill="1" applyBorder="1" applyAlignment="1">
      <alignment horizontal="left" vertical="top" wrapText="1"/>
    </xf>
    <xf numFmtId="0" fontId="89" fillId="0" borderId="11" xfId="21" quotePrefix="1" applyFont="1" applyFill="1" applyBorder="1" applyAlignment="1">
      <alignment horizontal="left" vertical="top" wrapText="1"/>
    </xf>
    <xf numFmtId="0" fontId="89" fillId="0" borderId="11" xfId="17" applyFont="1" applyFill="1" applyBorder="1" applyAlignment="1">
      <alignment wrapText="1"/>
    </xf>
    <xf numFmtId="0" fontId="89" fillId="0" borderId="11" xfId="11" applyFont="1" applyBorder="1" applyAlignment="1">
      <alignment horizontal="center" vertical="center" wrapText="1"/>
    </xf>
    <xf numFmtId="3" fontId="89" fillId="0" borderId="11" xfId="27" applyNumberFormat="1" applyFont="1" applyFill="1" applyBorder="1" applyAlignment="1">
      <alignment horizontal="center" wrapText="1"/>
    </xf>
    <xf numFmtId="0" fontId="98" fillId="0" borderId="0" xfId="11" applyFont="1" applyFill="1" applyAlignment="1">
      <alignment horizontal="center"/>
    </xf>
    <xf numFmtId="0" fontId="98" fillId="0" borderId="0" xfId="11" applyFont="1" applyFill="1"/>
    <xf numFmtId="4" fontId="98" fillId="0" borderId="0" xfId="11" applyNumberFormat="1" applyFont="1" applyFill="1"/>
    <xf numFmtId="2" fontId="98" fillId="0" borderId="0" xfId="11" applyNumberFormat="1" applyFont="1" applyFill="1" applyAlignment="1">
      <alignment horizontal="center"/>
    </xf>
    <xf numFmtId="0" fontId="30" fillId="0" borderId="0" xfId="11" applyFill="1" applyAlignment="1">
      <alignment horizontal="center"/>
    </xf>
    <xf numFmtId="4" fontId="30" fillId="0" borderId="0" xfId="11" applyNumberFormat="1" applyFill="1"/>
    <xf numFmtId="0" fontId="13" fillId="2" borderId="11" xfId="21" quotePrefix="1" applyFont="1" applyFill="1" applyBorder="1" applyAlignment="1">
      <alignment horizontal="center" vertical="top" wrapText="1"/>
    </xf>
    <xf numFmtId="10" fontId="15" fillId="6" borderId="0" xfId="2" applyNumberFormat="1" applyFont="1" applyFill="1"/>
    <xf numFmtId="0" fontId="99" fillId="0" borderId="0" xfId="11" applyFont="1" applyAlignment="1">
      <alignment vertical="center"/>
    </xf>
    <xf numFmtId="0" fontId="100" fillId="0" borderId="0" xfId="0" applyFont="1" applyAlignment="1">
      <alignment horizontal="right" vertical="center" wrapText="1" indent="9"/>
    </xf>
    <xf numFmtId="0" fontId="100" fillId="0" borderId="0" xfId="0" applyFont="1" applyAlignment="1">
      <alignment horizontal="center" vertical="center" wrapText="1"/>
    </xf>
    <xf numFmtId="0" fontId="101" fillId="0" borderId="0" xfId="0" applyFont="1" applyAlignment="1">
      <alignment horizontal="left" vertical="center" wrapText="1" indent="9"/>
    </xf>
    <xf numFmtId="0" fontId="80" fillId="0" borderId="0" xfId="0" applyFont="1" applyAlignment="1">
      <alignment vertical="top" wrapText="1"/>
    </xf>
    <xf numFmtId="0" fontId="80" fillId="0" borderId="0" xfId="0" applyFont="1" applyAlignment="1">
      <alignment horizontal="center" vertical="center" wrapText="1"/>
    </xf>
    <xf numFmtId="0" fontId="80" fillId="0" borderId="44" xfId="0" applyFont="1" applyBorder="1" applyAlignment="1">
      <alignment horizontal="center" vertical="center" wrapText="1"/>
    </xf>
    <xf numFmtId="0" fontId="80" fillId="0" borderId="45" xfId="0" applyFont="1" applyBorder="1" applyAlignment="1">
      <alignment horizontal="center" vertical="center" wrapText="1"/>
    </xf>
    <xf numFmtId="0" fontId="80" fillId="0" borderId="46" xfId="0" applyFont="1" applyBorder="1" applyAlignment="1">
      <alignment horizontal="center" vertical="center" wrapText="1"/>
    </xf>
    <xf numFmtId="0" fontId="80" fillId="0" borderId="47" xfId="0" applyFont="1" applyBorder="1" applyAlignment="1">
      <alignment horizontal="center" vertical="center" wrapText="1"/>
    </xf>
    <xf numFmtId="10" fontId="89" fillId="0" borderId="11" xfId="2" quotePrefix="1" applyNumberFormat="1" applyFont="1" applyFill="1" applyBorder="1" applyAlignment="1">
      <alignment horizontal="center" vertical="center" wrapText="1"/>
    </xf>
    <xf numFmtId="0" fontId="30" fillId="0" borderId="11" xfId="11" applyBorder="1" applyAlignment="1">
      <alignment horizontal="center" vertical="center"/>
    </xf>
    <xf numFmtId="0" fontId="30" fillId="0" borderId="11" xfId="11" applyBorder="1" applyAlignment="1">
      <alignment vertical="center" wrapText="1"/>
    </xf>
    <xf numFmtId="0" fontId="30" fillId="0" borderId="0" xfId="11" applyAlignment="1">
      <alignment wrapText="1"/>
    </xf>
    <xf numFmtId="0" fontId="30" fillId="0" borderId="11" xfId="11" applyBorder="1" applyAlignment="1">
      <alignment vertical="center"/>
    </xf>
    <xf numFmtId="0" fontId="30" fillId="0" borderId="0" xfId="11" applyAlignment="1">
      <alignment horizontal="center"/>
    </xf>
    <xf numFmtId="2" fontId="19" fillId="0" borderId="0" xfId="5" applyNumberFormat="1" applyFont="1" applyFill="1" applyBorder="1" applyAlignment="1">
      <alignment vertical="center"/>
    </xf>
    <xf numFmtId="49" fontId="84" fillId="5" borderId="11" xfId="0" applyNumberFormat="1" applyFont="1" applyFill="1" applyBorder="1" applyAlignment="1">
      <alignment horizontal="center" vertical="center"/>
    </xf>
    <xf numFmtId="0" fontId="84" fillId="5" borderId="11" xfId="0" applyFont="1" applyFill="1" applyBorder="1" applyAlignment="1">
      <alignment vertical="center"/>
    </xf>
    <xf numFmtId="0" fontId="45" fillId="0" borderId="11" xfId="11" applyFont="1" applyBorder="1"/>
    <xf numFmtId="49" fontId="45" fillId="12" borderId="11" xfId="0" applyNumberFormat="1" applyFont="1" applyFill="1" applyBorder="1" applyAlignment="1">
      <alignment horizontal="center" vertical="center"/>
    </xf>
    <xf numFmtId="0" fontId="45" fillId="12" borderId="11" xfId="0" applyFont="1" applyFill="1" applyBorder="1" applyAlignment="1">
      <alignment horizontal="center" vertical="center" wrapText="1"/>
    </xf>
    <xf numFmtId="0" fontId="45" fillId="12" borderId="11" xfId="0" applyFont="1" applyFill="1" applyBorder="1" applyAlignment="1">
      <alignment horizontal="center" vertical="center"/>
    </xf>
    <xf numFmtId="0" fontId="45" fillId="0" borderId="11" xfId="11" applyFont="1" applyBorder="1" applyAlignment="1">
      <alignment horizontal="center" vertical="center" wrapText="1"/>
    </xf>
    <xf numFmtId="49" fontId="45" fillId="5" borderId="11" xfId="0" applyNumberFormat="1" applyFont="1" applyFill="1" applyBorder="1" applyAlignment="1">
      <alignment horizontal="center" vertical="center"/>
    </xf>
    <xf numFmtId="0" fontId="45" fillId="5" borderId="11" xfId="0" applyFont="1" applyFill="1" applyBorder="1" applyAlignment="1">
      <alignment vertical="center" wrapText="1"/>
    </xf>
    <xf numFmtId="0" fontId="45" fillId="5" borderId="11" xfId="0" applyFont="1" applyFill="1" applyBorder="1" applyAlignment="1">
      <alignment horizontal="center" vertical="center" wrapText="1"/>
    </xf>
    <xf numFmtId="0" fontId="45" fillId="5" borderId="11" xfId="0" applyFont="1" applyFill="1" applyBorder="1" applyAlignment="1">
      <alignment horizontal="center" vertical="center"/>
    </xf>
    <xf numFmtId="0" fontId="83" fillId="2" borderId="11" xfId="0" applyFont="1" applyFill="1" applyBorder="1" applyAlignment="1">
      <alignment vertical="center" wrapText="1"/>
    </xf>
    <xf numFmtId="0" fontId="45" fillId="12" borderId="11" xfId="0" applyFont="1" applyFill="1" applyBorder="1" applyAlignment="1">
      <alignment vertical="center"/>
    </xf>
    <xf numFmtId="0" fontId="45" fillId="6" borderId="11" xfId="0" applyFont="1" applyFill="1" applyBorder="1" applyAlignment="1">
      <alignment horizontal="center" vertical="center" wrapText="1"/>
    </xf>
    <xf numFmtId="0" fontId="45" fillId="6" borderId="11" xfId="0" applyFont="1" applyFill="1" applyBorder="1" applyAlignment="1">
      <alignment horizontal="center" vertical="center"/>
    </xf>
    <xf numFmtId="0" fontId="83" fillId="2" borderId="11" xfId="0" applyFont="1" applyFill="1" applyBorder="1" applyAlignment="1">
      <alignment horizontal="center" vertical="center"/>
    </xf>
    <xf numFmtId="164" fontId="45" fillId="12" borderId="11" xfId="0" applyNumberFormat="1" applyFont="1" applyFill="1" applyBorder="1" applyAlignment="1">
      <alignment horizontal="center" vertical="center"/>
    </xf>
    <xf numFmtId="0" fontId="85" fillId="5" borderId="11" xfId="0" applyFont="1" applyFill="1" applyBorder="1" applyAlignment="1">
      <alignment vertical="center"/>
    </xf>
    <xf numFmtId="49" fontId="45" fillId="12" borderId="11" xfId="0" applyNumberFormat="1" applyFont="1" applyFill="1" applyBorder="1" applyAlignment="1">
      <alignment horizontal="center" vertical="center" wrapText="1"/>
    </xf>
    <xf numFmtId="2" fontId="45" fillId="12" borderId="11" xfId="0" applyNumberFormat="1" applyFont="1" applyFill="1" applyBorder="1" applyAlignment="1">
      <alignment horizontal="center" vertical="center"/>
    </xf>
    <xf numFmtId="1" fontId="45" fillId="12" borderId="11" xfId="0" applyNumberFormat="1" applyFont="1" applyFill="1" applyBorder="1" applyAlignment="1">
      <alignment horizontal="center" vertical="center"/>
    </xf>
    <xf numFmtId="49" fontId="83" fillId="2" borderId="11" xfId="0" applyNumberFormat="1" applyFont="1" applyFill="1" applyBorder="1" applyAlignment="1">
      <alignment horizontal="center" vertical="center" wrapText="1"/>
    </xf>
    <xf numFmtId="0" fontId="83" fillId="2" borderId="11" xfId="0" applyNumberFormat="1" applyFont="1" applyFill="1" applyBorder="1" applyAlignment="1">
      <alignment horizontal="center" vertical="center"/>
    </xf>
    <xf numFmtId="0" fontId="84" fillId="5" borderId="11" xfId="0" applyFont="1" applyFill="1" applyBorder="1" applyAlignment="1">
      <alignment horizontal="center" vertical="center"/>
    </xf>
    <xf numFmtId="0" fontId="85" fillId="5" borderId="11" xfId="0" applyFont="1" applyFill="1" applyBorder="1" applyAlignment="1">
      <alignment horizontal="center" vertical="center"/>
    </xf>
    <xf numFmtId="0" fontId="45" fillId="12" borderId="11" xfId="0" applyNumberFormat="1" applyFont="1" applyFill="1" applyBorder="1" applyAlignment="1">
      <alignment horizontal="center" vertical="center"/>
    </xf>
    <xf numFmtId="49" fontId="45" fillId="5" borderId="11" xfId="0" applyNumberFormat="1" applyFont="1" applyFill="1" applyBorder="1" applyAlignment="1">
      <alignment horizontal="center" vertical="center" wrapText="1"/>
    </xf>
    <xf numFmtId="2" fontId="45" fillId="5" borderId="11" xfId="0" applyNumberFormat="1" applyFont="1" applyFill="1" applyBorder="1" applyAlignment="1">
      <alignment horizontal="center" vertical="center"/>
    </xf>
    <xf numFmtId="1" fontId="83" fillId="2" borderId="11" xfId="0" applyNumberFormat="1" applyFont="1" applyFill="1" applyBorder="1" applyAlignment="1">
      <alignment horizontal="center" vertical="center"/>
    </xf>
    <xf numFmtId="3" fontId="83" fillId="2" borderId="11" xfId="0" applyNumberFormat="1" applyFont="1" applyFill="1" applyBorder="1" applyAlignment="1">
      <alignment horizontal="center" vertical="center"/>
    </xf>
    <xf numFmtId="170" fontId="30" fillId="0" borderId="0" xfId="1" applyNumberFormat="1" applyFont="1" applyAlignment="1">
      <alignment horizontal="center"/>
    </xf>
    <xf numFmtId="178" fontId="106" fillId="0" borderId="0" xfId="34" applyFont="1" applyFill="1"/>
    <xf numFmtId="0" fontId="19" fillId="0" borderId="15" xfId="5" applyFont="1" applyFill="1" applyBorder="1" applyAlignment="1">
      <alignment horizontal="center" vertical="center"/>
    </xf>
    <xf numFmtId="0" fontId="19" fillId="0" borderId="15" xfId="5" applyNumberFormat="1" applyFont="1" applyFill="1" applyBorder="1" applyAlignment="1">
      <alignment horizontal="center" vertical="center" wrapText="1"/>
    </xf>
    <xf numFmtId="4" fontId="19" fillId="0" borderId="15" xfId="5" applyNumberFormat="1" applyFont="1" applyFill="1" applyBorder="1" applyAlignment="1">
      <alignment horizontal="right" vertical="center" wrapText="1"/>
    </xf>
    <xf numFmtId="0" fontId="19" fillId="0" borderId="15" xfId="5" applyFont="1" applyFill="1" applyBorder="1" applyAlignment="1">
      <alignment vertical="center"/>
    </xf>
    <xf numFmtId="4" fontId="107" fillId="0" borderId="11" xfId="9" applyNumberFormat="1" applyFont="1" applyFill="1" applyBorder="1" applyAlignment="1">
      <alignment horizontal="right" vertical="center" wrapText="1"/>
    </xf>
    <xf numFmtId="4" fontId="22" fillId="0" borderId="11" xfId="9" applyNumberFormat="1" applyFont="1" applyFill="1" applyBorder="1" applyAlignment="1">
      <alignment horizontal="right" vertical="center" wrapText="1"/>
    </xf>
    <xf numFmtId="4" fontId="22" fillId="0" borderId="11" xfId="5" applyNumberFormat="1" applyFont="1" applyFill="1" applyBorder="1" applyAlignment="1">
      <alignment horizontal="right" vertical="top" wrapText="1"/>
    </xf>
    <xf numFmtId="0" fontId="30" fillId="0" borderId="0" xfId="29"/>
    <xf numFmtId="0" fontId="10" fillId="0" borderId="0" xfId="29" quotePrefix="1" applyFont="1" applyAlignment="1">
      <alignment horizontal="center" vertical="center" wrapText="1"/>
    </xf>
    <xf numFmtId="0" fontId="10" fillId="0" borderId="0" xfId="29" applyFont="1" applyAlignment="1">
      <alignment horizontal="center" vertical="center" wrapText="1"/>
    </xf>
    <xf numFmtId="0" fontId="10" fillId="0" borderId="0" xfId="29" applyFont="1" applyAlignment="1">
      <alignment vertical="center"/>
    </xf>
    <xf numFmtId="0" fontId="11" fillId="0" borderId="0" xfId="29" applyFont="1"/>
    <xf numFmtId="0" fontId="11" fillId="10" borderId="11" xfId="29" applyFont="1" applyFill="1" applyBorder="1" applyAlignment="1">
      <alignment horizontal="center" vertical="center" wrapText="1"/>
    </xf>
    <xf numFmtId="1" fontId="30" fillId="0" borderId="0" xfId="29" applyNumberFormat="1" applyAlignment="1">
      <alignment horizontal="center"/>
    </xf>
    <xf numFmtId="0" fontId="30" fillId="0" borderId="0" xfId="29" applyAlignment="1">
      <alignment horizontal="center"/>
    </xf>
    <xf numFmtId="0" fontId="11" fillId="6" borderId="11" xfId="29" applyFont="1" applyFill="1" applyBorder="1" applyAlignment="1">
      <alignment horizontal="center" vertical="center" wrapText="1"/>
    </xf>
    <xf numFmtId="0" fontId="11" fillId="6" borderId="11" xfId="29" applyFont="1" applyFill="1" applyBorder="1" applyAlignment="1">
      <alignment horizontal="left" vertical="center" wrapText="1"/>
    </xf>
    <xf numFmtId="4" fontId="11" fillId="6" borderId="11" xfId="29" applyNumberFormat="1" applyFont="1" applyFill="1" applyBorder="1" applyAlignment="1">
      <alignment horizontal="center" vertical="center" wrapText="1"/>
    </xf>
    <xf numFmtId="4" fontId="30" fillId="0" borderId="0" xfId="29" applyNumberFormat="1"/>
    <xf numFmtId="0" fontId="30" fillId="0" borderId="0" xfId="29" applyBorder="1" applyAlignment="1">
      <alignment vertical="center"/>
    </xf>
    <xf numFmtId="4" fontId="30" fillId="0" borderId="0" xfId="29" applyNumberFormat="1" applyBorder="1"/>
    <xf numFmtId="0" fontId="30" fillId="0" borderId="0" xfId="29" applyBorder="1"/>
    <xf numFmtId="0" fontId="10" fillId="10" borderId="11" xfId="29" applyFont="1" applyFill="1" applyBorder="1" applyAlignment="1">
      <alignment vertical="center" wrapText="1"/>
    </xf>
    <xf numFmtId="4" fontId="10" fillId="10" borderId="11" xfId="29" applyNumberFormat="1" applyFont="1" applyFill="1" applyBorder="1" applyAlignment="1">
      <alignment horizontal="center" vertical="center" wrapText="1"/>
    </xf>
    <xf numFmtId="164" fontId="30" fillId="0" borderId="0" xfId="29" applyNumberFormat="1"/>
    <xf numFmtId="0" fontId="11" fillId="0" borderId="11" xfId="29" applyFont="1" applyBorder="1" applyAlignment="1">
      <alignment vertical="center" wrapText="1"/>
    </xf>
    <xf numFmtId="0" fontId="11" fillId="0" borderId="11" xfId="29" applyFont="1" applyBorder="1" applyAlignment="1">
      <alignment horizontal="justify" vertical="center" wrapText="1"/>
    </xf>
    <xf numFmtId="4" fontId="11" fillId="0" borderId="11" xfId="29" applyNumberFormat="1" applyFont="1" applyBorder="1" applyAlignment="1">
      <alignment horizontal="center" vertical="center" wrapText="1"/>
    </xf>
    <xf numFmtId="0" fontId="11" fillId="0" borderId="0" xfId="29" applyFont="1" applyBorder="1" applyAlignment="1">
      <alignment vertical="center" wrapText="1"/>
    </xf>
    <xf numFmtId="0" fontId="11" fillId="0" borderId="0" xfId="29" applyFont="1" applyBorder="1" applyAlignment="1">
      <alignment horizontal="justify" vertical="center" wrapText="1"/>
    </xf>
    <xf numFmtId="4" fontId="11" fillId="0" borderId="0" xfId="29" applyNumberFormat="1" applyFont="1" applyBorder="1" applyAlignment="1">
      <alignment horizontal="center" vertical="center" wrapText="1"/>
    </xf>
    <xf numFmtId="2" fontId="30" fillId="0" borderId="0" xfId="29" applyNumberFormat="1"/>
    <xf numFmtId="0" fontId="13" fillId="0" borderId="0" xfId="29" applyFont="1"/>
    <xf numFmtId="4" fontId="17" fillId="6" borderId="0" xfId="29" applyNumberFormat="1" applyFont="1" applyFill="1" applyBorder="1" applyAlignment="1">
      <alignment horizontal="center" vertical="center" wrapText="1"/>
    </xf>
    <xf numFmtId="0" fontId="89" fillId="0" borderId="0" xfId="16" applyFont="1"/>
    <xf numFmtId="4" fontId="89" fillId="0" borderId="11" xfId="16" applyNumberFormat="1" applyFont="1" applyBorder="1" applyAlignment="1">
      <alignment horizontal="center"/>
    </xf>
    <xf numFmtId="0" fontId="89" fillId="0" borderId="0" xfId="29" applyFont="1" applyAlignment="1">
      <alignment vertical="center"/>
    </xf>
    <xf numFmtId="0" fontId="89" fillId="0" borderId="0" xfId="29" applyFont="1"/>
    <xf numFmtId="0" fontId="89" fillId="0" borderId="0" xfId="29" applyFont="1" applyFill="1"/>
    <xf numFmtId="0" fontId="89" fillId="0" borderId="0" xfId="29" applyFont="1" applyAlignment="1">
      <alignment horizontal="center"/>
    </xf>
    <xf numFmtId="0" fontId="89" fillId="0" borderId="11" xfId="29" applyFont="1" applyBorder="1" applyAlignment="1">
      <alignment wrapText="1"/>
    </xf>
    <xf numFmtId="3" fontId="11" fillId="0" borderId="11" xfId="29" applyNumberFormat="1" applyFont="1" applyBorder="1" applyAlignment="1">
      <alignment horizontal="center" vertical="center"/>
    </xf>
    <xf numFmtId="177" fontId="11" fillId="0" borderId="11" xfId="29" applyNumberFormat="1" applyFont="1" applyBorder="1" applyAlignment="1">
      <alignment horizontal="center" vertical="center"/>
    </xf>
    <xf numFmtId="3" fontId="89" fillId="0" borderId="11" xfId="29" applyNumberFormat="1" applyFont="1" applyBorder="1" applyAlignment="1">
      <alignment horizontal="center" vertical="center"/>
    </xf>
    <xf numFmtId="0" fontId="89" fillId="0" borderId="11" xfId="29" applyFont="1" applyBorder="1"/>
    <xf numFmtId="177" fontId="89" fillId="0" borderId="11" xfId="29" applyNumberFormat="1" applyFont="1" applyBorder="1" applyAlignment="1">
      <alignment horizontal="center" vertical="center"/>
    </xf>
    <xf numFmtId="4" fontId="11" fillId="0" borderId="11" xfId="29" applyNumberFormat="1" applyFont="1" applyBorder="1" applyAlignment="1">
      <alignment horizontal="center" vertical="center"/>
    </xf>
    <xf numFmtId="4" fontId="89" fillId="0" borderId="11" xfId="29" applyNumberFormat="1" applyFont="1" applyBorder="1" applyAlignment="1">
      <alignment horizontal="center"/>
    </xf>
    <xf numFmtId="0" fontId="89" fillId="0" borderId="0" xfId="29" applyFont="1" applyBorder="1"/>
    <xf numFmtId="4" fontId="11" fillId="0" borderId="0" xfId="29" applyNumberFormat="1" applyFont="1" applyBorder="1" applyAlignment="1">
      <alignment horizontal="center" vertical="center"/>
    </xf>
    <xf numFmtId="0" fontId="89" fillId="0" borderId="0" xfId="29" applyFont="1" applyAlignment="1">
      <alignment horizontal="left" vertical="top" wrapText="1"/>
    </xf>
    <xf numFmtId="0" fontId="42" fillId="0" borderId="0" xfId="29" applyFont="1" applyAlignment="1">
      <alignment vertical="center"/>
    </xf>
    <xf numFmtId="164" fontId="42" fillId="0" borderId="0" xfId="29" applyNumberFormat="1" applyFont="1" applyAlignment="1">
      <alignment horizontal="center" vertical="center"/>
    </xf>
    <xf numFmtId="0" fontId="89" fillId="9" borderId="15" xfId="29" applyFont="1" applyFill="1" applyBorder="1" applyAlignment="1">
      <alignment horizontal="center" vertical="center" wrapText="1"/>
    </xf>
    <xf numFmtId="9" fontId="42" fillId="9" borderId="16" xfId="29" applyNumberFormat="1" applyFont="1" applyFill="1" applyBorder="1" applyAlignment="1">
      <alignment horizontal="center" vertical="center" wrapText="1"/>
    </xf>
    <xf numFmtId="0" fontId="11" fillId="9" borderId="11" xfId="29" applyFont="1" applyFill="1" applyBorder="1" applyAlignment="1">
      <alignment horizontal="center"/>
    </xf>
    <xf numFmtId="1" fontId="11" fillId="9" borderId="11" xfId="29" applyNumberFormat="1" applyFont="1" applyFill="1" applyBorder="1" applyAlignment="1">
      <alignment horizontal="center"/>
    </xf>
    <xf numFmtId="0" fontId="89" fillId="9" borderId="11" xfId="29" applyFont="1" applyFill="1" applyBorder="1" applyAlignment="1">
      <alignment horizontal="center"/>
    </xf>
    <xf numFmtId="181" fontId="11" fillId="0" borderId="11" xfId="29" applyNumberFormat="1" applyFont="1" applyBorder="1" applyAlignment="1">
      <alignment horizontal="center" vertical="center"/>
    </xf>
    <xf numFmtId="165" fontId="89" fillId="0" borderId="0" xfId="29" applyNumberFormat="1" applyFont="1" applyAlignment="1">
      <alignment horizontal="center" vertical="top"/>
    </xf>
    <xf numFmtId="0" fontId="13" fillId="0" borderId="0" xfId="29" applyFont="1" applyAlignment="1">
      <alignment horizontal="left" wrapText="1"/>
    </xf>
    <xf numFmtId="10" fontId="89" fillId="5" borderId="13" xfId="29" applyNumberFormat="1" applyFont="1" applyFill="1" applyBorder="1" applyAlignment="1">
      <alignment vertical="center"/>
    </xf>
    <xf numFmtId="0" fontId="89" fillId="5" borderId="41" xfId="29" applyFont="1" applyFill="1" applyBorder="1" applyAlignment="1">
      <alignment vertical="center"/>
    </xf>
    <xf numFmtId="179" fontId="30" fillId="0" borderId="11" xfId="29" applyNumberFormat="1" applyBorder="1"/>
    <xf numFmtId="0" fontId="89" fillId="5" borderId="11" xfId="29" applyFont="1" applyFill="1" applyBorder="1" applyAlignment="1">
      <alignment vertical="center"/>
    </xf>
    <xf numFmtId="179" fontId="30" fillId="0" borderId="11" xfId="29" applyNumberFormat="1" applyFill="1" applyBorder="1"/>
    <xf numFmtId="14" fontId="109" fillId="0" borderId="11" xfId="29" applyNumberFormat="1" applyFont="1" applyFill="1" applyBorder="1"/>
    <xf numFmtId="0" fontId="1" fillId="0" borderId="0" xfId="37"/>
    <xf numFmtId="0" fontId="113" fillId="0" borderId="11" xfId="29" applyFont="1" applyBorder="1" applyAlignment="1">
      <alignment horizontal="center" vertical="center" wrapText="1"/>
    </xf>
    <xf numFmtId="0" fontId="113" fillId="0" borderId="11" xfId="29" applyFont="1" applyFill="1" applyBorder="1" applyAlignment="1">
      <alignment horizontal="center" vertical="center" textRotation="90" wrapText="1"/>
    </xf>
    <xf numFmtId="0" fontId="95" fillId="0" borderId="11" xfId="29" applyFont="1" applyBorder="1" applyAlignment="1">
      <alignment vertical="center" wrapText="1"/>
    </xf>
    <xf numFmtId="0" fontId="30" fillId="0" borderId="11" xfId="29" applyBorder="1"/>
    <xf numFmtId="0" fontId="93" fillId="0" borderId="11" xfId="29" applyFont="1" applyBorder="1" applyAlignment="1">
      <alignment horizontal="center" vertical="center" wrapText="1"/>
    </xf>
    <xf numFmtId="0" fontId="115" fillId="0" borderId="0" xfId="29" applyFont="1" applyBorder="1"/>
    <xf numFmtId="4" fontId="115" fillId="0" borderId="0" xfId="29" applyNumberFormat="1" applyFont="1" applyBorder="1" applyAlignment="1">
      <alignment horizontal="right"/>
    </xf>
    <xf numFmtId="0" fontId="115" fillId="0" borderId="0" xfId="29" applyFont="1"/>
    <xf numFmtId="4" fontId="115" fillId="0" borderId="0" xfId="29" applyNumberFormat="1" applyFont="1" applyAlignment="1">
      <alignment horizontal="right"/>
    </xf>
    <xf numFmtId="0" fontId="98" fillId="0" borderId="0" xfId="29" applyFont="1" applyAlignment="1">
      <alignment horizontal="right"/>
    </xf>
    <xf numFmtId="0" fontId="19" fillId="0" borderId="0" xfId="16"/>
    <xf numFmtId="0" fontId="42" fillId="0" borderId="0" xfId="16" applyFont="1"/>
    <xf numFmtId="4" fontId="42" fillId="0" borderId="0" xfId="16" applyNumberFormat="1" applyFont="1" applyAlignment="1">
      <alignment vertical="center" wrapText="1"/>
    </xf>
    <xf numFmtId="49" fontId="89" fillId="0" borderId="0" xfId="16" applyNumberFormat="1" applyFont="1"/>
    <xf numFmtId="49" fontId="13" fillId="0" borderId="0" xfId="16" applyNumberFormat="1" applyFont="1"/>
    <xf numFmtId="0" fontId="13" fillId="0" borderId="0" xfId="16" applyFont="1"/>
    <xf numFmtId="9" fontId="89" fillId="0" borderId="0" xfId="16" applyNumberFormat="1" applyFont="1" applyAlignment="1">
      <alignment horizontal="left" vertical="center"/>
    </xf>
    <xf numFmtId="0" fontId="110" fillId="0" borderId="1" xfId="16" applyFont="1" applyBorder="1" applyAlignment="1">
      <alignment horizontal="center"/>
    </xf>
    <xf numFmtId="0" fontId="110" fillId="0" borderId="0" xfId="16" applyFont="1" applyBorder="1" applyAlignment="1"/>
    <xf numFmtId="0" fontId="111" fillId="0" borderId="0" xfId="16" applyFont="1" applyBorder="1" applyAlignment="1"/>
    <xf numFmtId="0" fontId="17" fillId="0" borderId="0" xfId="0" applyFont="1"/>
    <xf numFmtId="0" fontId="17" fillId="0" borderId="0" xfId="0" applyFont="1" applyAlignment="1">
      <alignment vertical="center" wrapText="1"/>
    </xf>
    <xf numFmtId="0" fontId="120" fillId="0" borderId="3" xfId="0" applyFont="1" applyBorder="1" applyAlignment="1">
      <alignment horizontal="center" vertical="center" wrapText="1"/>
    </xf>
    <xf numFmtId="0" fontId="120" fillId="0" borderId="6" xfId="0" applyFont="1" applyBorder="1" applyAlignment="1">
      <alignment horizontal="center" vertical="center" wrapText="1"/>
    </xf>
    <xf numFmtId="0" fontId="121" fillId="0" borderId="6" xfId="0" applyFont="1" applyBorder="1" applyAlignment="1">
      <alignment horizontal="left" vertical="center" wrapText="1"/>
    </xf>
    <xf numFmtId="0" fontId="121" fillId="0" borderId="6" xfId="0" applyFont="1" applyBorder="1" applyAlignment="1">
      <alignment horizontal="center" vertical="center" wrapText="1"/>
    </xf>
    <xf numFmtId="14" fontId="121" fillId="0" borderId="6" xfId="0" applyNumberFormat="1" applyFont="1" applyBorder="1" applyAlignment="1">
      <alignment horizontal="center" vertical="center" wrapText="1"/>
    </xf>
    <xf numFmtId="49" fontId="121" fillId="0" borderId="3" xfId="0" applyNumberFormat="1" applyFont="1" applyBorder="1" applyAlignment="1">
      <alignment horizontal="center" vertical="center" wrapText="1"/>
    </xf>
    <xf numFmtId="14" fontId="15" fillId="0" borderId="6" xfId="0" applyNumberFormat="1" applyFont="1" applyFill="1" applyBorder="1" applyAlignment="1">
      <alignment horizontal="center" vertical="center" wrapText="1"/>
    </xf>
    <xf numFmtId="0" fontId="0" fillId="0" borderId="0" xfId="37" applyFont="1"/>
    <xf numFmtId="14" fontId="93" fillId="0" borderId="11" xfId="29" applyNumberFormat="1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4" fontId="15" fillId="6" borderId="0" xfId="16" applyNumberFormat="1" applyFont="1" applyFill="1"/>
    <xf numFmtId="4" fontId="15" fillId="6" borderId="0" xfId="16" applyNumberFormat="1" applyFont="1" applyFill="1" applyAlignment="1">
      <alignment vertical="center"/>
    </xf>
    <xf numFmtId="4" fontId="93" fillId="6" borderId="0" xfId="16" applyNumberFormat="1" applyFont="1" applyFill="1"/>
    <xf numFmtId="0" fontId="19" fillId="0" borderId="0" xfId="16" applyAlignment="1">
      <alignment horizontal="right"/>
    </xf>
    <xf numFmtId="0" fontId="124" fillId="0" borderId="0" xfId="16" applyFont="1" applyAlignment="1">
      <alignment horizontal="right" vertical="top"/>
    </xf>
    <xf numFmtId="0" fontId="19" fillId="0" borderId="0" xfId="16" applyAlignment="1">
      <alignment wrapText="1"/>
    </xf>
    <xf numFmtId="0" fontId="125" fillId="0" borderId="0" xfId="16" applyFont="1" applyAlignment="1">
      <alignment horizontal="center" vertical="center"/>
    </xf>
    <xf numFmtId="0" fontId="15" fillId="0" borderId="0" xfId="16" applyFont="1" applyAlignment="1">
      <alignment horizontal="right"/>
    </xf>
    <xf numFmtId="0" fontId="19" fillId="0" borderId="0" xfId="16" applyAlignment="1">
      <alignment vertical="top"/>
    </xf>
    <xf numFmtId="0" fontId="19" fillId="0" borderId="0" xfId="16" applyAlignment="1">
      <alignment vertical="top" wrapText="1"/>
    </xf>
    <xf numFmtId="0" fontId="126" fillId="0" borderId="0" xfId="16" applyFont="1" applyAlignment="1">
      <alignment vertical="top"/>
    </xf>
    <xf numFmtId="0" fontId="19" fillId="0" borderId="0" xfId="16" applyAlignment="1">
      <alignment horizontal="left" vertical="top" wrapText="1"/>
    </xf>
    <xf numFmtId="0" fontId="19" fillId="0" borderId="0" xfId="16" applyAlignment="1">
      <alignment horizontal="left" vertical="top"/>
    </xf>
    <xf numFmtId="0" fontId="19" fillId="0" borderId="53" xfId="16" applyBorder="1" applyAlignment="1">
      <alignment horizontal="center" vertical="top" wrapText="1"/>
    </xf>
    <xf numFmtId="49" fontId="19" fillId="0" borderId="53" xfId="16" applyNumberFormat="1" applyBorder="1" applyAlignment="1">
      <alignment horizontal="center" wrapText="1"/>
    </xf>
    <xf numFmtId="0" fontId="19" fillId="0" borderId="53" xfId="16" applyBorder="1" applyAlignment="1">
      <alignment horizontal="center" wrapText="1"/>
    </xf>
    <xf numFmtId="49" fontId="26" fillId="0" borderId="11" xfId="16" applyNumberFormat="1" applyFont="1" applyBorder="1" applyAlignment="1">
      <alignment horizontal="right" vertical="top" wrapText="1"/>
    </xf>
    <xf numFmtId="0" fontId="26" fillId="0" borderId="11" xfId="16" applyFont="1" applyBorder="1" applyAlignment="1">
      <alignment horizontal="left" vertical="top" wrapText="1"/>
    </xf>
    <xf numFmtId="0" fontId="26" fillId="0" borderId="11" xfId="16" applyFont="1" applyBorder="1" applyAlignment="1">
      <alignment horizontal="right" vertical="top" wrapText="1"/>
    </xf>
    <xf numFmtId="49" fontId="26" fillId="0" borderId="60" xfId="16" applyNumberFormat="1" applyFont="1" applyBorder="1" applyAlignment="1">
      <alignment horizontal="right" vertical="top" wrapText="1"/>
    </xf>
    <xf numFmtId="0" fontId="19" fillId="0" borderId="60" xfId="16" applyBorder="1" applyAlignment="1">
      <alignment horizontal="left" vertical="top" wrapText="1"/>
    </xf>
    <xf numFmtId="3" fontId="19" fillId="0" borderId="60" xfId="16" applyNumberFormat="1" applyBorder="1" applyAlignment="1">
      <alignment horizontal="right" vertical="top" wrapText="1"/>
    </xf>
    <xf numFmtId="49" fontId="26" fillId="0" borderId="61" xfId="16" applyNumberFormat="1" applyFont="1" applyBorder="1" applyAlignment="1">
      <alignment horizontal="right" vertical="top" wrapText="1"/>
    </xf>
    <xf numFmtId="0" fontId="26" fillId="0" borderId="61" xfId="16" applyFont="1" applyBorder="1" applyAlignment="1">
      <alignment horizontal="left" vertical="top" wrapText="1"/>
    </xf>
    <xf numFmtId="0" fontId="26" fillId="0" borderId="61" xfId="16" applyFont="1" applyBorder="1" applyAlignment="1">
      <alignment horizontal="right" vertical="top" wrapText="1"/>
    </xf>
    <xf numFmtId="49" fontId="26" fillId="0" borderId="65" xfId="16" applyNumberFormat="1" applyFont="1" applyBorder="1" applyAlignment="1">
      <alignment horizontal="right" vertical="top" wrapText="1"/>
    </xf>
    <xf numFmtId="0" fontId="19" fillId="0" borderId="65" xfId="16" applyBorder="1" applyAlignment="1">
      <alignment horizontal="left" vertical="top" wrapText="1"/>
    </xf>
    <xf numFmtId="0" fontId="19" fillId="0" borderId="65" xfId="16" applyBorder="1" applyAlignment="1">
      <alignment horizontal="right" vertical="top" wrapText="1"/>
    </xf>
    <xf numFmtId="0" fontId="26" fillId="0" borderId="65" xfId="16" applyFont="1" applyBorder="1" applyAlignment="1">
      <alignment horizontal="left" vertical="top" wrapText="1"/>
    </xf>
    <xf numFmtId="0" fontId="26" fillId="0" borderId="65" xfId="16" applyFont="1" applyBorder="1" applyAlignment="1">
      <alignment horizontal="right" vertical="top" wrapText="1"/>
    </xf>
    <xf numFmtId="49" fontId="26" fillId="0" borderId="16" xfId="16" applyNumberFormat="1" applyFont="1" applyBorder="1" applyAlignment="1">
      <alignment horizontal="right" vertical="top" wrapText="1"/>
    </xf>
    <xf numFmtId="9" fontId="19" fillId="0" borderId="16" xfId="16" applyNumberFormat="1" applyBorder="1" applyAlignment="1">
      <alignment horizontal="left" vertical="top" wrapText="1"/>
    </xf>
    <xf numFmtId="0" fontId="19" fillId="0" borderId="16" xfId="16" applyBorder="1" applyAlignment="1">
      <alignment horizontal="left" vertical="top" wrapText="1"/>
    </xf>
    <xf numFmtId="0" fontId="19" fillId="0" borderId="16" xfId="16" applyBorder="1" applyAlignment="1">
      <alignment horizontal="right" vertical="top" wrapText="1"/>
    </xf>
    <xf numFmtId="49" fontId="26" fillId="0" borderId="69" xfId="16" applyNumberFormat="1" applyFont="1" applyBorder="1" applyAlignment="1">
      <alignment horizontal="right" vertical="top" wrapText="1"/>
    </xf>
    <xf numFmtId="0" fontId="26" fillId="0" borderId="69" xfId="16" applyFont="1" applyBorder="1" applyAlignment="1">
      <alignment horizontal="left" vertical="top" wrapText="1"/>
    </xf>
    <xf numFmtId="3" fontId="26" fillId="0" borderId="69" xfId="16" applyNumberFormat="1" applyFont="1" applyBorder="1" applyAlignment="1">
      <alignment horizontal="right" vertical="top" wrapText="1"/>
    </xf>
    <xf numFmtId="0" fontId="19" fillId="0" borderId="69" xfId="16" applyBorder="1" applyAlignment="1">
      <alignment horizontal="left" vertical="top" wrapText="1"/>
    </xf>
    <xf numFmtId="3" fontId="19" fillId="0" borderId="69" xfId="16" applyNumberFormat="1" applyBorder="1" applyAlignment="1">
      <alignment horizontal="right" vertical="top" wrapText="1"/>
    </xf>
    <xf numFmtId="0" fontId="26" fillId="0" borderId="69" xfId="16" applyFont="1" applyBorder="1" applyAlignment="1">
      <alignment horizontal="right" vertical="top" wrapText="1"/>
    </xf>
    <xf numFmtId="3" fontId="19" fillId="0" borderId="0" xfId="16" applyNumberFormat="1"/>
    <xf numFmtId="49" fontId="26" fillId="0" borderId="15" xfId="16" applyNumberFormat="1" applyFont="1" applyBorder="1" applyAlignment="1">
      <alignment horizontal="right" vertical="top" wrapText="1"/>
    </xf>
    <xf numFmtId="0" fontId="26" fillId="0" borderId="15" xfId="16" applyFont="1" applyBorder="1" applyAlignment="1">
      <alignment horizontal="left" vertical="top" wrapText="1"/>
    </xf>
    <xf numFmtId="0" fontId="19" fillId="0" borderId="15" xfId="16" applyBorder="1" applyAlignment="1">
      <alignment horizontal="left" vertical="top" wrapText="1"/>
    </xf>
    <xf numFmtId="3" fontId="19" fillId="0" borderId="15" xfId="16" applyNumberFormat="1" applyBorder="1" applyAlignment="1">
      <alignment horizontal="right" vertical="top" wrapText="1"/>
    </xf>
    <xf numFmtId="49" fontId="26" fillId="0" borderId="17" xfId="16" applyNumberFormat="1" applyFont="1" applyBorder="1" applyAlignment="1">
      <alignment horizontal="right" vertical="top" wrapText="1"/>
    </xf>
    <xf numFmtId="0" fontId="26" fillId="0" borderId="17" xfId="16" applyFont="1" applyBorder="1" applyAlignment="1">
      <alignment horizontal="left" vertical="top" wrapText="1"/>
    </xf>
    <xf numFmtId="0" fontId="19" fillId="0" borderId="17" xfId="16" applyBorder="1" applyAlignment="1">
      <alignment horizontal="left" vertical="top" wrapText="1"/>
    </xf>
    <xf numFmtId="3" fontId="19" fillId="0" borderId="17" xfId="16" applyNumberFormat="1" applyBorder="1" applyAlignment="1">
      <alignment horizontal="right" vertical="top" wrapText="1"/>
    </xf>
    <xf numFmtId="0" fontId="26" fillId="0" borderId="16" xfId="16" applyFont="1" applyBorder="1" applyAlignment="1">
      <alignment horizontal="left" vertical="top" wrapText="1"/>
    </xf>
    <xf numFmtId="3" fontId="26" fillId="0" borderId="16" xfId="16" applyNumberFormat="1" applyFont="1" applyBorder="1" applyAlignment="1">
      <alignment horizontal="right" vertical="top" wrapText="1"/>
    </xf>
    <xf numFmtId="3" fontId="26" fillId="0" borderId="11" xfId="16" applyNumberFormat="1" applyFont="1" applyBorder="1" applyAlignment="1">
      <alignment horizontal="right" vertical="top" wrapText="1"/>
    </xf>
    <xf numFmtId="0" fontId="19" fillId="0" borderId="11" xfId="16" applyBorder="1" applyAlignment="1">
      <alignment horizontal="left" vertical="top" wrapText="1"/>
    </xf>
    <xf numFmtId="3" fontId="19" fillId="0" borderId="11" xfId="16" applyNumberFormat="1" applyBorder="1" applyAlignment="1">
      <alignment horizontal="right" vertical="top" wrapText="1"/>
    </xf>
    <xf numFmtId="0" fontId="1" fillId="0" borderId="0" xfId="32"/>
    <xf numFmtId="0" fontId="89" fillId="0" borderId="0" xfId="38" applyFont="1" applyAlignment="1">
      <alignment horizontal="left"/>
    </xf>
    <xf numFmtId="2" fontId="103" fillId="0" borderId="0" xfId="32" applyNumberFormat="1" applyFont="1"/>
    <xf numFmtId="0" fontId="103" fillId="0" borderId="0" xfId="32" applyFont="1" applyAlignment="1">
      <alignment horizontal="center"/>
    </xf>
    <xf numFmtId="0" fontId="15" fillId="0" borderId="11" xfId="32" applyFont="1" applyBorder="1" applyAlignment="1">
      <alignment horizontal="center" vertical="center" wrapText="1"/>
    </xf>
    <xf numFmtId="0" fontId="92" fillId="0" borderId="11" xfId="32" applyFont="1" applyBorder="1" applyAlignment="1">
      <alignment horizontal="center" vertical="center" wrapText="1"/>
    </xf>
    <xf numFmtId="0" fontId="15" fillId="0" borderId="15" xfId="32" applyFont="1" applyBorder="1" applyAlignment="1">
      <alignment horizontal="center" vertical="center" wrapText="1"/>
    </xf>
    <xf numFmtId="0" fontId="15" fillId="0" borderId="15" xfId="32" applyFont="1" applyBorder="1" applyAlignment="1">
      <alignment horizontal="left" vertical="center" wrapText="1"/>
    </xf>
    <xf numFmtId="0" fontId="15" fillId="0" borderId="11" xfId="32" applyFont="1" applyBorder="1" applyAlignment="1">
      <alignment horizontal="center" vertical="center"/>
    </xf>
    <xf numFmtId="2" fontId="15" fillId="0" borderId="11" xfId="32" applyNumberFormat="1" applyFont="1" applyBorder="1" applyAlignment="1">
      <alignment horizontal="center" vertical="center" wrapText="1"/>
    </xf>
    <xf numFmtId="0" fontId="15" fillId="0" borderId="34" xfId="32" applyFont="1" applyBorder="1" applyAlignment="1">
      <alignment horizontal="center" vertical="center"/>
    </xf>
    <xf numFmtId="0" fontId="104" fillId="0" borderId="11" xfId="32" applyFont="1" applyBorder="1" applyAlignment="1">
      <alignment vertical="center" wrapText="1"/>
    </xf>
    <xf numFmtId="0" fontId="15" fillId="0" borderId="41" xfId="32" applyFont="1" applyBorder="1" applyAlignment="1">
      <alignment vertical="center" wrapText="1"/>
    </xf>
    <xf numFmtId="2" fontId="92" fillId="0" borderId="11" xfId="32" applyNumberFormat="1" applyFont="1" applyBorder="1" applyAlignment="1">
      <alignment horizontal="center" vertical="center" wrapText="1"/>
    </xf>
    <xf numFmtId="0" fontId="92" fillId="0" borderId="11" xfId="32" applyFont="1" applyBorder="1" applyAlignment="1">
      <alignment horizontal="center" vertical="center"/>
    </xf>
    <xf numFmtId="0" fontId="15" fillId="0" borderId="11" xfId="32" applyFont="1" applyBorder="1" applyAlignment="1">
      <alignment vertical="center" wrapText="1"/>
    </xf>
    <xf numFmtId="2" fontId="15" fillId="0" borderId="11" xfId="32" applyNumberFormat="1" applyFont="1" applyBorder="1" applyAlignment="1">
      <alignment horizontal="center" vertical="center"/>
    </xf>
    <xf numFmtId="0" fontId="15" fillId="0" borderId="11" xfId="39" applyFont="1" applyBorder="1" applyAlignment="1">
      <alignment horizontal="center" vertical="center"/>
    </xf>
    <xf numFmtId="164" fontId="15" fillId="0" borderId="11" xfId="32" applyNumberFormat="1" applyFont="1" applyBorder="1" applyAlignment="1">
      <alignment horizontal="center" vertical="center"/>
    </xf>
    <xf numFmtId="1" fontId="92" fillId="0" borderId="11" xfId="32" applyNumberFormat="1" applyFont="1" applyBorder="1" applyAlignment="1">
      <alignment horizontal="center" vertical="center"/>
    </xf>
    <xf numFmtId="0" fontId="15" fillId="0" borderId="0" xfId="32" applyFont="1" applyAlignment="1">
      <alignment vertical="center" wrapText="1"/>
    </xf>
    <xf numFmtId="0" fontId="9" fillId="0" borderId="0" xfId="32" applyFont="1" applyAlignment="1">
      <alignment horizontal="center" vertical="center"/>
    </xf>
    <xf numFmtId="0" fontId="9" fillId="0" borderId="0" xfId="32" applyFont="1"/>
    <xf numFmtId="0" fontId="15" fillId="0" borderId="11" xfId="40" applyFont="1" applyBorder="1" applyAlignment="1">
      <alignment horizontal="center" vertical="center"/>
    </xf>
    <xf numFmtId="0" fontId="15" fillId="0" borderId="15" xfId="32" applyFont="1" applyBorder="1" applyAlignment="1">
      <alignment vertical="center" wrapText="1"/>
    </xf>
    <xf numFmtId="0" fontId="15" fillId="0" borderId="15" xfId="32" applyFont="1" applyBorder="1" applyAlignment="1">
      <alignment horizontal="center" vertical="center"/>
    </xf>
    <xf numFmtId="0" fontId="15" fillId="0" borderId="16" xfId="32" applyFont="1" applyBorder="1" applyAlignment="1">
      <alignment horizontal="right" vertical="center"/>
    </xf>
    <xf numFmtId="0" fontId="15" fillId="0" borderId="16" xfId="32" applyFont="1" applyBorder="1" applyAlignment="1">
      <alignment horizontal="center" vertical="center" wrapText="1"/>
    </xf>
    <xf numFmtId="9" fontId="15" fillId="0" borderId="11" xfId="32" applyNumberFormat="1" applyFont="1" applyBorder="1" applyAlignment="1">
      <alignment horizontal="center" vertical="center" wrapText="1"/>
    </xf>
    <xf numFmtId="1" fontId="15" fillId="0" borderId="11" xfId="32" applyNumberFormat="1" applyFont="1" applyBorder="1" applyAlignment="1">
      <alignment horizontal="center" vertical="center"/>
    </xf>
    <xf numFmtId="0" fontId="92" fillId="0" borderId="41" xfId="32" applyFont="1" applyBorder="1" applyAlignment="1">
      <alignment vertical="center"/>
    </xf>
    <xf numFmtId="0" fontId="92" fillId="0" borderId="11" xfId="32" applyFont="1" applyBorder="1" applyAlignment="1">
      <alignment vertical="center"/>
    </xf>
    <xf numFmtId="9" fontId="92" fillId="0" borderId="11" xfId="32" applyNumberFormat="1" applyFont="1" applyBorder="1" applyAlignment="1">
      <alignment horizontal="center" vertical="center"/>
    </xf>
    <xf numFmtId="182" fontId="92" fillId="0" borderId="11" xfId="41" applyFont="1" applyFill="1" applyBorder="1" applyAlignment="1">
      <alignment vertical="center"/>
    </xf>
    <xf numFmtId="0" fontId="15" fillId="0" borderId="11" xfId="16" applyFont="1" applyBorder="1" applyAlignment="1">
      <alignment horizontal="center" vertical="center" wrapText="1"/>
    </xf>
    <xf numFmtId="0" fontId="15" fillId="0" borderId="11" xfId="16" applyFont="1" applyBorder="1" applyAlignment="1">
      <alignment horizontal="center" vertical="center"/>
    </xf>
    <xf numFmtId="0" fontId="19" fillId="0" borderId="11" xfId="16" applyBorder="1" applyAlignment="1">
      <alignment horizontal="center" vertical="center"/>
    </xf>
    <xf numFmtId="3" fontId="26" fillId="0" borderId="11" xfId="16" applyNumberFormat="1" applyFont="1" applyBorder="1" applyAlignment="1">
      <alignment horizontal="right" vertical="center" wrapText="1"/>
    </xf>
    <xf numFmtId="0" fontId="19" fillId="0" borderId="0" xfId="16" applyAlignment="1">
      <alignment vertical="center"/>
    </xf>
    <xf numFmtId="0" fontId="53" fillId="0" borderId="0" xfId="38" applyFont="1" applyAlignment="1">
      <alignment vertical="center"/>
    </xf>
    <xf numFmtId="0" fontId="127" fillId="0" borderId="0" xfId="38" applyFont="1" applyAlignment="1">
      <alignment vertical="center"/>
    </xf>
    <xf numFmtId="4" fontId="53" fillId="0" borderId="0" xfId="38" applyNumberFormat="1" applyFont="1" applyAlignment="1">
      <alignment vertical="center"/>
    </xf>
    <xf numFmtId="0" fontId="53" fillId="0" borderId="0" xfId="38" applyFont="1" applyAlignment="1">
      <alignment vertical="justify"/>
    </xf>
    <xf numFmtId="0" fontId="53" fillId="0" borderId="0" xfId="35" applyFont="1" applyAlignment="1">
      <alignment horizontal="left" vertical="center"/>
    </xf>
    <xf numFmtId="4" fontId="53" fillId="0" borderId="0" xfId="38" applyNumberFormat="1" applyFont="1" applyAlignment="1">
      <alignment horizontal="center" vertical="center"/>
    </xf>
    <xf numFmtId="0" fontId="53" fillId="0" borderId="0" xfId="38" applyFont="1"/>
    <xf numFmtId="4" fontId="53" fillId="0" borderId="0" xfId="38" applyNumberFormat="1" applyFont="1"/>
    <xf numFmtId="0" fontId="18" fillId="0" borderId="0" xfId="0" applyFont="1"/>
    <xf numFmtId="0" fontId="19" fillId="0" borderId="0" xfId="0" applyFont="1"/>
    <xf numFmtId="0" fontId="19" fillId="0" borderId="0" xfId="7" applyFont="1" applyBorder="1">
      <alignment horizontal="center"/>
    </xf>
    <xf numFmtId="0" fontId="19" fillId="0" borderId="0" xfId="7" applyFont="1" applyBorder="1" applyAlignment="1">
      <alignment horizontal="right"/>
    </xf>
    <xf numFmtId="0" fontId="27" fillId="0" borderId="11" xfId="0" applyFont="1" applyBorder="1" applyAlignment="1">
      <alignment horizontal="center" vertical="center" wrapText="1"/>
    </xf>
    <xf numFmtId="0" fontId="98" fillId="0" borderId="0" xfId="0" applyFont="1"/>
    <xf numFmtId="0" fontId="27" fillId="0" borderId="13" xfId="0" applyFont="1" applyBorder="1" applyAlignment="1">
      <alignment horizontal="center" vertical="center" wrapText="1"/>
    </xf>
    <xf numFmtId="0" fontId="19" fillId="0" borderId="0" xfId="7" applyFont="1" applyBorder="1" applyAlignment="1">
      <alignment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27" fillId="0" borderId="11" xfId="7" applyFont="1" applyBorder="1" applyAlignment="1">
      <alignment horizontal="center" vertical="center" wrapText="1"/>
    </xf>
    <xf numFmtId="0" fontId="27" fillId="0" borderId="0" xfId="10" applyFont="1">
      <alignment horizontal="left" vertical="top"/>
    </xf>
    <xf numFmtId="0" fontId="19" fillId="0" borderId="0" xfId="10" applyFont="1" applyAlignment="1">
      <alignment horizontal="center" vertical="top" wrapText="1"/>
    </xf>
    <xf numFmtId="49" fontId="18" fillId="0" borderId="0" xfId="0" applyNumberFormat="1" applyFont="1" applyAlignment="1">
      <alignment vertical="top" wrapText="1"/>
    </xf>
    <xf numFmtId="0" fontId="19" fillId="0" borderId="0" xfId="0" applyFont="1" applyAlignment="1">
      <alignment horizontal="right" vertical="top" wrapText="1"/>
    </xf>
    <xf numFmtId="0" fontId="19" fillId="0" borderId="15" xfId="42" applyBorder="1">
      <alignment horizontal="center" wrapText="1"/>
    </xf>
    <xf numFmtId="0" fontId="19" fillId="0" borderId="42" xfId="42" applyBorder="1" applyAlignment="1">
      <alignment horizontal="center" wrapText="1"/>
    </xf>
    <xf numFmtId="49" fontId="18" fillId="0" borderId="11" xfId="0" applyNumberFormat="1" applyFont="1" applyBorder="1" applyAlignment="1">
      <alignment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1" xfId="1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1" xfId="0" applyNumberFormat="1" applyFont="1" applyBorder="1" applyAlignment="1">
      <alignment horizontal="righ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1" xfId="1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NumberFormat="1" applyFont="1" applyBorder="1" applyAlignment="1">
      <alignment horizontal="right" vertical="top" wrapText="1"/>
    </xf>
    <xf numFmtId="0" fontId="115" fillId="0" borderId="0" xfId="0" applyFont="1"/>
    <xf numFmtId="49" fontId="129" fillId="0" borderId="11" xfId="0" applyNumberFormat="1" applyFont="1" applyBorder="1" applyAlignment="1">
      <alignment vertical="top" wrapText="1"/>
    </xf>
    <xf numFmtId="3" fontId="84" fillId="0" borderId="11" xfId="0" applyNumberFormat="1" applyFont="1" applyBorder="1" applyAlignment="1">
      <alignment horizontal="right" vertical="top"/>
    </xf>
    <xf numFmtId="3" fontId="45" fillId="0" borderId="11" xfId="0" applyNumberFormat="1" applyFont="1" applyBorder="1" applyAlignment="1">
      <alignment horizontal="right" vertical="top"/>
    </xf>
    <xf numFmtId="3" fontId="19" fillId="0" borderId="0" xfId="0" applyNumberFormat="1" applyFont="1" applyAlignment="1">
      <alignment horizontal="right"/>
    </xf>
    <xf numFmtId="3" fontId="45" fillId="0" borderId="0" xfId="0" applyNumberFormat="1" applyFont="1"/>
    <xf numFmtId="3" fontId="27" fillId="0" borderId="11" xfId="7" applyNumberFormat="1" applyFont="1" applyBorder="1" applyAlignment="1">
      <alignment horizontal="center" vertical="center" wrapText="1"/>
    </xf>
    <xf numFmtId="3" fontId="19" fillId="0" borderId="15" xfId="42" applyNumberFormat="1" applyFont="1" applyBorder="1">
      <alignment horizontal="center" wrapText="1"/>
    </xf>
    <xf numFmtId="3" fontId="131" fillId="0" borderId="11" xfId="0" applyNumberFormat="1" applyFont="1" applyBorder="1" applyAlignment="1">
      <alignment horizontal="right" vertical="top"/>
    </xf>
    <xf numFmtId="3" fontId="45" fillId="0" borderId="0" xfId="0" applyNumberFormat="1" applyFont="1" applyAlignment="1">
      <alignment horizontal="right" vertical="top"/>
    </xf>
    <xf numFmtId="0" fontId="19" fillId="0" borderId="0" xfId="0" applyFont="1" applyAlignment="1">
      <alignment horizontal="right"/>
    </xf>
    <xf numFmtId="0" fontId="19" fillId="0" borderId="15" xfId="42" applyFont="1" applyBorder="1">
      <alignment horizontal="center" wrapText="1"/>
    </xf>
    <xf numFmtId="0" fontId="45" fillId="0" borderId="11" xfId="0" applyNumberFormat="1" applyFont="1" applyBorder="1" applyAlignment="1">
      <alignment horizontal="right" vertical="top"/>
    </xf>
    <xf numFmtId="0" fontId="131" fillId="0" borderId="11" xfId="0" applyNumberFormat="1" applyFont="1" applyBorder="1" applyAlignment="1">
      <alignment horizontal="right" vertical="top"/>
    </xf>
    <xf numFmtId="0" fontId="84" fillId="0" borderId="11" xfId="0" applyNumberFormat="1" applyFont="1" applyBorder="1" applyAlignment="1">
      <alignment horizontal="right" vertical="top"/>
    </xf>
    <xf numFmtId="0" fontId="117" fillId="0" borderId="0" xfId="0" applyFont="1"/>
    <xf numFmtId="177" fontId="30" fillId="0" borderId="0" xfId="11" applyNumberFormat="1"/>
    <xf numFmtId="4" fontId="30" fillId="0" borderId="0" xfId="11" applyNumberFormat="1"/>
    <xf numFmtId="49" fontId="108" fillId="6" borderId="0" xfId="16" applyNumberFormat="1" applyFont="1" applyFill="1" applyBorder="1" applyAlignment="1">
      <alignment horizontal="left" vertical="center" wrapText="1"/>
    </xf>
    <xf numFmtId="0" fontId="21" fillId="0" borderId="0" xfId="5" applyFont="1" applyFill="1" applyBorder="1" applyAlignment="1">
      <alignment horizontal="center" vertical="center"/>
    </xf>
    <xf numFmtId="0" fontId="19" fillId="0" borderId="15" xfId="5" applyFont="1" applyFill="1" applyBorder="1" applyAlignment="1">
      <alignment horizontal="center" vertical="top" wrapText="1"/>
    </xf>
    <xf numFmtId="49" fontId="113" fillId="0" borderId="11" xfId="29" applyNumberFormat="1" applyFont="1" applyBorder="1" applyAlignment="1">
      <alignment horizontal="center" vertical="center" wrapText="1"/>
    </xf>
    <xf numFmtId="49" fontId="114" fillId="0" borderId="11" xfId="29" applyNumberFormat="1" applyFont="1" applyBorder="1" applyAlignment="1">
      <alignment horizontal="center" vertical="center" wrapText="1"/>
    </xf>
    <xf numFmtId="167" fontId="45" fillId="0" borderId="11" xfId="11" applyNumberFormat="1" applyFont="1" applyBorder="1" applyAlignment="1">
      <alignment horizontal="center"/>
    </xf>
    <xf numFmtId="2" fontId="30" fillId="0" borderId="0" xfId="11" applyNumberFormat="1"/>
    <xf numFmtId="4" fontId="45" fillId="0" borderId="11" xfId="11" applyNumberFormat="1" applyFont="1" applyBorder="1"/>
    <xf numFmtId="4" fontId="84" fillId="0" borderId="11" xfId="11" applyNumberFormat="1" applyFont="1" applyBorder="1"/>
    <xf numFmtId="4" fontId="45" fillId="0" borderId="11" xfId="11" applyNumberFormat="1" applyFont="1" applyFill="1" applyBorder="1"/>
    <xf numFmtId="4" fontId="30" fillId="0" borderId="11" xfId="11" applyNumberFormat="1" applyBorder="1"/>
    <xf numFmtId="4" fontId="30" fillId="0" borderId="11" xfId="11" applyNumberFormat="1" applyBorder="1" applyAlignment="1">
      <alignment vertical="center"/>
    </xf>
    <xf numFmtId="4" fontId="30" fillId="0" borderId="0" xfId="11" applyNumberFormat="1" applyBorder="1" applyAlignment="1">
      <alignment vertical="center"/>
    </xf>
    <xf numFmtId="49" fontId="121" fillId="0" borderId="3" xfId="0" applyNumberFormat="1" applyFont="1" applyFill="1" applyBorder="1" applyAlignment="1">
      <alignment horizontal="center" vertical="center" wrapText="1"/>
    </xf>
    <xf numFmtId="0" fontId="121" fillId="0" borderId="6" xfId="0" applyFont="1" applyFill="1" applyBorder="1" applyAlignment="1">
      <alignment horizontal="left" vertical="center" wrapText="1"/>
    </xf>
    <xf numFmtId="14" fontId="121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1" fillId="0" borderId="0" xfId="37" applyFill="1"/>
    <xf numFmtId="0" fontId="11" fillId="2" borderId="11" xfId="0" applyFont="1" applyFill="1" applyBorder="1" applyAlignment="1">
      <alignment vertical="center" wrapText="1"/>
    </xf>
    <xf numFmtId="0" fontId="88" fillId="2" borderId="38" xfId="0" applyFont="1" applyFill="1" applyBorder="1" applyAlignment="1">
      <alignment vertical="center"/>
    </xf>
    <xf numFmtId="0" fontId="88" fillId="2" borderId="37" xfId="0" applyFont="1" applyFill="1" applyBorder="1" applyAlignment="1">
      <alignment vertical="center" wrapText="1"/>
    </xf>
    <xf numFmtId="0" fontId="88" fillId="2" borderId="37" xfId="0" applyFont="1" applyFill="1" applyBorder="1" applyAlignment="1">
      <alignment vertical="center"/>
    </xf>
    <xf numFmtId="0" fontId="11" fillId="2" borderId="8" xfId="0" applyNumberFormat="1" applyFont="1" applyFill="1" applyBorder="1" applyAlignment="1">
      <alignment vertical="center" wrapText="1"/>
    </xf>
    <xf numFmtId="0" fontId="0" fillId="2" borderId="0" xfId="0" applyFill="1" applyBorder="1" applyAlignment="1">
      <alignment horizontal="left"/>
    </xf>
    <xf numFmtId="0" fontId="112" fillId="2" borderId="6" xfId="0" applyFont="1" applyFill="1" applyBorder="1" applyAlignment="1">
      <alignment vertical="center"/>
    </xf>
    <xf numFmtId="3" fontId="19" fillId="0" borderId="11" xfId="5" applyNumberFormat="1" applyFont="1" applyFill="1" applyBorder="1" applyAlignment="1">
      <alignment vertical="center" wrapText="1"/>
    </xf>
    <xf numFmtId="49" fontId="89" fillId="0" borderId="0" xfId="16" applyNumberFormat="1" applyFont="1" applyAlignment="1">
      <alignment vertical="center"/>
    </xf>
    <xf numFmtId="0" fontId="89" fillId="0" borderId="0" xfId="29" applyFont="1" applyFill="1" applyBorder="1" applyAlignment="1">
      <alignment horizontal="left" indent="3"/>
    </xf>
    <xf numFmtId="14" fontId="42" fillId="0" borderId="0" xfId="29" applyNumberFormat="1" applyFont="1" applyBorder="1" applyAlignment="1">
      <alignment horizontal="center" vertical="center" wrapText="1"/>
    </xf>
    <xf numFmtId="0" fontId="89" fillId="0" borderId="0" xfId="29" applyFont="1" applyAlignment="1">
      <alignment horizontal="center" vertical="center"/>
    </xf>
    <xf numFmtId="3" fontId="11" fillId="0" borderId="11" xfId="29" applyNumberFormat="1" applyFont="1" applyFill="1" applyBorder="1" applyAlignment="1">
      <alignment horizontal="center" vertical="center"/>
    </xf>
    <xf numFmtId="0" fontId="0" fillId="0" borderId="0" xfId="0" applyNumberFormat="1" applyFont="1"/>
    <xf numFmtId="0" fontId="0" fillId="0" borderId="0" xfId="0" applyNumberFormat="1" applyFont="1" applyAlignment="1">
      <alignment horizontal="right"/>
    </xf>
    <xf numFmtId="0" fontId="124" fillId="0" borderId="0" xfId="0" applyNumberFormat="1" applyFont="1" applyBorder="1" applyAlignment="1">
      <alignment horizontal="right" vertical="top"/>
    </xf>
    <xf numFmtId="0" fontId="0" fillId="0" borderId="0" xfId="0" applyNumberFormat="1" applyFont="1" applyAlignment="1"/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/>
    </xf>
    <xf numFmtId="0" fontId="123" fillId="0" borderId="0" xfId="0" applyNumberFormat="1" applyFont="1" applyBorder="1" applyAlignment="1">
      <alignment vertical="top" wrapText="1"/>
    </xf>
    <xf numFmtId="0" fontId="26" fillId="0" borderId="0" xfId="0" applyNumberFormat="1" applyFont="1" applyBorder="1" applyAlignment="1">
      <alignment vertical="top" wrapText="1"/>
    </xf>
    <xf numFmtId="0" fontId="126" fillId="0" borderId="0" xfId="0" applyNumberFormat="1" applyFont="1" applyBorder="1" applyAlignment="1">
      <alignment vertical="top" wrapText="1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/>
    <xf numFmtId="0" fontId="80" fillId="0" borderId="0" xfId="0" applyNumberFormat="1" applyFont="1" applyAlignment="1">
      <alignment wrapText="1"/>
    </xf>
    <xf numFmtId="0" fontId="80" fillId="0" borderId="0" xfId="0" applyNumberFormat="1" applyFont="1" applyAlignment="1">
      <alignment horizontal="right"/>
    </xf>
    <xf numFmtId="0" fontId="80" fillId="0" borderId="0" xfId="0" applyNumberFormat="1" applyFont="1" applyBorder="1" applyAlignment="1">
      <alignment vertical="top" wrapText="1"/>
    </xf>
    <xf numFmtId="0" fontId="80" fillId="0" borderId="0" xfId="0" applyNumberFormat="1" applyFont="1" applyAlignment="1">
      <alignment vertical="top" wrapText="1"/>
    </xf>
    <xf numFmtId="0" fontId="45" fillId="0" borderId="11" xfId="0" applyFont="1" applyFill="1" applyBorder="1"/>
    <xf numFmtId="0" fontId="85" fillId="0" borderId="11" xfId="0" applyFont="1" applyFill="1" applyBorder="1"/>
    <xf numFmtId="0" fontId="84" fillId="0" borderId="11" xfId="0" applyFont="1" applyFill="1" applyBorder="1" applyAlignment="1">
      <alignment horizontal="center"/>
    </xf>
    <xf numFmtId="0" fontId="84" fillId="0" borderId="11" xfId="0" applyFont="1" applyFill="1" applyBorder="1"/>
    <xf numFmtId="9" fontId="85" fillId="0" borderId="11" xfId="2" applyFont="1" applyFill="1" applyBorder="1"/>
    <xf numFmtId="169" fontId="87" fillId="0" borderId="11" xfId="0" applyNumberFormat="1" applyFont="1" applyFill="1" applyBorder="1"/>
    <xf numFmtId="168" fontId="85" fillId="0" borderId="11" xfId="1" applyNumberFormat="1" applyFont="1" applyFill="1" applyBorder="1"/>
    <xf numFmtId="168" fontId="4" fillId="0" borderId="0" xfId="1" applyNumberFormat="1" applyFont="1" applyFill="1"/>
    <xf numFmtId="169" fontId="4" fillId="0" borderId="0" xfId="0" applyNumberFormat="1" applyFont="1" applyFill="1"/>
    <xf numFmtId="0" fontId="4" fillId="0" borderId="0" xfId="0" applyFont="1" applyFill="1"/>
    <xf numFmtId="0" fontId="45" fillId="0" borderId="11" xfId="0" applyFont="1" applyFill="1" applyBorder="1" applyAlignment="1">
      <alignment vertical="top"/>
    </xf>
    <xf numFmtId="4" fontId="84" fillId="0" borderId="11" xfId="0" applyNumberFormat="1" applyFont="1" applyFill="1" applyBorder="1" applyAlignment="1">
      <alignment vertical="top"/>
    </xf>
    <xf numFmtId="170" fontId="45" fillId="0" borderId="11" xfId="1" applyNumberFormat="1" applyFont="1" applyFill="1" applyBorder="1"/>
    <xf numFmtId="167" fontId="45" fillId="0" borderId="11" xfId="0" applyNumberFormat="1" applyFont="1" applyFill="1" applyBorder="1"/>
    <xf numFmtId="168" fontId="45" fillId="0" borderId="11" xfId="1" applyNumberFormat="1" applyFont="1" applyFill="1" applyBorder="1"/>
    <xf numFmtId="4" fontId="41" fillId="0" borderId="11" xfId="0" applyNumberFormat="1" applyFont="1" applyFill="1" applyBorder="1" applyAlignment="1">
      <alignment vertical="top"/>
    </xf>
    <xf numFmtId="2" fontId="80" fillId="0" borderId="11" xfId="0" applyNumberFormat="1" applyFont="1" applyFill="1" applyBorder="1"/>
    <xf numFmtId="0" fontId="85" fillId="0" borderId="11" xfId="0" applyFont="1" applyFill="1" applyBorder="1" applyAlignment="1">
      <alignment vertical="top"/>
    </xf>
    <xf numFmtId="0" fontId="84" fillId="0" borderId="11" xfId="0" applyFont="1" applyFill="1" applyBorder="1" applyAlignment="1">
      <alignment vertical="top"/>
    </xf>
    <xf numFmtId="0" fontId="19" fillId="0" borderId="11" xfId="0" applyFont="1" applyFill="1" applyBorder="1" applyAlignment="1">
      <alignment vertical="top" wrapText="1"/>
    </xf>
    <xf numFmtId="0" fontId="45" fillId="0" borderId="11" xfId="0" applyFont="1" applyFill="1" applyBorder="1" applyAlignment="1">
      <alignment horizontal="center" vertical="top" wrapText="1"/>
    </xf>
    <xf numFmtId="0" fontId="86" fillId="0" borderId="11" xfId="0" applyFont="1" applyFill="1" applyBorder="1" applyAlignment="1">
      <alignment vertical="top" wrapText="1"/>
    </xf>
    <xf numFmtId="0" fontId="86" fillId="0" borderId="11" xfId="0" applyFont="1" applyFill="1" applyBorder="1" applyAlignment="1">
      <alignment vertical="top"/>
    </xf>
    <xf numFmtId="164" fontId="45" fillId="0" borderId="11" xfId="0" applyNumberFormat="1" applyFont="1" applyFill="1" applyBorder="1" applyAlignment="1">
      <alignment vertical="top"/>
    </xf>
    <xf numFmtId="2" fontId="45" fillId="0" borderId="11" xfId="0" applyNumberFormat="1" applyFont="1" applyFill="1" applyBorder="1" applyAlignment="1">
      <alignment vertical="top"/>
    </xf>
    <xf numFmtId="9" fontId="84" fillId="0" borderId="11" xfId="0" applyNumberFormat="1" applyFont="1" applyFill="1" applyBorder="1" applyAlignment="1">
      <alignment vertical="top"/>
    </xf>
    <xf numFmtId="167" fontId="45" fillId="0" borderId="11" xfId="0" applyNumberFormat="1" applyFont="1" applyFill="1" applyBorder="1" applyAlignment="1">
      <alignment vertical="top"/>
    </xf>
    <xf numFmtId="169" fontId="84" fillId="0" borderId="11" xfId="0" applyNumberFormat="1" applyFont="1" applyFill="1" applyBorder="1" applyAlignment="1">
      <alignment vertical="top"/>
    </xf>
    <xf numFmtId="170" fontId="45" fillId="0" borderId="11" xfId="1" applyNumberFormat="1" applyFont="1" applyFill="1" applyBorder="1" applyAlignment="1">
      <alignment vertical="top"/>
    </xf>
    <xf numFmtId="9" fontId="45" fillId="0" borderId="11" xfId="2" applyFont="1" applyFill="1" applyBorder="1" applyAlignment="1">
      <alignment vertical="top"/>
    </xf>
    <xf numFmtId="1" fontId="45" fillId="0" borderId="11" xfId="0" applyNumberFormat="1" applyFont="1" applyFill="1" applyBorder="1" applyAlignment="1">
      <alignment horizontal="right" vertical="top"/>
    </xf>
    <xf numFmtId="10" fontId="45" fillId="0" borderId="11" xfId="2" applyNumberFormat="1" applyFont="1" applyFill="1" applyBorder="1" applyAlignment="1">
      <alignment vertical="top"/>
    </xf>
    <xf numFmtId="1" fontId="45" fillId="0" borderId="11" xfId="0" applyNumberFormat="1" applyFont="1" applyFill="1" applyBorder="1" applyAlignment="1">
      <alignment vertical="top"/>
    </xf>
    <xf numFmtId="0" fontId="45" fillId="0" borderId="11" xfId="0" applyFont="1" applyFill="1" applyBorder="1" applyAlignment="1">
      <alignment horizontal="left" vertical="top" wrapText="1"/>
    </xf>
    <xf numFmtId="166" fontId="45" fillId="0" borderId="11" xfId="2" applyNumberFormat="1" applyFont="1" applyFill="1" applyBorder="1" applyAlignment="1">
      <alignment vertical="top"/>
    </xf>
    <xf numFmtId="0" fontId="45" fillId="0" borderId="11" xfId="0" applyFont="1" applyFill="1" applyBorder="1" applyAlignment="1">
      <alignment horizontal="right" vertical="top"/>
    </xf>
    <xf numFmtId="44" fontId="84" fillId="0" borderId="11" xfId="0" applyNumberFormat="1" applyFont="1" applyFill="1" applyBorder="1" applyAlignment="1">
      <alignment vertical="top"/>
    </xf>
    <xf numFmtId="169" fontId="26" fillId="0" borderId="11" xfId="0" applyNumberFormat="1" applyFont="1" applyFill="1" applyBorder="1" applyAlignment="1">
      <alignment vertical="top"/>
    </xf>
    <xf numFmtId="168" fontId="45" fillId="0" borderId="11" xfId="1" applyNumberFormat="1" applyFont="1" applyFill="1" applyBorder="1" applyAlignment="1">
      <alignment vertical="top"/>
    </xf>
    <xf numFmtId="169" fontId="87" fillId="0" borderId="11" xfId="0" applyNumberFormat="1" applyFont="1" applyFill="1" applyBorder="1" applyAlignment="1">
      <alignment vertical="top"/>
    </xf>
    <xf numFmtId="168" fontId="85" fillId="0" borderId="11" xfId="1" applyNumberFormat="1" applyFont="1" applyFill="1" applyBorder="1" applyAlignment="1">
      <alignment vertical="top"/>
    </xf>
    <xf numFmtId="2" fontId="86" fillId="0" borderId="11" xfId="0" applyNumberFormat="1" applyFont="1" applyFill="1" applyBorder="1" applyAlignment="1">
      <alignment vertical="top"/>
    </xf>
    <xf numFmtId="9" fontId="84" fillId="0" borderId="11" xfId="2" applyFont="1" applyFill="1" applyBorder="1" applyAlignment="1">
      <alignment vertical="top"/>
    </xf>
    <xf numFmtId="166" fontId="26" fillId="0" borderId="11" xfId="0" applyNumberFormat="1" applyFont="1" applyFill="1" applyBorder="1" applyAlignment="1">
      <alignment vertical="top"/>
    </xf>
    <xf numFmtId="3" fontId="84" fillId="0" borderId="11" xfId="0" applyNumberFormat="1" applyFont="1" applyFill="1" applyBorder="1" applyAlignment="1">
      <alignment vertical="top"/>
    </xf>
    <xf numFmtId="169" fontId="84" fillId="0" borderId="11" xfId="2" applyNumberFormat="1" applyFont="1" applyFill="1" applyBorder="1" applyAlignment="1">
      <alignment vertical="top"/>
    </xf>
    <xf numFmtId="169" fontId="26" fillId="0" borderId="11" xfId="2" applyNumberFormat="1" applyFont="1" applyFill="1" applyBorder="1" applyAlignment="1">
      <alignment vertical="top"/>
    </xf>
    <xf numFmtId="0" fontId="45" fillId="0" borderId="11" xfId="0" quotePrefix="1" applyFont="1" applyFill="1" applyBorder="1" applyAlignment="1">
      <alignment vertical="top" wrapText="1"/>
    </xf>
    <xf numFmtId="9" fontId="45" fillId="0" borderId="11" xfId="0" applyNumberFormat="1" applyFont="1" applyFill="1" applyBorder="1" applyAlignment="1">
      <alignment vertical="top" wrapText="1"/>
    </xf>
    <xf numFmtId="0" fontId="45" fillId="0" borderId="11" xfId="4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center" vertical="top" wrapText="1"/>
    </xf>
    <xf numFmtId="0" fontId="45" fillId="0" borderId="11" xfId="0" applyFont="1" applyFill="1" applyBorder="1" applyAlignment="1">
      <alignment wrapText="1"/>
    </xf>
    <xf numFmtId="0" fontId="84" fillId="0" borderId="11" xfId="0" applyFont="1" applyFill="1" applyBorder="1" applyAlignment="1">
      <alignment wrapText="1"/>
    </xf>
    <xf numFmtId="9" fontId="84" fillId="0" borderId="11" xfId="0" applyNumberFormat="1" applyFont="1" applyFill="1" applyBorder="1"/>
    <xf numFmtId="169" fontId="45" fillId="0" borderId="11" xfId="2" applyNumberFormat="1" applyFont="1" applyFill="1" applyBorder="1"/>
    <xf numFmtId="10" fontId="45" fillId="0" borderId="11" xfId="2" applyNumberFormat="1" applyFont="1" applyFill="1" applyBorder="1"/>
    <xf numFmtId="0" fontId="45" fillId="0" borderId="11" xfId="0" applyFont="1" applyFill="1" applyBorder="1" applyAlignment="1">
      <alignment vertical="center" wrapText="1"/>
    </xf>
    <xf numFmtId="9" fontId="45" fillId="0" borderId="11" xfId="2" applyFont="1" applyFill="1" applyBorder="1"/>
    <xf numFmtId="0" fontId="45" fillId="0" borderId="11" xfId="0" applyFont="1" applyFill="1" applyBorder="1" applyAlignment="1">
      <alignment horizontal="right"/>
    </xf>
    <xf numFmtId="0" fontId="45" fillId="0" borderId="11" xfId="0" applyFont="1" applyFill="1" applyBorder="1" applyAlignment="1">
      <alignment horizontal="left" vertical="center" wrapText="1" indent="5"/>
    </xf>
    <xf numFmtId="169" fontId="26" fillId="0" borderId="11" xfId="2" applyNumberFormat="1" applyFont="1" applyFill="1" applyBorder="1"/>
    <xf numFmtId="44" fontId="84" fillId="0" borderId="11" xfId="0" applyNumberFormat="1" applyFont="1" applyFill="1" applyBorder="1"/>
    <xf numFmtId="2" fontId="80" fillId="0" borderId="11" xfId="0" applyNumberFormat="1" applyFont="1" applyFill="1" applyBorder="1" applyAlignment="1">
      <alignment vertical="top"/>
    </xf>
    <xf numFmtId="0" fontId="84" fillId="0" borderId="11" xfId="0" applyFont="1" applyFill="1" applyBorder="1" applyAlignment="1">
      <alignment horizontal="center" vertical="top"/>
    </xf>
    <xf numFmtId="169" fontId="45" fillId="0" borderId="11" xfId="2" applyNumberFormat="1" applyFont="1" applyFill="1" applyBorder="1" applyAlignment="1">
      <alignment vertical="top"/>
    </xf>
    <xf numFmtId="176" fontId="84" fillId="0" borderId="11" xfId="1" applyNumberFormat="1" applyFont="1" applyFill="1" applyBorder="1" applyAlignment="1">
      <alignment vertical="top"/>
    </xf>
    <xf numFmtId="0" fontId="45" fillId="0" borderId="16" xfId="0" applyFont="1" applyFill="1" applyBorder="1" applyAlignment="1">
      <alignment vertical="top"/>
    </xf>
    <xf numFmtId="0" fontId="85" fillId="0" borderId="16" xfId="0" applyFont="1" applyFill="1" applyBorder="1" applyAlignment="1">
      <alignment vertical="top"/>
    </xf>
    <xf numFmtId="0" fontId="84" fillId="0" borderId="16" xfId="0" applyFont="1" applyFill="1" applyBorder="1" applyAlignment="1">
      <alignment vertical="top"/>
    </xf>
    <xf numFmtId="0" fontId="45" fillId="0" borderId="0" xfId="0" applyFont="1" applyFill="1"/>
    <xf numFmtId="9" fontId="85" fillId="0" borderId="11" xfId="2" applyFont="1" applyFill="1" applyBorder="1" applyAlignment="1">
      <alignment vertical="top"/>
    </xf>
    <xf numFmtId="164" fontId="86" fillId="0" borderId="11" xfId="0" applyNumberFormat="1" applyFont="1" applyFill="1" applyBorder="1" applyAlignment="1">
      <alignment vertical="top"/>
    </xf>
    <xf numFmtId="169" fontId="84" fillId="0" borderId="11" xfId="0" applyNumberFormat="1" applyFont="1" applyFill="1" applyBorder="1"/>
    <xf numFmtId="169" fontId="26" fillId="0" borderId="11" xfId="0" applyNumberFormat="1" applyFont="1" applyFill="1" applyBorder="1"/>
    <xf numFmtId="164" fontId="45" fillId="0" borderId="11" xfId="0" applyNumberFormat="1" applyFont="1" applyFill="1" applyBorder="1"/>
    <xf numFmtId="2" fontId="45" fillId="0" borderId="11" xfId="0" applyNumberFormat="1" applyFont="1" applyFill="1" applyBorder="1"/>
    <xf numFmtId="1" fontId="45" fillId="0" borderId="11" xfId="0" applyNumberFormat="1" applyFont="1" applyFill="1" applyBorder="1" applyAlignment="1">
      <alignment horizontal="right"/>
    </xf>
    <xf numFmtId="1" fontId="45" fillId="0" borderId="11" xfId="0" applyNumberFormat="1" applyFont="1" applyFill="1" applyBorder="1"/>
    <xf numFmtId="166" fontId="45" fillId="0" borderId="11" xfId="2" applyNumberFormat="1" applyFont="1" applyFill="1" applyBorder="1"/>
    <xf numFmtId="9" fontId="84" fillId="0" borderId="11" xfId="2" applyFont="1" applyFill="1" applyBorder="1"/>
    <xf numFmtId="166" fontId="26" fillId="0" borderId="11" xfId="0" applyNumberFormat="1" applyFont="1" applyFill="1" applyBorder="1"/>
    <xf numFmtId="169" fontId="84" fillId="0" borderId="11" xfId="2" applyNumberFormat="1" applyFont="1" applyFill="1" applyBorder="1"/>
    <xf numFmtId="0" fontId="19" fillId="0" borderId="11" xfId="0" applyFont="1" applyFill="1" applyBorder="1" applyAlignment="1">
      <alignment horizontal="center" vertical="center" wrapText="1"/>
    </xf>
    <xf numFmtId="0" fontId="45" fillId="0" borderId="11" xfId="4" applyFont="1" applyFill="1" applyBorder="1" applyAlignment="1">
      <alignment wrapText="1"/>
    </xf>
    <xf numFmtId="9" fontId="45" fillId="0" borderId="11" xfId="0" applyNumberFormat="1" applyFont="1" applyFill="1" applyBorder="1" applyAlignment="1">
      <alignment vertical="center" wrapText="1"/>
    </xf>
    <xf numFmtId="176" fontId="84" fillId="0" borderId="11" xfId="1" applyNumberFormat="1" applyFont="1" applyFill="1" applyBorder="1"/>
    <xf numFmtId="0" fontId="91" fillId="0" borderId="11" xfId="0" applyFont="1" applyFill="1" applyBorder="1" applyAlignment="1">
      <alignment vertical="top"/>
    </xf>
    <xf numFmtId="10" fontId="84" fillId="0" borderId="11" xfId="2" applyNumberFormat="1" applyFont="1" applyFill="1" applyBorder="1" applyAlignment="1">
      <alignment vertical="top"/>
    </xf>
    <xf numFmtId="166" fontId="45" fillId="0" borderId="11" xfId="0" applyNumberFormat="1" applyFont="1" applyFill="1" applyBorder="1" applyAlignment="1">
      <alignment vertical="top" wrapText="1"/>
    </xf>
    <xf numFmtId="10" fontId="45" fillId="0" borderId="11" xfId="0" applyNumberFormat="1" applyFont="1" applyFill="1" applyBorder="1" applyAlignment="1">
      <alignment vertical="top"/>
    </xf>
    <xf numFmtId="9" fontId="84" fillId="0" borderId="11" xfId="2" applyNumberFormat="1" applyFont="1" applyFill="1" applyBorder="1" applyAlignment="1">
      <alignment vertical="top"/>
    </xf>
    <xf numFmtId="169" fontId="45" fillId="0" borderId="11" xfId="0" applyNumberFormat="1" applyFont="1" applyFill="1" applyBorder="1" applyAlignment="1">
      <alignment vertical="top"/>
    </xf>
    <xf numFmtId="10" fontId="84" fillId="0" borderId="11" xfId="0" applyNumberFormat="1" applyFont="1" applyFill="1" applyBorder="1" applyAlignment="1">
      <alignment vertical="top"/>
    </xf>
    <xf numFmtId="9" fontId="26" fillId="0" borderId="11" xfId="2" applyNumberFormat="1" applyFont="1" applyFill="1" applyBorder="1" applyAlignment="1">
      <alignment vertical="top"/>
    </xf>
    <xf numFmtId="0" fontId="30" fillId="0" borderId="11" xfId="11" applyBorder="1"/>
    <xf numFmtId="183" fontId="3" fillId="0" borderId="11" xfId="11" applyNumberFormat="1" applyFont="1" applyBorder="1"/>
    <xf numFmtId="14" fontId="134" fillId="0" borderId="11" xfId="29" applyNumberFormat="1" applyFont="1" applyFill="1" applyBorder="1"/>
    <xf numFmtId="164" fontId="134" fillId="0" borderId="11" xfId="29" applyNumberFormat="1" applyFont="1" applyFill="1" applyBorder="1"/>
    <xf numFmtId="2" fontId="134" fillId="0" borderId="11" xfId="29" applyNumberFormat="1" applyFont="1" applyBorder="1"/>
    <xf numFmtId="166" fontId="134" fillId="0" borderId="11" xfId="36" applyNumberFormat="1" applyFont="1" applyBorder="1"/>
    <xf numFmtId="179" fontId="134" fillId="0" borderId="11" xfId="29" applyNumberFormat="1" applyFont="1" applyBorder="1"/>
    <xf numFmtId="10" fontId="134" fillId="0" borderId="11" xfId="29" applyNumberFormat="1" applyFont="1" applyBorder="1"/>
    <xf numFmtId="3" fontId="11" fillId="6" borderId="11" xfId="29" applyNumberFormat="1" applyFont="1" applyFill="1" applyBorder="1" applyAlignment="1">
      <alignment horizontal="center" vertical="center" wrapText="1"/>
    </xf>
    <xf numFmtId="3" fontId="89" fillId="6" borderId="11" xfId="29" applyNumberFormat="1" applyFont="1" applyFill="1" applyBorder="1" applyAlignment="1">
      <alignment horizontal="center" vertical="center" wrapText="1"/>
    </xf>
    <xf numFmtId="3" fontId="10" fillId="10" borderId="11" xfId="29" applyNumberFormat="1" applyFont="1" applyFill="1" applyBorder="1" applyAlignment="1">
      <alignment horizontal="center" vertical="center" wrapText="1"/>
    </xf>
    <xf numFmtId="3" fontId="11" fillId="0" borderId="11" xfId="29" applyNumberFormat="1" applyFont="1" applyBorder="1" applyAlignment="1">
      <alignment horizontal="center" vertical="center" wrapText="1"/>
    </xf>
    <xf numFmtId="3" fontId="11" fillId="0" borderId="0" xfId="29" applyNumberFormat="1" applyFont="1" applyBorder="1" applyAlignment="1">
      <alignment horizontal="center" vertical="center" wrapText="1"/>
    </xf>
    <xf numFmtId="3" fontId="11" fillId="0" borderId="0" xfId="29" applyNumberFormat="1" applyFont="1"/>
    <xf numFmtId="3" fontId="89" fillId="0" borderId="11" xfId="16" applyNumberFormat="1" applyFont="1" applyBorder="1" applyAlignment="1">
      <alignment horizontal="center"/>
    </xf>
    <xf numFmtId="49" fontId="108" fillId="6" borderId="0" xfId="16" applyNumberFormat="1" applyFont="1" applyFill="1" applyBorder="1" applyAlignment="1">
      <alignment vertical="center" wrapText="1"/>
    </xf>
    <xf numFmtId="1" fontId="19" fillId="0" borderId="11" xfId="5" applyNumberFormat="1" applyFont="1" applyFill="1" applyBorder="1" applyAlignment="1">
      <alignment vertical="center" wrapText="1"/>
    </xf>
    <xf numFmtId="2" fontId="19" fillId="0" borderId="11" xfId="5" applyNumberFormat="1" applyFont="1" applyFill="1" applyBorder="1" applyAlignment="1">
      <alignment vertical="center" wrapText="1"/>
    </xf>
    <xf numFmtId="0" fontId="19" fillId="0" borderId="11" xfId="5" applyFont="1" applyFill="1" applyBorder="1" applyAlignment="1">
      <alignment vertical="center" wrapText="1"/>
    </xf>
    <xf numFmtId="4" fontId="25" fillId="0" borderId="15" xfId="5" applyNumberFormat="1" applyFont="1" applyFill="1" applyBorder="1" applyAlignment="1">
      <alignment horizontal="right" vertical="center" wrapText="1"/>
    </xf>
    <xf numFmtId="0" fontId="26" fillId="0" borderId="0" xfId="5" applyFont="1" applyFill="1" applyBorder="1" applyAlignment="1">
      <alignment vertical="center" wrapText="1"/>
    </xf>
    <xf numFmtId="0" fontId="26" fillId="0" borderId="0" xfId="5" applyFont="1" applyFill="1" applyBorder="1" applyAlignment="1">
      <alignment horizontal="left" vertical="center" wrapText="1"/>
    </xf>
    <xf numFmtId="0" fontId="135" fillId="0" borderId="0" xfId="0" applyFont="1" applyFill="1"/>
    <xf numFmtId="14" fontId="1" fillId="0" borderId="0" xfId="37" applyNumberForma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114" fillId="0" borderId="11" xfId="29" applyFont="1" applyBorder="1" applyAlignment="1">
      <alignment horizontal="center" vertical="center"/>
    </xf>
    <xf numFmtId="0" fontId="112" fillId="0" borderId="0" xfId="29" applyFont="1" applyAlignment="1">
      <alignment horizontal="center" wrapText="1"/>
    </xf>
    <xf numFmtId="0" fontId="112" fillId="0" borderId="1" xfId="29" applyFont="1" applyBorder="1" applyAlignment="1">
      <alignment horizontal="center" wrapText="1"/>
    </xf>
    <xf numFmtId="0" fontId="120" fillId="0" borderId="2" xfId="0" applyFont="1" applyBorder="1" applyAlignment="1">
      <alignment horizontal="center" vertical="center" wrapText="1"/>
    </xf>
    <xf numFmtId="0" fontId="120" fillId="0" borderId="7" xfId="0" applyFont="1" applyBorder="1" applyAlignment="1">
      <alignment horizontal="center" vertical="center" wrapText="1"/>
    </xf>
    <xf numFmtId="0" fontId="120" fillId="0" borderId="3" xfId="0" applyFont="1" applyBorder="1" applyAlignment="1">
      <alignment horizontal="center" vertical="center" wrapText="1"/>
    </xf>
    <xf numFmtId="0" fontId="120" fillId="0" borderId="2" xfId="0" applyFont="1" applyBorder="1" applyAlignment="1">
      <alignment horizontal="center" vertical="center"/>
    </xf>
    <xf numFmtId="0" fontId="120" fillId="0" borderId="7" xfId="0" applyFont="1" applyBorder="1" applyAlignment="1">
      <alignment horizontal="center" vertical="center"/>
    </xf>
    <xf numFmtId="0" fontId="120" fillId="0" borderId="3" xfId="0" applyFont="1" applyBorder="1" applyAlignment="1">
      <alignment horizontal="center" vertical="center"/>
    </xf>
    <xf numFmtId="0" fontId="120" fillId="0" borderId="24" xfId="0" applyFont="1" applyBorder="1" applyAlignment="1">
      <alignment horizontal="center" vertical="center" wrapText="1"/>
    </xf>
    <xf numFmtId="0" fontId="120" fillId="0" borderId="5" xfId="0" applyFont="1" applyBorder="1" applyAlignment="1">
      <alignment horizontal="center" vertical="center" wrapText="1"/>
    </xf>
    <xf numFmtId="0" fontId="120" fillId="0" borderId="51" xfId="0" applyFont="1" applyBorder="1" applyAlignment="1">
      <alignment horizontal="center" vertical="center" wrapText="1"/>
    </xf>
    <xf numFmtId="0" fontId="120" fillId="0" borderId="6" xfId="0" applyFont="1" applyBorder="1" applyAlignment="1">
      <alignment horizontal="center" vertical="center" wrapText="1"/>
    </xf>
    <xf numFmtId="0" fontId="95" fillId="0" borderId="0" xfId="0" applyFont="1" applyAlignment="1">
      <alignment horizontal="center" vertical="center"/>
    </xf>
    <xf numFmtId="0" fontId="95" fillId="0" borderId="32" xfId="0" applyFont="1" applyBorder="1" applyAlignment="1">
      <alignment horizontal="center" vertical="center"/>
    </xf>
    <xf numFmtId="0" fontId="113" fillId="0" borderId="11" xfId="29" applyFont="1" applyBorder="1" applyAlignment="1">
      <alignment horizontal="center" vertical="center" wrapText="1"/>
    </xf>
    <xf numFmtId="0" fontId="113" fillId="0" borderId="11" xfId="29" applyFont="1" applyBorder="1" applyAlignment="1">
      <alignment horizontal="center" vertical="center"/>
    </xf>
    <xf numFmtId="0" fontId="116" fillId="0" borderId="0" xfId="29" applyFont="1" applyBorder="1" applyAlignment="1">
      <alignment horizontal="left" vertical="center" wrapText="1"/>
    </xf>
    <xf numFmtId="0" fontId="115" fillId="0" borderId="0" xfId="29" applyFont="1" applyAlignment="1">
      <alignment horizontal="center"/>
    </xf>
    <xf numFmtId="0" fontId="115" fillId="0" borderId="0" xfId="29" applyFont="1" applyAlignment="1">
      <alignment horizontal="center" vertical="center" wrapText="1"/>
    </xf>
    <xf numFmtId="0" fontId="98" fillId="0" borderId="0" xfId="29" applyFont="1" applyBorder="1" applyAlignment="1">
      <alignment horizontal="left" vertical="center" wrapText="1"/>
    </xf>
    <xf numFmtId="0" fontId="115" fillId="0" borderId="0" xfId="29" applyFont="1" applyBorder="1" applyAlignment="1">
      <alignment horizontal="center" vertical="center" wrapText="1"/>
    </xf>
    <xf numFmtId="0" fontId="108" fillId="0" borderId="0" xfId="29" applyFont="1" applyBorder="1" applyAlignment="1">
      <alignment horizontal="left" vertical="top" wrapText="1"/>
    </xf>
    <xf numFmtId="0" fontId="98" fillId="0" borderId="0" xfId="29" applyFont="1" applyBorder="1" applyAlignment="1">
      <alignment horizontal="left" vertical="top" wrapText="1"/>
    </xf>
    <xf numFmtId="49" fontId="98" fillId="0" borderId="0" xfId="29" applyNumberFormat="1" applyFont="1" applyFill="1" applyBorder="1" applyAlignment="1">
      <alignment horizontal="justify" vertical="center" wrapText="1"/>
    </xf>
    <xf numFmtId="0" fontId="98" fillId="0" borderId="0" xfId="29" applyFont="1" applyBorder="1" applyAlignment="1">
      <alignment vertical="center" wrapText="1"/>
    </xf>
    <xf numFmtId="10" fontId="108" fillId="0" borderId="0" xfId="29" applyNumberFormat="1" applyFont="1" applyBorder="1" applyAlignment="1">
      <alignment vertical="center" wrapText="1"/>
    </xf>
    <xf numFmtId="0" fontId="108" fillId="0" borderId="0" xfId="29" applyFont="1" applyAlignment="1">
      <alignment vertical="center" wrapText="1"/>
    </xf>
    <xf numFmtId="0" fontId="98" fillId="0" borderId="0" xfId="29" applyFont="1" applyAlignment="1">
      <alignment vertical="center" wrapText="1"/>
    </xf>
    <xf numFmtId="0" fontId="98" fillId="0" borderId="0" xfId="29" applyFont="1" applyAlignment="1">
      <alignment horizontal="left" wrapText="1"/>
    </xf>
    <xf numFmtId="0" fontId="117" fillId="0" borderId="0" xfId="29" applyFont="1" applyBorder="1" applyAlignment="1">
      <alignment horizontal="center" vertical="top" wrapText="1"/>
    </xf>
    <xf numFmtId="0" fontId="98" fillId="0" borderId="0" xfId="29" applyFont="1" applyBorder="1" applyAlignment="1">
      <alignment horizontal="left" wrapText="1"/>
    </xf>
    <xf numFmtId="49" fontId="89" fillId="0" borderId="0" xfId="16" applyNumberFormat="1" applyFont="1" applyAlignment="1">
      <alignment horizontal="left" vertical="center" wrapText="1"/>
    </xf>
    <xf numFmtId="0" fontId="42" fillId="0" borderId="0" xfId="16" applyFont="1" applyAlignment="1">
      <alignment horizontal="center"/>
    </xf>
    <xf numFmtId="0" fontId="42" fillId="0" borderId="0" xfId="16" applyFont="1" applyAlignment="1">
      <alignment horizontal="left" vertical="center" wrapText="1"/>
    </xf>
    <xf numFmtId="0" fontId="118" fillId="0" borderId="0" xfId="16" applyFont="1" applyFill="1" applyAlignment="1">
      <alignment horizontal="left" vertical="center" wrapText="1"/>
    </xf>
    <xf numFmtId="49" fontId="89" fillId="0" borderId="0" xfId="16" applyNumberFormat="1" applyFont="1" applyAlignment="1">
      <alignment horizontal="left" wrapText="1"/>
    </xf>
    <xf numFmtId="49" fontId="108" fillId="6" borderId="0" xfId="16" applyNumberFormat="1" applyFont="1" applyFill="1" applyBorder="1" applyAlignment="1">
      <alignment horizontal="left" vertical="center" wrapText="1"/>
    </xf>
    <xf numFmtId="0" fontId="10" fillId="0" borderId="0" xfId="29" applyFont="1" applyAlignment="1">
      <alignment horizontal="center" vertical="center"/>
    </xf>
    <xf numFmtId="0" fontId="10" fillId="0" borderId="0" xfId="29" quotePrefix="1" applyFont="1" applyAlignment="1">
      <alignment horizontal="center" vertical="center" wrapText="1"/>
    </xf>
    <xf numFmtId="0" fontId="10" fillId="0" borderId="0" xfId="29" applyFont="1" applyAlignment="1">
      <alignment horizontal="center" vertical="center" wrapText="1"/>
    </xf>
    <xf numFmtId="0" fontId="11" fillId="10" borderId="11" xfId="29" applyFont="1" applyFill="1" applyBorder="1" applyAlignment="1">
      <alignment horizontal="center" vertical="center" wrapText="1"/>
    </xf>
    <xf numFmtId="0" fontId="42" fillId="0" borderId="0" xfId="29" applyFont="1" applyAlignment="1">
      <alignment horizontal="center" vertical="center" wrapText="1"/>
    </xf>
    <xf numFmtId="0" fontId="42" fillId="0" borderId="0" xfId="29" quotePrefix="1" applyFont="1" applyAlignment="1">
      <alignment horizontal="left" vertical="center" wrapText="1"/>
    </xf>
    <xf numFmtId="0" fontId="42" fillId="0" borderId="0" xfId="29" applyFont="1" applyAlignment="1">
      <alignment horizontal="left" vertical="center" wrapText="1"/>
    </xf>
    <xf numFmtId="0" fontId="89" fillId="0" borderId="0" xfId="29" applyFont="1" applyAlignment="1">
      <alignment horizontal="left" vertical="center" wrapText="1"/>
    </xf>
    <xf numFmtId="0" fontId="89" fillId="0" borderId="0" xfId="29" applyFont="1" applyAlignment="1">
      <alignment horizontal="left" wrapText="1"/>
    </xf>
    <xf numFmtId="0" fontId="89" fillId="9" borderId="15" xfId="29" applyFont="1" applyFill="1" applyBorder="1" applyAlignment="1">
      <alignment horizontal="center" vertical="center"/>
    </xf>
    <xf numFmtId="0" fontId="89" fillId="9" borderId="16" xfId="29" applyFont="1" applyFill="1" applyBorder="1" applyAlignment="1">
      <alignment horizontal="center" vertical="center"/>
    </xf>
    <xf numFmtId="0" fontId="89" fillId="9" borderId="15" xfId="29" applyFont="1" applyFill="1" applyBorder="1" applyAlignment="1">
      <alignment horizontal="center" vertical="center" wrapText="1"/>
    </xf>
    <xf numFmtId="0" fontId="89" fillId="9" borderId="16" xfId="29" applyFont="1" applyFill="1" applyBorder="1" applyAlignment="1">
      <alignment horizontal="center" vertical="center" wrapText="1"/>
    </xf>
    <xf numFmtId="0" fontId="89" fillId="5" borderId="11" xfId="29" applyFont="1" applyFill="1" applyBorder="1" applyAlignment="1">
      <alignment horizontal="left" vertical="center"/>
    </xf>
    <xf numFmtId="0" fontId="89" fillId="0" borderId="0" xfId="29" applyFont="1" applyAlignment="1">
      <alignment horizontal="left" vertical="top" wrapText="1"/>
    </xf>
    <xf numFmtId="0" fontId="110" fillId="0" borderId="0" xfId="29" applyFont="1" applyAlignment="1">
      <alignment horizontal="left" vertical="center" wrapText="1"/>
    </xf>
    <xf numFmtId="0" fontId="30" fillId="0" borderId="11" xfId="29" applyBorder="1" applyAlignment="1">
      <alignment horizontal="center"/>
    </xf>
    <xf numFmtId="0" fontId="89" fillId="0" borderId="13" xfId="29" applyFont="1" applyBorder="1" applyAlignment="1">
      <alignment horizontal="center"/>
    </xf>
    <xf numFmtId="0" fontId="89" fillId="0" borderId="43" xfId="29" applyFont="1" applyBorder="1" applyAlignment="1">
      <alignment horizontal="center"/>
    </xf>
    <xf numFmtId="0" fontId="89" fillId="0" borderId="41" xfId="29" applyFont="1" applyBorder="1" applyAlignment="1">
      <alignment horizontal="center"/>
    </xf>
    <xf numFmtId="0" fontId="89" fillId="5" borderId="18" xfId="29" applyFont="1" applyFill="1" applyBorder="1" applyAlignment="1">
      <alignment horizontal="left" vertical="top"/>
    </xf>
    <xf numFmtId="0" fontId="89" fillId="5" borderId="1" xfId="29" applyFont="1" applyFill="1" applyBorder="1" applyAlignment="1">
      <alignment horizontal="left" vertical="top"/>
    </xf>
    <xf numFmtId="0" fontId="89" fillId="0" borderId="13" xfId="29" applyFont="1" applyBorder="1" applyAlignment="1">
      <alignment horizontal="left" wrapText="1"/>
    </xf>
    <xf numFmtId="0" fontId="89" fillId="0" borderId="43" xfId="29" applyFont="1" applyBorder="1" applyAlignment="1">
      <alignment horizontal="left" wrapText="1"/>
    </xf>
    <xf numFmtId="0" fontId="89" fillId="0" borderId="41" xfId="29" applyFont="1" applyBorder="1" applyAlignment="1">
      <alignment horizontal="left" wrapText="1"/>
    </xf>
    <xf numFmtId="0" fontId="89" fillId="0" borderId="11" xfId="29" applyFont="1" applyBorder="1" applyAlignment="1">
      <alignment horizontal="left" wrapText="1"/>
    </xf>
    <xf numFmtId="0" fontId="89" fillId="0" borderId="13" xfId="29" applyFont="1" applyFill="1" applyBorder="1" applyAlignment="1">
      <alignment horizontal="center" vertical="center" wrapText="1"/>
    </xf>
    <xf numFmtId="0" fontId="89" fillId="0" borderId="43" xfId="29" applyFont="1" applyFill="1" applyBorder="1" applyAlignment="1">
      <alignment horizontal="center" vertical="center" wrapText="1"/>
    </xf>
    <xf numFmtId="0" fontId="89" fillId="0" borderId="41" xfId="29" applyFont="1" applyFill="1" applyBorder="1" applyAlignment="1">
      <alignment horizontal="center" vertical="center" wrapText="1"/>
    </xf>
    <xf numFmtId="0" fontId="89" fillId="5" borderId="13" xfId="29" applyFont="1" applyFill="1" applyBorder="1" applyAlignment="1">
      <alignment horizontal="left" vertical="center" wrapText="1"/>
    </xf>
    <xf numFmtId="0" fontId="89" fillId="5" borderId="41" xfId="29" applyFont="1" applyFill="1" applyBorder="1" applyAlignment="1">
      <alignment horizontal="left" vertical="center" wrapText="1"/>
    </xf>
    <xf numFmtId="0" fontId="42" fillId="6" borderId="0" xfId="16" applyFont="1" applyFill="1" applyAlignment="1">
      <alignment horizontal="center" vertical="center" wrapText="1"/>
    </xf>
    <xf numFmtId="0" fontId="89" fillId="6" borderId="0" xfId="16" applyFont="1" applyFill="1" applyAlignment="1">
      <alignment horizontal="left" vertical="top" wrapText="1"/>
    </xf>
    <xf numFmtId="0" fontId="89" fillId="6" borderId="0" xfId="16" applyFont="1" applyFill="1" applyAlignment="1">
      <alignment horizontal="left" vertical="top"/>
    </xf>
    <xf numFmtId="0" fontId="42" fillId="6" borderId="0" xfId="16" applyFont="1" applyFill="1" applyAlignment="1">
      <alignment horizontal="left" vertical="top" wrapText="1"/>
    </xf>
    <xf numFmtId="0" fontId="89" fillId="6" borderId="0" xfId="16" applyFont="1" applyFill="1" applyAlignment="1">
      <alignment horizontal="left" vertical="center" wrapText="1"/>
    </xf>
    <xf numFmtId="0" fontId="42" fillId="6" borderId="0" xfId="16" applyFont="1" applyFill="1" applyAlignment="1">
      <alignment horizontal="left" vertical="center" wrapText="1"/>
    </xf>
    <xf numFmtId="0" fontId="10" fillId="6" borderId="0" xfId="11" applyFont="1" applyFill="1" applyAlignment="1">
      <alignment horizontal="left" vertical="center"/>
    </xf>
    <xf numFmtId="49" fontId="42" fillId="6" borderId="15" xfId="16" applyNumberFormat="1" applyFont="1" applyFill="1" applyBorder="1" applyAlignment="1">
      <alignment horizontal="center" vertical="center" wrapText="1"/>
    </xf>
    <xf numFmtId="49" fontId="42" fillId="6" borderId="17" xfId="16" applyNumberFormat="1" applyFont="1" applyFill="1" applyBorder="1" applyAlignment="1">
      <alignment horizontal="center" vertical="center" wrapText="1"/>
    </xf>
    <xf numFmtId="49" fontId="42" fillId="6" borderId="16" xfId="16" applyNumberFormat="1" applyFont="1" applyFill="1" applyBorder="1" applyAlignment="1">
      <alignment horizontal="center" vertical="center" wrapText="1"/>
    </xf>
    <xf numFmtId="0" fontId="42" fillId="6" borderId="11" xfId="16" applyFont="1" applyFill="1" applyBorder="1" applyAlignment="1">
      <alignment horizontal="center"/>
    </xf>
    <xf numFmtId="0" fontId="17" fillId="10" borderId="11" xfId="11" applyFont="1" applyFill="1" applyBorder="1" applyAlignment="1">
      <alignment horizontal="center" vertical="center"/>
    </xf>
    <xf numFmtId="0" fontId="42" fillId="6" borderId="42" xfId="16" applyFont="1" applyFill="1" applyBorder="1" applyAlignment="1">
      <alignment horizontal="center" vertical="center" wrapText="1"/>
    </xf>
    <xf numFmtId="0" fontId="42" fillId="6" borderId="18" xfId="16" applyFont="1" applyFill="1" applyBorder="1" applyAlignment="1">
      <alignment horizontal="center" vertical="center" wrapText="1"/>
    </xf>
    <xf numFmtId="0" fontId="42" fillId="6" borderId="35" xfId="16" applyFont="1" applyFill="1" applyBorder="1" applyAlignment="1">
      <alignment horizontal="center" vertical="center" wrapText="1"/>
    </xf>
    <xf numFmtId="49" fontId="42" fillId="6" borderId="13" xfId="16" applyNumberFormat="1" applyFont="1" applyFill="1" applyBorder="1" applyAlignment="1">
      <alignment horizontal="right" vertical="center" wrapText="1"/>
    </xf>
    <xf numFmtId="49" fontId="42" fillId="6" borderId="43" xfId="16" applyNumberFormat="1" applyFont="1" applyFill="1" applyBorder="1" applyAlignment="1">
      <alignment horizontal="right" vertical="center" wrapText="1"/>
    </xf>
    <xf numFmtId="49" fontId="42" fillId="6" borderId="41" xfId="16" applyNumberFormat="1" applyFont="1" applyFill="1" applyBorder="1" applyAlignment="1">
      <alignment horizontal="right" vertical="center" wrapText="1"/>
    </xf>
    <xf numFmtId="0" fontId="42" fillId="6" borderId="13" xfId="16" applyFont="1" applyFill="1" applyBorder="1" applyAlignment="1">
      <alignment horizontal="center" vertical="center" wrapText="1"/>
    </xf>
    <xf numFmtId="0" fontId="42" fillId="6" borderId="43" xfId="16" applyFont="1" applyFill="1" applyBorder="1" applyAlignment="1">
      <alignment horizontal="center" vertical="center" wrapText="1"/>
    </xf>
    <xf numFmtId="0" fontId="92" fillId="10" borderId="0" xfId="16" applyFont="1" applyFill="1" applyAlignment="1">
      <alignment horizontal="center" wrapText="1"/>
    </xf>
    <xf numFmtId="0" fontId="95" fillId="10" borderId="11" xfId="11" applyFont="1" applyFill="1" applyBorder="1" applyAlignment="1">
      <alignment horizontal="center" vertical="center"/>
    </xf>
    <xf numFmtId="0" fontId="17" fillId="0" borderId="13" xfId="11" applyFont="1" applyBorder="1" applyAlignment="1">
      <alignment horizontal="left"/>
    </xf>
    <xf numFmtId="0" fontId="17" fillId="0" borderId="43" xfId="11" applyFont="1" applyBorder="1" applyAlignment="1">
      <alignment horizontal="left"/>
    </xf>
    <xf numFmtId="0" fontId="17" fillId="0" borderId="41" xfId="11" applyFont="1" applyBorder="1" applyAlignment="1">
      <alignment horizontal="left"/>
    </xf>
    <xf numFmtId="0" fontId="93" fillId="0" borderId="13" xfId="11" applyFont="1" applyBorder="1" applyAlignment="1">
      <alignment horizontal="left"/>
    </xf>
    <xf numFmtId="0" fontId="93" fillId="0" borderId="43" xfId="11" applyFont="1" applyBorder="1" applyAlignment="1">
      <alignment horizontal="left"/>
    </xf>
    <xf numFmtId="0" fontId="93" fillId="0" borderId="41" xfId="11" applyFont="1" applyBorder="1" applyAlignment="1">
      <alignment horizontal="left"/>
    </xf>
    <xf numFmtId="0" fontId="92" fillId="10" borderId="11" xfId="11" applyFont="1" applyFill="1" applyBorder="1" applyAlignment="1">
      <alignment horizontal="center"/>
    </xf>
    <xf numFmtId="0" fontId="17" fillId="0" borderId="11" xfId="11" applyFont="1" applyBorder="1" applyAlignment="1">
      <alignment horizontal="left"/>
    </xf>
    <xf numFmtId="0" fontId="10" fillId="0" borderId="0" xfId="18" quotePrefix="1" applyFont="1" applyFill="1" applyAlignment="1">
      <alignment horizontal="center" vertical="center" wrapText="1"/>
    </xf>
    <xf numFmtId="0" fontId="11" fillId="0" borderId="0" xfId="17" applyFont="1" applyFill="1" applyAlignment="1">
      <alignment wrapText="1"/>
    </xf>
    <xf numFmtId="0" fontId="11" fillId="0" borderId="0" xfId="19" quotePrefix="1" applyFont="1" applyFill="1" applyAlignment="1">
      <alignment horizontal="center" vertical="top" wrapText="1"/>
    </xf>
    <xf numFmtId="0" fontId="10" fillId="0" borderId="0" xfId="20" quotePrefix="1" applyFont="1" applyFill="1" applyAlignment="1">
      <alignment horizontal="left" vertical="top" wrapText="1"/>
    </xf>
    <xf numFmtId="0" fontId="10" fillId="0" borderId="0" xfId="21" quotePrefix="1" applyFont="1" applyFill="1" applyAlignment="1">
      <alignment horizontal="left" vertical="top" wrapText="1"/>
    </xf>
    <xf numFmtId="0" fontId="10" fillId="0" borderId="0" xfId="17" applyFont="1" applyFill="1" applyAlignment="1">
      <alignment wrapText="1"/>
    </xf>
    <xf numFmtId="0" fontId="11" fillId="0" borderId="0" xfId="22" quotePrefix="1" applyFont="1" applyFill="1" applyAlignment="1">
      <alignment horizontal="left" vertical="center" wrapText="1"/>
    </xf>
    <xf numFmtId="4" fontId="11" fillId="0" borderId="15" xfId="27" applyNumberFormat="1" applyFont="1" applyFill="1" applyBorder="1" applyAlignment="1">
      <alignment horizontal="center" vertical="center" wrapText="1"/>
    </xf>
    <xf numFmtId="4" fontId="11" fillId="0" borderId="17" xfId="27" applyNumberFormat="1" applyFont="1" applyFill="1" applyBorder="1" applyAlignment="1">
      <alignment horizontal="center" vertical="center" wrapText="1"/>
    </xf>
    <xf numFmtId="4" fontId="11" fillId="0" borderId="16" xfId="27" applyNumberFormat="1" applyFont="1" applyFill="1" applyBorder="1" applyAlignment="1">
      <alignment horizontal="center" vertical="center" wrapText="1"/>
    </xf>
    <xf numFmtId="0" fontId="11" fillId="0" borderId="11" xfId="25" quotePrefix="1" applyFont="1" applyFill="1" applyBorder="1" applyAlignment="1">
      <alignment horizontal="center" vertical="center" wrapText="1"/>
    </xf>
    <xf numFmtId="0" fontId="11" fillId="0" borderId="11" xfId="11" applyFont="1" applyBorder="1" applyAlignment="1">
      <alignment horizontal="center" wrapText="1"/>
    </xf>
    <xf numFmtId="0" fontId="11" fillId="0" borderId="11" xfId="25" quotePrefix="1" applyFont="1" applyFill="1" applyBorder="1" applyAlignment="1">
      <alignment horizontal="left" vertical="center" wrapText="1"/>
    </xf>
    <xf numFmtId="0" fontId="11" fillId="0" borderId="11" xfId="11" applyFont="1" applyBorder="1" applyAlignment="1">
      <alignment horizontal="left" vertical="center" wrapText="1"/>
    </xf>
    <xf numFmtId="0" fontId="11" fillId="0" borderId="13" xfId="26" quotePrefix="1" applyFont="1" applyFill="1" applyBorder="1" applyAlignment="1">
      <alignment horizontal="left" vertical="top" wrapText="1"/>
    </xf>
    <xf numFmtId="0" fontId="11" fillId="0" borderId="43" xfId="26" quotePrefix="1" applyFont="1" applyFill="1" applyBorder="1" applyAlignment="1">
      <alignment horizontal="left" vertical="top" wrapText="1"/>
    </xf>
    <xf numFmtId="0" fontId="11" fillId="0" borderId="41" xfId="26" quotePrefix="1" applyFont="1" applyFill="1" applyBorder="1" applyAlignment="1">
      <alignment horizontal="left" vertical="top" wrapText="1"/>
    </xf>
    <xf numFmtId="0" fontId="10" fillId="0" borderId="0" xfId="23" quotePrefix="1" applyFont="1" applyFill="1" applyAlignment="1">
      <alignment horizontal="left" vertical="center" wrapText="1"/>
    </xf>
    <xf numFmtId="0" fontId="11" fillId="0" borderId="0" xfId="21" quotePrefix="1" applyFont="1" applyFill="1" applyAlignment="1">
      <alignment horizontal="left" vertical="top" wrapText="1"/>
    </xf>
    <xf numFmtId="0" fontId="11" fillId="0" borderId="11" xfId="24" quotePrefix="1" applyFont="1" applyFill="1" applyBorder="1" applyAlignment="1">
      <alignment horizontal="center" vertical="center" wrapText="1"/>
    </xf>
    <xf numFmtId="0" fontId="11" fillId="0" borderId="11" xfId="11" applyFont="1" applyBorder="1" applyAlignment="1">
      <alignment horizontal="center" vertical="center" wrapText="1"/>
    </xf>
    <xf numFmtId="0" fontId="11" fillId="0" borderId="15" xfId="25" quotePrefix="1" applyFont="1" applyFill="1" applyBorder="1" applyAlignment="1">
      <alignment horizontal="center" vertical="center" wrapText="1"/>
    </xf>
    <xf numFmtId="0" fontId="11" fillId="0" borderId="17" xfId="25" quotePrefix="1" applyFont="1" applyFill="1" applyBorder="1" applyAlignment="1">
      <alignment horizontal="center" vertical="center" wrapText="1"/>
    </xf>
    <xf numFmtId="0" fontId="11" fillId="0" borderId="16" xfId="25" quotePrefix="1" applyFont="1" applyFill="1" applyBorder="1" applyAlignment="1">
      <alignment horizontal="center" vertical="center" wrapText="1"/>
    </xf>
    <xf numFmtId="0" fontId="122" fillId="0" borderId="0" xfId="16" applyFont="1" applyAlignment="1">
      <alignment vertical="top" wrapText="1"/>
    </xf>
    <xf numFmtId="0" fontId="123" fillId="0" borderId="0" xfId="16" applyFont="1" applyAlignment="1">
      <alignment horizontal="right" vertical="top" wrapText="1"/>
    </xf>
    <xf numFmtId="49" fontId="26" fillId="0" borderId="0" xfId="16" applyNumberFormat="1" applyFont="1" applyAlignment="1">
      <alignment horizontal="center" vertical="top" wrapText="1"/>
    </xf>
    <xf numFmtId="0" fontId="26" fillId="0" borderId="0" xfId="16" applyFont="1" applyAlignment="1">
      <alignment horizontal="center" vertical="top" wrapText="1"/>
    </xf>
    <xf numFmtId="0" fontId="125" fillId="0" borderId="0" xfId="16" applyFont="1" applyAlignment="1">
      <alignment horizontal="center" vertical="center"/>
    </xf>
    <xf numFmtId="0" fontId="19" fillId="0" borderId="0" xfId="16" applyAlignment="1">
      <alignment horizontal="left" vertical="top" wrapText="1"/>
    </xf>
    <xf numFmtId="0" fontId="125" fillId="0" borderId="0" xfId="16" applyFont="1" applyAlignment="1">
      <alignment horizontal="left" vertical="top" wrapText="1"/>
    </xf>
    <xf numFmtId="0" fontId="26" fillId="0" borderId="42" xfId="16" applyFont="1" applyBorder="1" applyAlignment="1">
      <alignment horizontal="left" vertical="top" wrapText="1"/>
    </xf>
    <xf numFmtId="0" fontId="26" fillId="0" borderId="18" xfId="16" applyFont="1" applyBorder="1" applyAlignment="1">
      <alignment horizontal="left" vertical="top" wrapText="1"/>
    </xf>
    <xf numFmtId="0" fontId="26" fillId="0" borderId="35" xfId="16" applyFont="1" applyBorder="1" applyAlignment="1">
      <alignment horizontal="left" vertical="top" wrapText="1"/>
    </xf>
    <xf numFmtId="0" fontId="126" fillId="0" borderId="0" xfId="16" applyFont="1" applyAlignment="1">
      <alignment horizontal="left" vertical="top" wrapText="1"/>
    </xf>
    <xf numFmtId="0" fontId="19" fillId="0" borderId="0" xfId="16" applyAlignment="1">
      <alignment horizontal="left" vertical="top"/>
    </xf>
    <xf numFmtId="0" fontId="19" fillId="0" borderId="52" xfId="16" applyBorder="1" applyAlignment="1">
      <alignment horizontal="left" vertical="top" wrapText="1"/>
    </xf>
    <xf numFmtId="0" fontId="19" fillId="0" borderId="54" xfId="16" applyBorder="1" applyAlignment="1">
      <alignment horizontal="center" vertical="top" wrapText="1"/>
    </xf>
    <xf numFmtId="0" fontId="19" fillId="0" borderId="55" xfId="16" applyBorder="1" applyAlignment="1">
      <alignment horizontal="center" vertical="top" wrapText="1"/>
    </xf>
    <xf numFmtId="0" fontId="19" fillId="0" borderId="56" xfId="16" applyBorder="1" applyAlignment="1">
      <alignment horizontal="center" vertical="top" wrapText="1"/>
    </xf>
    <xf numFmtId="0" fontId="19" fillId="0" borderId="54" xfId="16" applyBorder="1" applyAlignment="1">
      <alignment horizontal="center" wrapText="1"/>
    </xf>
    <xf numFmtId="0" fontId="19" fillId="0" borderId="55" xfId="16" applyBorder="1" applyAlignment="1">
      <alignment horizontal="center" wrapText="1"/>
    </xf>
    <xf numFmtId="0" fontId="19" fillId="0" borderId="56" xfId="16" applyBorder="1" applyAlignment="1">
      <alignment horizontal="center" wrapText="1"/>
    </xf>
    <xf numFmtId="0" fontId="26" fillId="0" borderId="57" xfId="16" applyFont="1" applyBorder="1" applyAlignment="1">
      <alignment horizontal="left" vertical="top" wrapText="1"/>
    </xf>
    <xf numFmtId="0" fontId="26" fillId="0" borderId="58" xfId="16" applyFont="1" applyBorder="1" applyAlignment="1">
      <alignment horizontal="left" vertical="top" wrapText="1"/>
    </xf>
    <xf numFmtId="0" fontId="26" fillId="0" borderId="59" xfId="16" applyFont="1" applyBorder="1" applyAlignment="1">
      <alignment horizontal="left" vertical="top" wrapText="1"/>
    </xf>
    <xf numFmtId="0" fontId="19" fillId="0" borderId="66" xfId="16" applyBorder="1" applyAlignment="1">
      <alignment horizontal="left" vertical="top" wrapText="1"/>
    </xf>
    <xf numFmtId="0" fontId="19" fillId="0" borderId="67" xfId="16" applyBorder="1" applyAlignment="1">
      <alignment horizontal="left" vertical="top" wrapText="1"/>
    </xf>
    <xf numFmtId="0" fontId="19" fillId="0" borderId="68" xfId="16" applyBorder="1" applyAlignment="1">
      <alignment horizontal="left" vertical="top" wrapText="1"/>
    </xf>
    <xf numFmtId="0" fontId="26" fillId="0" borderId="62" xfId="16" applyFont="1" applyBorder="1" applyAlignment="1">
      <alignment horizontal="left" vertical="top" wrapText="1"/>
    </xf>
    <xf numFmtId="0" fontId="26" fillId="0" borderId="63" xfId="16" applyFont="1" applyBorder="1" applyAlignment="1">
      <alignment horizontal="left" vertical="top" wrapText="1"/>
    </xf>
    <xf numFmtId="0" fontId="26" fillId="0" borderId="64" xfId="16" applyFont="1" applyBorder="1" applyAlignment="1">
      <alignment horizontal="left" vertical="top" wrapText="1"/>
    </xf>
    <xf numFmtId="0" fontId="26" fillId="0" borderId="66" xfId="16" applyFont="1" applyBorder="1" applyAlignment="1">
      <alignment horizontal="left" vertical="top" wrapText="1"/>
    </xf>
    <xf numFmtId="0" fontId="26" fillId="0" borderId="67" xfId="16" applyFont="1" applyBorder="1" applyAlignment="1">
      <alignment horizontal="left" vertical="top" wrapText="1"/>
    </xf>
    <xf numFmtId="0" fontId="26" fillId="0" borderId="68" xfId="16" applyFont="1" applyBorder="1" applyAlignment="1">
      <alignment horizontal="left" vertical="top" wrapText="1"/>
    </xf>
    <xf numFmtId="0" fontId="19" fillId="0" borderId="50" xfId="16" applyBorder="1" applyAlignment="1">
      <alignment horizontal="left" vertical="top" wrapText="1"/>
    </xf>
    <xf numFmtId="0" fontId="19" fillId="0" borderId="1" xfId="16" applyBorder="1" applyAlignment="1">
      <alignment horizontal="left" vertical="top" wrapText="1"/>
    </xf>
    <xf numFmtId="0" fontId="19" fillId="0" borderId="49" xfId="16" applyBorder="1" applyAlignment="1">
      <alignment horizontal="left" vertical="top" wrapText="1"/>
    </xf>
    <xf numFmtId="0" fontId="26" fillId="0" borderId="13" xfId="16" applyFont="1" applyBorder="1" applyAlignment="1">
      <alignment horizontal="left" vertical="top" wrapText="1"/>
    </xf>
    <xf numFmtId="0" fontId="26" fillId="0" borderId="43" xfId="16" applyFont="1" applyBorder="1" applyAlignment="1">
      <alignment horizontal="left" vertical="top" wrapText="1"/>
    </xf>
    <xf numFmtId="0" fontId="26" fillId="0" borderId="41" xfId="16" applyFont="1" applyBorder="1" applyAlignment="1">
      <alignment horizontal="left" vertical="top" wrapText="1"/>
    </xf>
    <xf numFmtId="0" fontId="19" fillId="0" borderId="13" xfId="16" applyBorder="1" applyAlignment="1">
      <alignment horizontal="left" vertical="top" wrapText="1"/>
    </xf>
    <xf numFmtId="0" fontId="19" fillId="0" borderId="43" xfId="16" applyBorder="1" applyAlignment="1">
      <alignment horizontal="left" vertical="top" wrapText="1"/>
    </xf>
    <xf numFmtId="0" fontId="19" fillId="0" borderId="41" xfId="16" applyBorder="1" applyAlignment="1">
      <alignment horizontal="left" vertical="top" wrapText="1"/>
    </xf>
    <xf numFmtId="49" fontId="130" fillId="0" borderId="11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18" fillId="0" borderId="11" xfId="0" applyNumberFormat="1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6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26" fillId="0" borderId="0" xfId="16" applyNumberFormat="1" applyFont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92" fillId="0" borderId="13" xfId="32" applyFont="1" applyBorder="1" applyAlignment="1">
      <alignment vertical="center" wrapText="1"/>
    </xf>
    <xf numFmtId="0" fontId="92" fillId="0" borderId="43" xfId="32" applyFont="1" applyBorder="1" applyAlignment="1">
      <alignment vertical="center" wrapText="1"/>
    </xf>
    <xf numFmtId="0" fontId="92" fillId="0" borderId="41" xfId="32" applyFont="1" applyBorder="1" applyAlignment="1">
      <alignment vertical="center" wrapText="1"/>
    </xf>
    <xf numFmtId="0" fontId="102" fillId="0" borderId="0" xfId="32" applyFont="1" applyAlignment="1">
      <alignment horizontal="right"/>
    </xf>
    <xf numFmtId="49" fontId="92" fillId="0" borderId="0" xfId="32" applyNumberFormat="1" applyFont="1" applyAlignment="1">
      <alignment horizontal="center" vertical="center"/>
    </xf>
    <xf numFmtId="0" fontId="92" fillId="0" borderId="0" xfId="32" applyFont="1" applyAlignment="1">
      <alignment horizontal="center" vertical="center"/>
    </xf>
    <xf numFmtId="0" fontId="15" fillId="0" borderId="0" xfId="32" applyFont="1" applyAlignment="1">
      <alignment horizontal="center" vertical="center" wrapText="1"/>
    </xf>
    <xf numFmtId="0" fontId="15" fillId="0" borderId="0" xfId="32" applyFont="1" applyAlignment="1">
      <alignment horizontal="center" vertical="center"/>
    </xf>
    <xf numFmtId="0" fontId="30" fillId="0" borderId="0" xfId="29" applyAlignment="1">
      <alignment horizontal="left" vertical="top" wrapText="1"/>
    </xf>
    <xf numFmtId="0" fontId="119" fillId="0" borderId="0" xfId="29" applyFont="1" applyAlignment="1">
      <alignment horizontal="center" wrapText="1"/>
    </xf>
    <xf numFmtId="0" fontId="89" fillId="0" borderId="16" xfId="38" applyFont="1" applyBorder="1" applyAlignment="1">
      <alignment horizontal="left" vertical="center"/>
    </xf>
    <xf numFmtId="0" fontId="1" fillId="0" borderId="34" xfId="32" applyBorder="1" applyAlignment="1">
      <alignment horizontal="center"/>
    </xf>
    <xf numFmtId="0" fontId="89" fillId="0" borderId="11" xfId="38" applyFont="1" applyBorder="1" applyAlignment="1">
      <alignment horizontal="left" vertical="center"/>
    </xf>
    <xf numFmtId="0" fontId="15" fillId="0" borderId="11" xfId="32" applyFont="1" applyBorder="1" applyAlignment="1">
      <alignment horizontal="center" vertical="center" wrapText="1"/>
    </xf>
    <xf numFmtId="0" fontId="92" fillId="0" borderId="13" xfId="32" applyFont="1" applyBorder="1" applyAlignment="1">
      <alignment horizontal="center" vertical="center" wrapText="1"/>
    </xf>
    <xf numFmtId="0" fontId="92" fillId="0" borderId="43" xfId="32" applyFont="1" applyBorder="1" applyAlignment="1">
      <alignment horizontal="center" vertical="center" wrapText="1"/>
    </xf>
    <xf numFmtId="0" fontId="92" fillId="0" borderId="41" xfId="32" applyFont="1" applyBorder="1" applyAlignment="1">
      <alignment horizontal="center" vertical="center" wrapText="1"/>
    </xf>
    <xf numFmtId="0" fontId="92" fillId="0" borderId="11" xfId="16" applyFont="1" applyBorder="1" applyAlignment="1">
      <alignment horizontal="left" vertical="center" wrapText="1"/>
    </xf>
    <xf numFmtId="0" fontId="15" fillId="0" borderId="13" xfId="39" applyFont="1" applyBorder="1" applyAlignment="1">
      <alignment vertical="center" wrapText="1"/>
    </xf>
    <xf numFmtId="0" fontId="15" fillId="0" borderId="43" xfId="39" applyFont="1" applyBorder="1" applyAlignment="1">
      <alignment vertical="center" wrapText="1"/>
    </xf>
    <xf numFmtId="0" fontId="15" fillId="0" borderId="41" xfId="39" applyFont="1" applyBorder="1" applyAlignment="1">
      <alignment vertical="center" wrapText="1"/>
    </xf>
    <xf numFmtId="0" fontId="15" fillId="0" borderId="13" xfId="32" applyFont="1" applyBorder="1" applyAlignment="1">
      <alignment vertical="center" wrapText="1"/>
    </xf>
    <xf numFmtId="0" fontId="15" fillId="0" borderId="43" xfId="32" applyFont="1" applyBorder="1" applyAlignment="1">
      <alignment vertical="center" wrapText="1"/>
    </xf>
    <xf numFmtId="0" fontId="15" fillId="0" borderId="41" xfId="32" applyFont="1" applyBorder="1" applyAlignment="1">
      <alignment vertical="center" wrapText="1"/>
    </xf>
    <xf numFmtId="0" fontId="92" fillId="0" borderId="50" xfId="32" applyFont="1" applyBorder="1" applyAlignment="1">
      <alignment vertical="center" wrapText="1"/>
    </xf>
    <xf numFmtId="0" fontId="92" fillId="0" borderId="1" xfId="32" applyFont="1" applyBorder="1" applyAlignment="1">
      <alignment vertical="center" wrapText="1"/>
    </xf>
    <xf numFmtId="0" fontId="92" fillId="0" borderId="49" xfId="32" applyFont="1" applyBorder="1" applyAlignment="1">
      <alignment vertical="center" wrapText="1"/>
    </xf>
    <xf numFmtId="0" fontId="92" fillId="0" borderId="13" xfId="32" applyFont="1" applyBorder="1" applyAlignment="1">
      <alignment vertical="center"/>
    </xf>
    <xf numFmtId="0" fontId="92" fillId="0" borderId="43" xfId="32" applyFont="1" applyBorder="1" applyAlignment="1">
      <alignment vertical="center"/>
    </xf>
    <xf numFmtId="0" fontId="92" fillId="0" borderId="41" xfId="32" applyFont="1" applyBorder="1" applyAlignment="1">
      <alignment vertical="center"/>
    </xf>
    <xf numFmtId="0" fontId="92" fillId="0" borderId="11" xfId="32" applyFont="1" applyBorder="1" applyAlignment="1">
      <alignment vertical="center"/>
    </xf>
    <xf numFmtId="0" fontId="92" fillId="0" borderId="13" xfId="32" applyFont="1" applyBorder="1" applyAlignment="1">
      <alignment horizontal="left" vertical="center"/>
    </xf>
    <xf numFmtId="0" fontId="92" fillId="0" borderId="43" xfId="32" applyFont="1" applyBorder="1" applyAlignment="1">
      <alignment horizontal="left" vertical="center"/>
    </xf>
    <xf numFmtId="0" fontId="92" fillId="0" borderId="41" xfId="32" applyFont="1" applyBorder="1" applyAlignment="1">
      <alignment horizontal="left" vertical="center"/>
    </xf>
    <xf numFmtId="0" fontId="105" fillId="0" borderId="11" xfId="32" applyFont="1" applyBorder="1" applyAlignment="1">
      <alignment horizontal="left" vertical="center" wrapText="1"/>
    </xf>
    <xf numFmtId="49" fontId="26" fillId="0" borderId="34" xfId="16" applyNumberFormat="1" applyFont="1" applyBorder="1" applyAlignment="1">
      <alignment horizontal="left" vertical="top" wrapText="1"/>
    </xf>
    <xf numFmtId="49" fontId="26" fillId="0" borderId="0" xfId="16" applyNumberFormat="1" applyFont="1" applyAlignment="1">
      <alignment horizontal="left" vertical="top" wrapText="1"/>
    </xf>
    <xf numFmtId="49" fontId="26" fillId="0" borderId="48" xfId="16" applyNumberFormat="1" applyFont="1" applyBorder="1" applyAlignment="1">
      <alignment horizontal="left" vertical="top" wrapText="1"/>
    </xf>
    <xf numFmtId="49" fontId="26" fillId="0" borderId="17" xfId="16" applyNumberFormat="1" applyFont="1" applyBorder="1" applyAlignment="1">
      <alignment horizontal="right" vertical="top" wrapText="1"/>
    </xf>
    <xf numFmtId="0" fontId="26" fillId="0" borderId="34" xfId="16" applyFont="1" applyBorder="1" applyAlignment="1">
      <alignment horizontal="left" vertical="top" wrapText="1"/>
    </xf>
    <xf numFmtId="0" fontId="26" fillId="0" borderId="0" xfId="16" applyFont="1" applyAlignment="1">
      <alignment horizontal="left" vertical="top" wrapText="1"/>
    </xf>
    <xf numFmtId="0" fontId="26" fillId="0" borderId="48" xfId="16" applyFont="1" applyBorder="1" applyAlignment="1">
      <alignment horizontal="left" vertical="top" wrapText="1"/>
    </xf>
    <xf numFmtId="0" fontId="19" fillId="0" borderId="17" xfId="16" applyBorder="1" applyAlignment="1">
      <alignment horizontal="left" vertical="top" wrapText="1"/>
    </xf>
    <xf numFmtId="3" fontId="19" fillId="0" borderId="17" xfId="16" applyNumberFormat="1" applyBorder="1" applyAlignment="1">
      <alignment horizontal="right" vertical="top" wrapText="1"/>
    </xf>
    <xf numFmtId="49" fontId="26" fillId="0" borderId="50" xfId="16" applyNumberFormat="1" applyFont="1" applyBorder="1" applyAlignment="1">
      <alignment horizontal="left" vertical="top" wrapText="1"/>
    </xf>
    <xf numFmtId="49" fontId="26" fillId="0" borderId="1" xfId="16" applyNumberFormat="1" applyFont="1" applyBorder="1" applyAlignment="1">
      <alignment horizontal="left" vertical="top" wrapText="1"/>
    </xf>
    <xf numFmtId="49" fontId="26" fillId="0" borderId="49" xfId="16" applyNumberFormat="1" applyFont="1" applyBorder="1" applyAlignment="1">
      <alignment horizontal="left" vertical="top" wrapText="1"/>
    </xf>
    <xf numFmtId="49" fontId="26" fillId="0" borderId="15" xfId="16" applyNumberFormat="1" applyFont="1" applyBorder="1" applyAlignment="1">
      <alignment horizontal="right" vertical="top" wrapText="1"/>
    </xf>
    <xf numFmtId="0" fontId="19" fillId="0" borderId="15" xfId="16" applyBorder="1" applyAlignment="1">
      <alignment horizontal="left" vertical="top" wrapText="1"/>
    </xf>
    <xf numFmtId="3" fontId="19" fillId="0" borderId="15" xfId="16" applyNumberFormat="1" applyBorder="1" applyAlignment="1">
      <alignment horizontal="right" vertical="top" wrapText="1"/>
    </xf>
    <xf numFmtId="49" fontId="26" fillId="0" borderId="13" xfId="16" applyNumberFormat="1" applyFont="1" applyBorder="1" applyAlignment="1">
      <alignment horizontal="left" vertical="top" wrapText="1"/>
    </xf>
    <xf numFmtId="49" fontId="26" fillId="0" borderId="43" xfId="16" applyNumberFormat="1" applyFont="1" applyBorder="1" applyAlignment="1">
      <alignment horizontal="left" vertical="top" wrapText="1"/>
    </xf>
    <xf numFmtId="49" fontId="26" fillId="0" borderId="41" xfId="16" applyNumberFormat="1" applyFont="1" applyBorder="1" applyAlignment="1">
      <alignment horizontal="left" vertical="top" wrapText="1"/>
    </xf>
    <xf numFmtId="49" fontId="26" fillId="0" borderId="42" xfId="16" applyNumberFormat="1" applyFont="1" applyBorder="1" applyAlignment="1">
      <alignment horizontal="left" vertical="top" wrapText="1"/>
    </xf>
    <xf numFmtId="49" fontId="26" fillId="0" borderId="18" xfId="16" applyNumberFormat="1" applyFont="1" applyBorder="1" applyAlignment="1">
      <alignment horizontal="left" vertical="top" wrapText="1"/>
    </xf>
    <xf numFmtId="49" fontId="26" fillId="0" borderId="35" xfId="16" applyNumberFormat="1" applyFont="1" applyBorder="1" applyAlignment="1">
      <alignment horizontal="left" vertical="top" wrapText="1"/>
    </xf>
    <xf numFmtId="0" fontId="26" fillId="0" borderId="13" xfId="16" applyFont="1" applyBorder="1" applyAlignment="1">
      <alignment horizontal="center" vertical="top" wrapText="1"/>
    </xf>
    <xf numFmtId="0" fontId="26" fillId="0" borderId="43" xfId="16" applyFont="1" applyBorder="1" applyAlignment="1">
      <alignment horizontal="center" vertical="top" wrapText="1"/>
    </xf>
    <xf numFmtId="0" fontId="26" fillId="0" borderId="41" xfId="16" applyFont="1" applyBorder="1" applyAlignment="1">
      <alignment horizontal="center" vertical="top" wrapText="1"/>
    </xf>
    <xf numFmtId="0" fontId="30" fillId="0" borderId="11" xfId="11" applyBorder="1" applyAlignment="1">
      <alignment horizontal="left"/>
    </xf>
    <xf numFmtId="0" fontId="3" fillId="0" borderId="0" xfId="11" applyFont="1" applyAlignment="1">
      <alignment horizontal="center" wrapText="1"/>
    </xf>
    <xf numFmtId="0" fontId="3" fillId="0" borderId="0" xfId="11" applyFont="1" applyAlignment="1">
      <alignment horizontal="center"/>
    </xf>
    <xf numFmtId="0" fontId="30" fillId="0" borderId="11" xfId="11" applyBorder="1" applyAlignment="1">
      <alignment horizontal="center" vertical="center"/>
    </xf>
    <xf numFmtId="0" fontId="30" fillId="0" borderId="15" xfId="11" applyBorder="1" applyAlignment="1">
      <alignment horizontal="center" vertical="center" wrapText="1"/>
    </xf>
    <xf numFmtId="0" fontId="30" fillId="0" borderId="16" xfId="11" applyBorder="1" applyAlignment="1">
      <alignment horizontal="center" vertical="center" wrapText="1"/>
    </xf>
    <xf numFmtId="0" fontId="30" fillId="0" borderId="11" xfId="11" applyBorder="1" applyAlignment="1">
      <alignment horizontal="center" vertical="center" wrapText="1"/>
    </xf>
    <xf numFmtId="0" fontId="30" fillId="0" borderId="13" xfId="11" applyBorder="1" applyAlignment="1">
      <alignment horizontal="center" vertical="center"/>
    </xf>
    <xf numFmtId="0" fontId="30" fillId="0" borderId="43" xfId="11" applyBorder="1" applyAlignment="1">
      <alignment horizontal="center" vertical="center"/>
    </xf>
    <xf numFmtId="0" fontId="30" fillId="0" borderId="41" xfId="11" applyBorder="1" applyAlignment="1">
      <alignment horizontal="center" vertical="center"/>
    </xf>
    <xf numFmtId="4" fontId="30" fillId="0" borderId="15" xfId="11" applyNumberFormat="1" applyBorder="1" applyAlignment="1">
      <alignment horizontal="center" vertical="center" wrapText="1"/>
    </xf>
    <xf numFmtId="4" fontId="30" fillId="0" borderId="16" xfId="11" applyNumberFormat="1" applyBorder="1" applyAlignment="1">
      <alignment horizontal="center" vertical="center" wrapText="1"/>
    </xf>
    <xf numFmtId="49" fontId="84" fillId="14" borderId="11" xfId="0" applyNumberFormat="1" applyFont="1" applyFill="1" applyBorder="1" applyAlignment="1">
      <alignment horizontal="right" vertical="center"/>
    </xf>
    <xf numFmtId="0" fontId="30" fillId="0" borderId="11" xfId="11" applyBorder="1" applyAlignment="1">
      <alignment horizontal="left" vertical="center" wrapText="1"/>
    </xf>
    <xf numFmtId="0" fontId="30" fillId="0" borderId="11" xfId="11" applyBorder="1" applyAlignment="1">
      <alignment horizontal="left" vertical="top" wrapText="1"/>
    </xf>
    <xf numFmtId="49" fontId="41" fillId="13" borderId="11" xfId="0" applyNumberFormat="1" applyFont="1" applyFill="1" applyBorder="1" applyAlignment="1">
      <alignment horizontal="right" vertical="center"/>
    </xf>
    <xf numFmtId="0" fontId="19" fillId="0" borderId="11" xfId="9" applyFont="1" applyFill="1" applyBorder="1" applyAlignment="1">
      <alignment horizontal="left" vertical="center" wrapText="1"/>
    </xf>
    <xf numFmtId="0" fontId="26" fillId="0" borderId="11" xfId="9" applyFont="1" applyFill="1" applyBorder="1" applyAlignment="1">
      <alignment horizontal="left" vertical="center" wrapText="1"/>
    </xf>
    <xf numFmtId="0" fontId="26" fillId="0" borderId="11" xfId="5" applyFont="1" applyFill="1" applyBorder="1" applyAlignment="1">
      <alignment horizontal="left" vertical="center" wrapText="1"/>
    </xf>
    <xf numFmtId="0" fontId="18" fillId="0" borderId="0" xfId="5" applyFill="1" applyBorder="1" applyAlignment="1">
      <alignment horizontal="left" wrapText="1"/>
    </xf>
    <xf numFmtId="0" fontId="19" fillId="0" borderId="0" xfId="10" applyFont="1" applyFill="1" applyBorder="1" applyAlignment="1">
      <alignment horizontal="center" vertical="center"/>
    </xf>
    <xf numFmtId="0" fontId="21" fillId="0" borderId="0" xfId="6" applyFont="1" applyFill="1" applyBorder="1" applyAlignment="1">
      <alignment horizontal="center" vertical="center"/>
    </xf>
    <xf numFmtId="0" fontId="22" fillId="0" borderId="0" xfId="5" applyFont="1" applyFill="1" applyBorder="1" applyAlignment="1">
      <alignment horizontal="center" vertical="center" wrapText="1"/>
    </xf>
    <xf numFmtId="0" fontId="22" fillId="0" borderId="1" xfId="5" applyFont="1" applyFill="1" applyBorder="1" applyAlignment="1">
      <alignment horizontal="center" vertical="center" wrapText="1"/>
    </xf>
    <xf numFmtId="0" fontId="21" fillId="0" borderId="0" xfId="5" applyFont="1" applyFill="1" applyBorder="1" applyAlignment="1">
      <alignment horizontal="center" vertical="center"/>
    </xf>
    <xf numFmtId="0" fontId="19" fillId="0" borderId="15" xfId="5" applyFont="1" applyFill="1" applyBorder="1" applyAlignment="1">
      <alignment horizontal="center" vertical="center" wrapText="1"/>
    </xf>
    <xf numFmtId="0" fontId="19" fillId="0" borderId="16" xfId="5" applyFont="1" applyFill="1" applyBorder="1" applyAlignment="1">
      <alignment horizontal="center" vertical="center" wrapText="1"/>
    </xf>
    <xf numFmtId="0" fontId="19" fillId="0" borderId="34" xfId="5" applyFont="1" applyFill="1" applyBorder="1" applyAlignment="1">
      <alignment horizontal="left" wrapText="1"/>
    </xf>
    <xf numFmtId="0" fontId="19" fillId="0" borderId="0" xfId="5" applyFont="1" applyFill="1" applyAlignment="1">
      <alignment horizontal="left" wrapText="1"/>
    </xf>
    <xf numFmtId="0" fontId="22" fillId="0" borderId="11" xfId="5" applyFont="1" applyFill="1" applyBorder="1" applyAlignment="1">
      <alignment horizontal="center" vertical="center" wrapText="1"/>
    </xf>
    <xf numFmtId="0" fontId="22" fillId="0" borderId="43" xfId="5" applyFont="1" applyFill="1" applyBorder="1" applyAlignment="1">
      <alignment horizontal="center" vertical="center" wrapText="1"/>
    </xf>
    <xf numFmtId="49" fontId="26" fillId="0" borderId="15" xfId="5" applyNumberFormat="1" applyFont="1" applyFill="1" applyBorder="1" applyAlignment="1">
      <alignment horizontal="left" vertical="top" wrapText="1"/>
    </xf>
    <xf numFmtId="49" fontId="26" fillId="0" borderId="17" xfId="5" applyNumberFormat="1" applyFont="1" applyFill="1" applyBorder="1" applyAlignment="1">
      <alignment horizontal="left" vertical="top" wrapText="1"/>
    </xf>
    <xf numFmtId="49" fontId="26" fillId="0" borderId="16" xfId="5" applyNumberFormat="1" applyFont="1" applyFill="1" applyBorder="1" applyAlignment="1">
      <alignment horizontal="left" vertical="top" wrapText="1"/>
    </xf>
    <xf numFmtId="0" fontId="19" fillId="0" borderId="15" xfId="5" applyFont="1" applyFill="1" applyBorder="1" applyAlignment="1">
      <alignment horizontal="center" vertical="top" wrapText="1"/>
    </xf>
    <xf numFmtId="0" fontId="19" fillId="0" borderId="17" xfId="5" applyFont="1" applyFill="1" applyBorder="1" applyAlignment="1">
      <alignment horizontal="center" vertical="top" wrapText="1"/>
    </xf>
    <xf numFmtId="0" fontId="19" fillId="0" borderId="16" xfId="5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13" fillId="3" borderId="5" xfId="0" applyNumberFormat="1" applyFont="1" applyFill="1" applyBorder="1" applyAlignment="1">
      <alignment vertical="center" wrapText="1"/>
    </xf>
    <xf numFmtId="0" fontId="13" fillId="3" borderId="6" xfId="0" applyNumberFormat="1" applyFont="1" applyFill="1" applyBorder="1" applyAlignment="1">
      <alignment vertical="center" wrapText="1"/>
    </xf>
    <xf numFmtId="0" fontId="11" fillId="3" borderId="5" xfId="0" applyNumberFormat="1" applyFont="1" applyFill="1" applyBorder="1" applyAlignment="1">
      <alignment horizontal="center" vertical="center" wrapText="1"/>
    </xf>
    <xf numFmtId="0" fontId="11" fillId="3" borderId="8" xfId="0" applyNumberFormat="1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vertical="center"/>
    </xf>
    <xf numFmtId="0" fontId="10" fillId="5" borderId="37" xfId="0" applyFont="1" applyFill="1" applyBorder="1" applyAlignment="1">
      <alignment vertical="center"/>
    </xf>
    <xf numFmtId="49" fontId="11" fillId="5" borderId="40" xfId="0" applyNumberFormat="1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vertical="center"/>
    </xf>
    <xf numFmtId="0" fontId="11" fillId="5" borderId="40" xfId="0" applyFont="1" applyFill="1" applyBorder="1" applyAlignment="1">
      <alignment vertical="center" wrapText="1"/>
    </xf>
    <xf numFmtId="0" fontId="11" fillId="5" borderId="40" xfId="0" applyFont="1" applyFill="1" applyBorder="1" applyAlignment="1">
      <alignment horizontal="center" vertical="center" wrapText="1"/>
    </xf>
    <xf numFmtId="49" fontId="11" fillId="12" borderId="36" xfId="0" applyNumberFormat="1" applyFont="1" applyFill="1" applyBorder="1" applyAlignment="1">
      <alignment horizontal="center" vertical="center"/>
    </xf>
    <xf numFmtId="0" fontId="11" fillId="12" borderId="11" xfId="0" applyFont="1" applyFill="1" applyBorder="1" applyAlignment="1">
      <alignment horizontal="center" vertical="center"/>
    </xf>
    <xf numFmtId="0" fontId="11" fillId="5" borderId="37" xfId="0" applyFont="1" applyFill="1" applyBorder="1" applyAlignment="1">
      <alignment vertical="center"/>
    </xf>
    <xf numFmtId="0" fontId="11" fillId="12" borderId="11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vertical="center"/>
    </xf>
    <xf numFmtId="0" fontId="10" fillId="5" borderId="21" xfId="0" applyFont="1" applyFill="1" applyBorder="1" applyAlignment="1">
      <alignment vertical="center"/>
    </xf>
    <xf numFmtId="0" fontId="12" fillId="5" borderId="11" xfId="0" applyFont="1" applyFill="1" applyBorder="1" applyAlignment="1">
      <alignment vertical="center"/>
    </xf>
    <xf numFmtId="0" fontId="12" fillId="5" borderId="37" xfId="0" applyFont="1" applyFill="1" applyBorder="1" applyAlignment="1">
      <alignment vertical="center"/>
    </xf>
    <xf numFmtId="0" fontId="80" fillId="0" borderId="0" xfId="0" applyNumberFormat="1" applyFont="1" applyAlignment="1">
      <alignment horizontal="left" vertical="top" wrapText="1"/>
    </xf>
    <xf numFmtId="0" fontId="132" fillId="0" borderId="0" xfId="0" applyNumberFormat="1" applyFont="1" applyAlignment="1">
      <alignment vertical="top" wrapText="1"/>
    </xf>
    <xf numFmtId="0" fontId="25" fillId="0" borderId="0" xfId="0" applyNumberFormat="1" applyFont="1" applyBorder="1" applyAlignment="1">
      <alignment horizontal="center" vertical="top" wrapText="1"/>
    </xf>
    <xf numFmtId="0" fontId="41" fillId="0" borderId="0" xfId="0" applyNumberFormat="1" applyFont="1" applyBorder="1" applyAlignment="1">
      <alignment horizontal="center" vertical="center"/>
    </xf>
    <xf numFmtId="0" fontId="133" fillId="0" borderId="0" xfId="0" applyNumberFormat="1" applyFont="1" applyBorder="1" applyAlignment="1">
      <alignment horizontal="left" vertical="top" wrapText="1"/>
    </xf>
    <xf numFmtId="0" fontId="80" fillId="0" borderId="0" xfId="0" applyNumberFormat="1" applyFont="1" applyBorder="1" applyAlignment="1">
      <alignment horizontal="left" vertical="top"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 vertical="top"/>
    </xf>
    <xf numFmtId="0" fontId="12" fillId="5" borderId="9" xfId="0" applyFont="1" applyFill="1" applyBorder="1" applyAlignment="1">
      <alignment vertical="center"/>
    </xf>
    <xf numFmtId="0" fontId="12" fillId="5" borderId="10" xfId="0" applyFont="1" applyFill="1" applyBorder="1" applyAlignment="1">
      <alignment vertical="center"/>
    </xf>
    <xf numFmtId="0" fontId="12" fillId="5" borderId="4" xfId="0" applyFont="1" applyFill="1" applyBorder="1" applyAlignment="1">
      <alignment vertical="center"/>
    </xf>
    <xf numFmtId="0" fontId="31" fillId="0" borderId="0" xfId="12" applyFont="1" applyBorder="1" applyAlignment="1">
      <alignment horizontal="left" vertical="center" wrapText="1"/>
    </xf>
    <xf numFmtId="0" fontId="41" fillId="0" borderId="18" xfId="14" applyFont="1" applyBorder="1" applyAlignment="1">
      <alignment horizontal="center"/>
    </xf>
    <xf numFmtId="0" fontId="41" fillId="0" borderId="23" xfId="14" applyFont="1" applyBorder="1" applyAlignment="1">
      <alignment horizontal="center"/>
    </xf>
    <xf numFmtId="0" fontId="80" fillId="0" borderId="0" xfId="14" applyFont="1" applyAlignment="1">
      <alignment horizontal="left" wrapText="1"/>
    </xf>
  </cellXfs>
  <cellStyles count="43">
    <cellStyle name="S10 5" xfId="25"/>
    <cellStyle name="S12 4" xfId="26"/>
    <cellStyle name="S13 2" xfId="3"/>
    <cellStyle name="S2 6" xfId="22"/>
    <cellStyle name="S3 3" xfId="18"/>
    <cellStyle name="S4 4" xfId="19"/>
    <cellStyle name="S5 4" xfId="20"/>
    <cellStyle name="S6 4" xfId="21"/>
    <cellStyle name="S7 3" xfId="23"/>
    <cellStyle name="S8 3" xfId="24"/>
    <cellStyle name="Денежный 2 2" xfId="41"/>
    <cellStyle name="Итоги" xfId="9"/>
    <cellStyle name="ЛокСмета" xfId="8"/>
    <cellStyle name="Обычный" xfId="0" builtinId="0"/>
    <cellStyle name="Обычный 100" xfId="12"/>
    <cellStyle name="Обычный 140 3" xfId="14"/>
    <cellStyle name="Обычный 15" xfId="4"/>
    <cellStyle name="Обычный 18" xfId="17"/>
    <cellStyle name="Обычный 2" xfId="5"/>
    <cellStyle name="Обычный 2 2" xfId="6"/>
    <cellStyle name="Обычный 2 2 4" xfId="35"/>
    <cellStyle name="Обычный 2 3" xfId="38"/>
    <cellStyle name="Обычный 25 2" xfId="13"/>
    <cellStyle name="Обычный 27" xfId="37"/>
    <cellStyle name="Обычный 28 4" xfId="32"/>
    <cellStyle name="Обычный 28 4 2" xfId="39"/>
    <cellStyle name="Обычный 3" xfId="16"/>
    <cellStyle name="Обычный 3 3" xfId="29"/>
    <cellStyle name="Обычный 32" xfId="40"/>
    <cellStyle name="Обычный 4" xfId="15"/>
    <cellStyle name="Обычный 49" xfId="11"/>
    <cellStyle name="ПИР" xfId="42"/>
    <cellStyle name="Процентный" xfId="2" builtinId="5"/>
    <cellStyle name="Процентный 10" xfId="36"/>
    <cellStyle name="Процентный 2" xfId="28"/>
    <cellStyle name="Процентный 2 2" xfId="30"/>
    <cellStyle name="Титул" xfId="7"/>
    <cellStyle name="Финансовый" xfId="1" builtinId="3"/>
    <cellStyle name="Финансовый [0] 2 2" xfId="31"/>
    <cellStyle name="Финансовый 2" xfId="27"/>
    <cellStyle name="Финансовый 3 4" xfId="33"/>
    <cellStyle name="Финансовый 7 2" xfId="34"/>
    <cellStyle name="Хвост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externalLink" Target="externalLinks/externalLink13.xml"/><Relationship Id="rId47" Type="http://schemas.openxmlformats.org/officeDocument/2006/relationships/externalLink" Target="externalLinks/externalLink18.xml"/><Relationship Id="rId63" Type="http://schemas.openxmlformats.org/officeDocument/2006/relationships/externalLink" Target="externalLinks/externalLink34.xml"/><Relationship Id="rId68" Type="http://schemas.openxmlformats.org/officeDocument/2006/relationships/externalLink" Target="externalLinks/externalLink39.xml"/><Relationship Id="rId84" Type="http://schemas.openxmlformats.org/officeDocument/2006/relationships/styles" Target="styles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53" Type="http://schemas.openxmlformats.org/officeDocument/2006/relationships/externalLink" Target="externalLinks/externalLink24.xml"/><Relationship Id="rId58" Type="http://schemas.openxmlformats.org/officeDocument/2006/relationships/externalLink" Target="externalLinks/externalLink29.xml"/><Relationship Id="rId74" Type="http://schemas.openxmlformats.org/officeDocument/2006/relationships/externalLink" Target="externalLinks/externalLink45.xml"/><Relationship Id="rId79" Type="http://schemas.openxmlformats.org/officeDocument/2006/relationships/externalLink" Target="externalLinks/externalLink50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externalLink" Target="externalLinks/externalLink14.xml"/><Relationship Id="rId48" Type="http://schemas.openxmlformats.org/officeDocument/2006/relationships/externalLink" Target="externalLinks/externalLink19.xml"/><Relationship Id="rId56" Type="http://schemas.openxmlformats.org/officeDocument/2006/relationships/externalLink" Target="externalLinks/externalLink27.xml"/><Relationship Id="rId64" Type="http://schemas.openxmlformats.org/officeDocument/2006/relationships/externalLink" Target="externalLinks/externalLink35.xml"/><Relationship Id="rId69" Type="http://schemas.openxmlformats.org/officeDocument/2006/relationships/externalLink" Target="externalLinks/externalLink40.xml"/><Relationship Id="rId77" Type="http://schemas.openxmlformats.org/officeDocument/2006/relationships/externalLink" Target="externalLinks/externalLink4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2.xml"/><Relationship Id="rId72" Type="http://schemas.openxmlformats.org/officeDocument/2006/relationships/externalLink" Target="externalLinks/externalLink43.xml"/><Relationship Id="rId80" Type="http://schemas.openxmlformats.org/officeDocument/2006/relationships/externalLink" Target="externalLinks/externalLink51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externalLink" Target="externalLinks/externalLink17.xml"/><Relationship Id="rId59" Type="http://schemas.openxmlformats.org/officeDocument/2006/relationships/externalLink" Target="externalLinks/externalLink30.xml"/><Relationship Id="rId67" Type="http://schemas.openxmlformats.org/officeDocument/2006/relationships/externalLink" Target="externalLinks/externalLink38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2.xml"/><Relationship Id="rId54" Type="http://schemas.openxmlformats.org/officeDocument/2006/relationships/externalLink" Target="externalLinks/externalLink25.xml"/><Relationship Id="rId62" Type="http://schemas.openxmlformats.org/officeDocument/2006/relationships/externalLink" Target="externalLinks/externalLink33.xml"/><Relationship Id="rId70" Type="http://schemas.openxmlformats.org/officeDocument/2006/relationships/externalLink" Target="externalLinks/externalLink41.xml"/><Relationship Id="rId75" Type="http://schemas.openxmlformats.org/officeDocument/2006/relationships/externalLink" Target="externalLinks/externalLink46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49" Type="http://schemas.openxmlformats.org/officeDocument/2006/relationships/externalLink" Target="externalLinks/externalLink20.xml"/><Relationship Id="rId57" Type="http://schemas.openxmlformats.org/officeDocument/2006/relationships/externalLink" Target="externalLinks/externalLink28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.xml"/><Relationship Id="rId44" Type="http://schemas.openxmlformats.org/officeDocument/2006/relationships/externalLink" Target="externalLinks/externalLink15.xml"/><Relationship Id="rId52" Type="http://schemas.openxmlformats.org/officeDocument/2006/relationships/externalLink" Target="externalLinks/externalLink23.xml"/><Relationship Id="rId60" Type="http://schemas.openxmlformats.org/officeDocument/2006/relationships/externalLink" Target="externalLinks/externalLink31.xml"/><Relationship Id="rId65" Type="http://schemas.openxmlformats.org/officeDocument/2006/relationships/externalLink" Target="externalLinks/externalLink36.xml"/><Relationship Id="rId73" Type="http://schemas.openxmlformats.org/officeDocument/2006/relationships/externalLink" Target="externalLinks/externalLink44.xml"/><Relationship Id="rId78" Type="http://schemas.openxmlformats.org/officeDocument/2006/relationships/externalLink" Target="externalLinks/externalLink49.xml"/><Relationship Id="rId81" Type="http://schemas.openxmlformats.org/officeDocument/2006/relationships/externalLink" Target="externalLinks/externalLink52.xml"/><Relationship Id="rId86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5.xml"/><Relationship Id="rId50" Type="http://schemas.openxmlformats.org/officeDocument/2006/relationships/externalLink" Target="externalLinks/externalLink21.xml"/><Relationship Id="rId55" Type="http://schemas.openxmlformats.org/officeDocument/2006/relationships/externalLink" Target="externalLinks/externalLink26.xml"/><Relationship Id="rId76" Type="http://schemas.openxmlformats.org/officeDocument/2006/relationships/externalLink" Target="externalLinks/externalLink47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4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externalLink" Target="externalLinks/externalLink11.xml"/><Relationship Id="rId45" Type="http://schemas.openxmlformats.org/officeDocument/2006/relationships/externalLink" Target="externalLinks/externalLink16.xml"/><Relationship Id="rId66" Type="http://schemas.openxmlformats.org/officeDocument/2006/relationships/externalLink" Target="externalLinks/externalLink37.xml"/><Relationship Id="rId61" Type="http://schemas.openxmlformats.org/officeDocument/2006/relationships/externalLink" Target="externalLinks/externalLink32.xml"/><Relationship Id="rId82" Type="http://schemas.openxmlformats.org/officeDocument/2006/relationships/externalLink" Target="externalLinks/externalLink5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7327</xdr:colOff>
      <xdr:row>6</xdr:row>
      <xdr:rowOff>168519</xdr:rowOff>
    </xdr:from>
    <xdr:to>
      <xdr:col>5</xdr:col>
      <xdr:colOff>351693</xdr:colOff>
      <xdr:row>6</xdr:row>
      <xdr:rowOff>175846</xdr:rowOff>
    </xdr:to>
    <xdr:cxnSp macro="">
      <xdr:nvCxnSpPr>
        <xdr:cNvPr id="2" name="Прямая со стрелкой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>
          <a:off x="6726115" y="2271346"/>
          <a:ext cx="344366" cy="7327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7327</xdr:colOff>
      <xdr:row>7</xdr:row>
      <xdr:rowOff>161192</xdr:rowOff>
    </xdr:from>
    <xdr:to>
      <xdr:col>6</xdr:col>
      <xdr:colOff>131885</xdr:colOff>
      <xdr:row>7</xdr:row>
      <xdr:rowOff>175846</xdr:rowOff>
    </xdr:to>
    <xdr:cxnSp macro="">
      <xdr:nvCxnSpPr>
        <xdr:cNvPr id="3" name="Прямая со стрелкой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cxnSpLocks noChangeShapeType="1"/>
        </xdr:cNvCxnSpPr>
      </xdr:nvCxnSpPr>
      <xdr:spPr bwMode="auto">
        <a:xfrm flipV="1">
          <a:off x="6726115" y="2769577"/>
          <a:ext cx="791308" cy="14654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1267557</xdr:colOff>
      <xdr:row>9</xdr:row>
      <xdr:rowOff>131886</xdr:rowOff>
    </xdr:from>
    <xdr:to>
      <xdr:col>8</xdr:col>
      <xdr:colOff>263769</xdr:colOff>
      <xdr:row>9</xdr:row>
      <xdr:rowOff>139212</xdr:rowOff>
    </xdr:to>
    <xdr:cxnSp macro="">
      <xdr:nvCxnSpPr>
        <xdr:cNvPr id="6" name="Прямая со стрелкой 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>
          <a:cxnSpLocks noChangeShapeType="1"/>
        </xdr:cNvCxnSpPr>
      </xdr:nvCxnSpPr>
      <xdr:spPr bwMode="auto">
        <a:xfrm flipV="1">
          <a:off x="6718788" y="3538905"/>
          <a:ext cx="1487366" cy="7326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7327</xdr:colOff>
      <xdr:row>10</xdr:row>
      <xdr:rowOff>123779</xdr:rowOff>
    </xdr:from>
    <xdr:to>
      <xdr:col>8</xdr:col>
      <xdr:colOff>249115</xdr:colOff>
      <xdr:row>10</xdr:row>
      <xdr:rowOff>134921</xdr:rowOff>
    </xdr:to>
    <xdr:cxnSp macro="">
      <xdr:nvCxnSpPr>
        <xdr:cNvPr id="21" name="Прямая со стрелкой 2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>
          <a:off x="6726115" y="3845856"/>
          <a:ext cx="1465385" cy="11142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1267557</xdr:colOff>
      <xdr:row>14</xdr:row>
      <xdr:rowOff>175847</xdr:rowOff>
    </xdr:from>
    <xdr:to>
      <xdr:col>8</xdr:col>
      <xdr:colOff>256442</xdr:colOff>
      <xdr:row>14</xdr:row>
      <xdr:rowOff>212480</xdr:rowOff>
    </xdr:to>
    <xdr:cxnSp macro="">
      <xdr:nvCxnSpPr>
        <xdr:cNvPr id="25" name="Прямая со стрелкой 2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 flipV="1">
          <a:off x="6718788" y="5158155"/>
          <a:ext cx="1480039" cy="36633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7327</xdr:colOff>
      <xdr:row>15</xdr:row>
      <xdr:rowOff>168520</xdr:rowOff>
    </xdr:from>
    <xdr:to>
      <xdr:col>10</xdr:col>
      <xdr:colOff>212481</xdr:colOff>
      <xdr:row>15</xdr:row>
      <xdr:rowOff>183173</xdr:rowOff>
    </xdr:to>
    <xdr:cxnSp macro="">
      <xdr:nvCxnSpPr>
        <xdr:cNvPr id="26" name="Прямая со стрелкой 2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cxnSpLocks noChangeShapeType="1"/>
        </xdr:cNvCxnSpPr>
      </xdr:nvCxnSpPr>
      <xdr:spPr bwMode="auto">
        <a:xfrm flipV="1">
          <a:off x="6726115" y="5465885"/>
          <a:ext cx="1985597" cy="14653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128346</xdr:colOff>
      <xdr:row>16</xdr:row>
      <xdr:rowOff>146539</xdr:rowOff>
    </xdr:from>
    <xdr:to>
      <xdr:col>13</xdr:col>
      <xdr:colOff>373673</xdr:colOff>
      <xdr:row>16</xdr:row>
      <xdr:rowOff>156897</xdr:rowOff>
    </xdr:to>
    <xdr:cxnSp macro="">
      <xdr:nvCxnSpPr>
        <xdr:cNvPr id="27" name="Прямая со стрелкой 2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 flipV="1">
          <a:off x="8906000" y="5758962"/>
          <a:ext cx="860788" cy="10358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131885</xdr:colOff>
      <xdr:row>17</xdr:row>
      <xdr:rowOff>87923</xdr:rowOff>
    </xdr:from>
    <xdr:to>
      <xdr:col>13</xdr:col>
      <xdr:colOff>381000</xdr:colOff>
      <xdr:row>17</xdr:row>
      <xdr:rowOff>95250</xdr:rowOff>
    </xdr:to>
    <xdr:cxnSp macro="">
      <xdr:nvCxnSpPr>
        <xdr:cNvPr id="28" name="Прямая со стрелкой 2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>
          <a:cxnSpLocks noChangeShapeType="1"/>
        </xdr:cNvCxnSpPr>
      </xdr:nvCxnSpPr>
      <xdr:spPr bwMode="auto">
        <a:xfrm flipV="1">
          <a:off x="8909539" y="6022731"/>
          <a:ext cx="864576" cy="7327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7327</xdr:colOff>
      <xdr:row>11</xdr:row>
      <xdr:rowOff>146541</xdr:rowOff>
    </xdr:from>
    <xdr:to>
      <xdr:col>8</xdr:col>
      <xdr:colOff>241788</xdr:colOff>
      <xdr:row>11</xdr:row>
      <xdr:rowOff>146541</xdr:rowOff>
    </xdr:to>
    <xdr:cxnSp macro="">
      <xdr:nvCxnSpPr>
        <xdr:cNvPr id="40" name="Прямая со стрелкой 3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>
          <a:cxnSpLocks noChangeShapeType="1"/>
        </xdr:cNvCxnSpPr>
      </xdr:nvCxnSpPr>
      <xdr:spPr bwMode="auto">
        <a:xfrm>
          <a:off x="6726115" y="4183676"/>
          <a:ext cx="1458058" cy="0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1267557</xdr:colOff>
      <xdr:row>12</xdr:row>
      <xdr:rowOff>161193</xdr:rowOff>
    </xdr:from>
    <xdr:to>
      <xdr:col>8</xdr:col>
      <xdr:colOff>249115</xdr:colOff>
      <xdr:row>12</xdr:row>
      <xdr:rowOff>161194</xdr:rowOff>
    </xdr:to>
    <xdr:cxnSp macro="">
      <xdr:nvCxnSpPr>
        <xdr:cNvPr id="41" name="Прямая со стрелкой 4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>
          <a:cxnSpLocks noChangeShapeType="1"/>
        </xdr:cNvCxnSpPr>
      </xdr:nvCxnSpPr>
      <xdr:spPr bwMode="auto">
        <a:xfrm>
          <a:off x="6718788" y="4513385"/>
          <a:ext cx="1472712" cy="1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1</xdr:col>
      <xdr:colOff>304800</xdr:colOff>
      <xdr:row>29</xdr:row>
      <xdr:rowOff>0</xdr:rowOff>
    </xdr:to>
    <xdr:sp macro="" textlink="">
      <xdr:nvSpPr>
        <xdr:cNvPr id="2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2667000" y="9734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304800</xdr:colOff>
      <xdr:row>29</xdr:row>
      <xdr:rowOff>0</xdr:rowOff>
    </xdr:to>
    <xdr:sp macro="" textlink="">
      <xdr:nvSpPr>
        <xdr:cNvPr id="3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2667000" y="9734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304800</xdr:colOff>
      <xdr:row>29</xdr:row>
      <xdr:rowOff>0</xdr:rowOff>
    </xdr:to>
    <xdr:sp macro="" textlink="">
      <xdr:nvSpPr>
        <xdr:cNvPr id="4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667000" y="9734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439270</xdr:colOff>
      <xdr:row>28</xdr:row>
      <xdr:rowOff>0</xdr:rowOff>
    </xdr:from>
    <xdr:ext cx="1051112" cy="395569"/>
    <xdr:sp macro="" textlink="">
      <xdr:nvSpPr>
        <xdr:cNvPr id="5" name="TextBox 4"/>
        <xdr:cNvSpPr txBox="1"/>
      </xdr:nvSpPr>
      <xdr:spPr>
        <a:xfrm>
          <a:off x="4782670" y="9734550"/>
          <a:ext cx="1051112" cy="39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400"/>
        </a:p>
      </xdr:txBody>
    </xdr:sp>
    <xdr:clientData/>
  </xdr:oneCellAnchor>
  <xdr:oneCellAnchor>
    <xdr:from>
      <xdr:col>1</xdr:col>
      <xdr:colOff>1666316</xdr:colOff>
      <xdr:row>28</xdr:row>
      <xdr:rowOff>0</xdr:rowOff>
    </xdr:from>
    <xdr:ext cx="2353234" cy="315407"/>
    <xdr:sp macro="" textlink="">
      <xdr:nvSpPr>
        <xdr:cNvPr id="6" name="TextBox 5"/>
        <xdr:cNvSpPr txBox="1"/>
      </xdr:nvSpPr>
      <xdr:spPr>
        <a:xfrm>
          <a:off x="4333316" y="9734550"/>
          <a:ext cx="2353234" cy="3154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3</xdr:col>
      <xdr:colOff>76199</xdr:colOff>
      <xdr:row>28</xdr:row>
      <xdr:rowOff>0</xdr:rowOff>
    </xdr:from>
    <xdr:ext cx="1465729" cy="333376"/>
    <xdr:sp macro="" textlink="">
      <xdr:nvSpPr>
        <xdr:cNvPr id="7" name="TextBox 6"/>
        <xdr:cNvSpPr txBox="1"/>
      </xdr:nvSpPr>
      <xdr:spPr>
        <a:xfrm flipV="1">
          <a:off x="5438774" y="9734550"/>
          <a:ext cx="1465729" cy="3333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400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90500"/>
    <xdr:sp macro="" textlink="">
      <xdr:nvSpPr>
        <xdr:cNvPr id="8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667000" y="9734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85445</xdr:colOff>
      <xdr:row>0</xdr:row>
      <xdr:rowOff>0</xdr:rowOff>
    </xdr:from>
    <xdr:to>
      <xdr:col>5</xdr:col>
      <xdr:colOff>727849</xdr:colOff>
      <xdr:row>2</xdr:row>
      <xdr:rowOff>154781</xdr:rowOff>
    </xdr:to>
    <xdr:pic>
      <xdr:nvPicPr>
        <xdr:cNvPr id="2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370" y="0"/>
          <a:ext cx="642404" cy="669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&#1057;&#1084;&#1077;&#1090;&#1099;%20&#1088;&#1072;&#1073;&#1086;&#1095;&#1080;&#1077;/2008/&#1089;&#1084;&#1077;&#1090;&#1072;%20&#1075;&#1077;&#1086;&#1083;%20&#1042;&#1086;&#1083;&#1075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76;&#1077;&#1087;&#1072;&#1088;&#1090;&#1072;&#1084;&#1077;&#1085;&#1090;%20&#1089;&#1080;&#1073;\&#1054;&#1090;&#1076;&#1077;&#1083;%20&#1087;&#1088;&#1086;&#1077;&#1082;&#1090;&#1080;&#1088;&#1086;&#1074;&#1072;&#1085;&#1080;&#1103;\01.%20&#1055;&#1088;&#1086;&#1077;&#1082;&#1090;&#1099;%20&#1074;%20&#1088;&#1072;&#1079;&#1088;&#1072;&#1073;&#1086;&#1090;&#1082;&#1077;\&#1057;&#1072;&#1084;&#1072;&#1088;&#1072;&#1090;&#1088;&#1072;&#1085;&#1089;&#1075;&#1072;&#1079;\07.%20&#1055;&#1088;&#1086;&#1077;&#1082;&#1090;&#1080;&#1088;&#1086;&#1074;&#1072;&#1085;&#1080;&#1077;\01.&#1058;&#1077;&#1093;&#1085;&#1080;&#1095;&#1077;&#1089;&#1082;&#1080;&#1081;%20&#1087;&#1088;&#1086;&#1077;&#1082;&#1090;\&#1057;&#1087;&#1077;&#1094;&#1080;&#1092;&#1080;&#1082;&#1072;&#1094;&#1080;&#1103;\1807200716462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DTkachev\Ttt_\Objects\&#1055;&#1057;&#1041;\PSBkrasnogvard_v4_0909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shinaon\Documents%20and%20Settings\Ievleva\Local%20Settings\Temporary%20Internet%20Files\Content.Outlook\XTAUZLZV\&#1072;&#1074;&#1075;-&#1089;&#1077;&#1085;&#1090;2011\&#1089;&#1088;&#1072;&#1074;&#1085;&#1077;&#1085;&#1080;&#1077;%20&#1080;&#1085;&#1074;&#1077;&#1089;&#1090;&#1087;&#1083;&#1072;&#1085;&#1086;&#1074;%20&#1082;&#1086;&#1084;&#1087;&#1072;&#1085;&#1080;&#1081;%20&#1058;&#1069;&#1050;&#1072;_10&#1072;&#1074;&#1075;201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ep03n\&#1057;&#1077;&#1090;&#1077;&#1074;&#1086;&#1081;%20&#1076;&#1080;&#1089;&#1082;%20Z\portachev\&#1057;&#1090;&#1072;&#1090;&#1080;&#1089;&#1090;&#1080;&#1082;&#1072;%20&#1094;&#1077;&#1085;%20&#1080;%20&#1092;&#1080;&#1085;&#1072;&#1085;&#1089;&#1086;&#1074;\&#1052;&#1086;&#1080;%20&#1076;&#1086;&#1082;&#1091;&#1084;&#1077;&#1085;&#1090;&#1099;\&#1052;&#1054;&#1041;\06-03-06\Var2.7%20(version%20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2007_&#1076;&#1086;&#1075;\!&#1044;&#1086;&#1075;&#1086;&#1074;&#1086;&#1088;&#1099;%20&#1085;&#1072;%202007%20&#1075;&#1086;&#1076;\&#1050;&#1091;&#1081;&#1073;_&#1046;&#1044;_&#1055;&#1048;&#1056;_&#1055;&#1054;\&#1040;&#1043;&#1043;_%20new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176-1\Smeta-5-176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SHKINA\Transfer\&#1052;&#1086;&#1080;%20&#1076;&#1086;&#1082;&#1091;&#1084;&#1077;&#1085;&#1090;&#1099;\&#1055;&#1053;&#1056;%20&#1057;&#1084;&#1086;&#1083;&#1077;&#1085;&#1089;&#1082;&#1072;&#1103;\&#1055;&#1053;&#1056;%20&#1076;&#1086;&#1087;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4\tmpfolder\!exchange\23%20&#1086;&#1090;&#1076;&#1077;&#1083;\&#1045;&#1088;&#1105;&#1084;&#1080;&#1085;\&#1089;&#1084;&#1043;&#1040;&#1055;&#1086;&#1076;&#1085;&#105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s\Zarplata_1\&#1044;&#1077;&#1085;&#1080;&#1089;\&#1089;&#1086;&#1093;&#1088;&#1072;&#1085;&#1080;&#1090;&#110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!Bakcell\&#1041;&#1102;&#1076;\&#1041;&#1102;&#1076;&#1078;&#1077;&#1090;_Bakcell_081_07_2007-09-2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WP\NGK\5_2005\&#1057;&#1084;&#1077;&#1090;&#1072;_5_2005_&#1050;&#1072;&#1088;&#1100;&#1077;&#1088;&#1099;-&#1041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Temp/Rar$DI00.781/&#1048;&#1079;&#1099;&#1089;&#1082;&#1072;&#1085;&#1080;&#1103;/&#1075;&#1077;&#1086;&#1083;-&#1048;&#1082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Temp\Rar$DI00.781\&#1048;&#1079;&#1099;&#1089;&#1082;&#1072;&#1085;&#1080;&#1103;\&#1075;&#1077;&#1086;&#1083;-&#1048;&#1082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Temp\Rar$DI00.781\&#1048;&#1079;&#1099;&#1089;&#1082;&#1072;&#1085;&#1080;&#1103;\&#1075;&#1077;&#1086;&#1083;-&#1048;&#1082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&#1043;&#1045;&#1054;&#1057;&#1052;&#1045;&#1058;&#1040;/&#1056;&#1040;&#1057;&#1063;&#1045;&#1058;%20&#1057;&#1052;&#1045;&#1058;&#1067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&#1043;&#1045;&#1054;&#1057;&#1052;&#1045;&#1058;&#1040;\&#1056;&#1040;&#1057;&#1063;&#1045;&#1058;%20&#1057;&#1052;&#1045;&#1058;&#1067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&#1043;&#1045;&#1054;&#1057;&#1052;&#1045;&#1058;&#1040;\&#1056;&#1040;&#1057;&#1063;&#1045;&#1058;%20&#1057;&#1052;&#1045;&#1058;&#1067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55;&#1086;&#1103;&#1089;&#1085;&#1080;&#1090;&#1077;&#1083;&#1100;&#1085;&#1099;&#1077;%20&#1079;&#1072;&#1087;&#1080;&#1089;&#1082;&#1080;\4%20&#1072;&#1074;&#1075;&#1091;&#1089;&#1090;&#1072;%202006\Documents%20and%20Settings\Ustinov\Local%20Settings\Temporary%20Internet%20Files\OLK2B0\&#1054;&#1090;&#1087;&#1088;&#1072;&#1074;&#1083;&#1077;&#1085;&#1086;\brp\&#1043;&#1059;&#1060;&#1050;\GUFK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4\tmpfolder\!exchange\23%20&#1086;&#1090;&#1076;&#1077;&#1083;\&#1045;&#1088;&#1105;&#1084;&#1080;&#1085;\&#1089;&#1084;&#1047;&#1045;&#1052;&#1086;&#1076;&#1085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89;&#1084;&#1077;&#1090;&#1085;&#1099;&#1081;\&#1040;&#1083;&#1077;&#1082;&#1089;&#1072;&#1085;&#1076;&#1088;%20&#1040;&#1083;&#1077;&#1082;&#1089;&#1077;&#1077;&#1074;&#1080;&#1095;\&#1057;&#1057;&#1056;%20&#1089;&#1085;&#1077;&#1075;&#1086;&#1074;&#1072;&#1103;%20&#1087;&#1072;&#1076;&#1100;\&#1059;&#1050;&#1057;&#1048;%20&#1057;&#1090;&#1088;&#1102;&#1082;&#1086;&#1074;\&#1056;&#1072;&#1079;&#1085;&#1086;&#1077;%20Excel\&#1057;&#1057;&#1056;\&#1059;&#1050;&#1057;&#1048;\&#1056;&#1045;&#1057;&#1058;&#1056;&#1059;&#1050;&#1058;&#1059;&#1056;&#1048;&#1047;&#1040;&#1062;&#1048;&#1071;\&#1057;&#1086;&#1089;&#1085;&#1086;&#1074;&#1086;&#1077;\&#1052;&#1086;&#1080;%20&#1076;&#1086;&#1082;&#1091;&#1084;&#1077;&#1085;&#1090;&#1099;\&#1041;&#1102;&#1076;&#1078;&#1077;&#1090;\&#1060;&#1062;&#1055;\&#1056;&#1077;&#1089;&#1090;&#1088;&#1091;&#1082;&#1090;&#1091;&#1088;&#1080;&#1079;&#1072;&#1094;&#1080;&#1103;\&#1057;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vo-d\d\&#1042;&#1080;&#1083;&#1099;\GEODESIA\Natasha\&#1042;&#1053;&#1048;&#1048;&#1056;\&#1057;&#1084;&#1077;&#1090;&#1072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rozhnyj/Downloads/&#1042;&#1040;&#1057;&#1048;&#1051;&#1048;&#1049;/&#1055;&#1048;&#1056;%20&#1057;&#1090;&#1072;&#1076;&#1080;&#1086;&#1085;/DOCUME~1/TEMP/LOCALS~1/Temp/Xl000026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enko\&#1084;&#1086;&#1080;%20&#1076;&#1086;&#1082;&#1091;&#1084;&#1077;&#1085;&#1090;\TEMP\ps198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6;&#1072;&#1079;&#1074;&#1103;&#1079;&#1082;&#1072;%20&#1085;&#1072;%20&#1046;&#1091;&#1082;&#1086;&#1074;&#1072;\&#1055;&#1088;&#1086;&#1077;&#1082;&#1090;\1%20&#1086;&#1095;&#1077;&#1088;&#1077;&#1076;&#1100;%20-%20&#1091;&#1083;.&#1052;&#1086;&#1088;.%20&#1087;&#1077;&#1093;&#1086;&#1090;&#1099;%20&#1089;%20&#1084;&#1086;&#1089;&#1090;&#1086;&#1084;\&#1057;&#1084;&#1077;&#1090;&#1099;%20&#1052;&#1046;%201-&#1103;%20&#1086;&#1095;&#1077;&#1088;&#1077;&#1076;&#1100;%2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CommonData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3;&#1044;&#1057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COPU\&#1052;&#1086;&#1080;%20&#1076;&#1086;&#1082;&#1091;&#1084;&#1077;&#1085;&#1090;&#1099;%20898\&#1051;&#1086;&#1087;&#1072;&#1090;&#1082;&#1080;&#1085;\&#1057;&#1077;&#1088;&#1074;&#1077;&#1088;\&#1053;&#1072;&#1083;&#1080;&#1095;&#1080;&#1077;%20&#1072;&#1074;&#1090;&#1086;&#1090;&#1088;&#1072;&#1085;&#1089;&#1087;&#1086;&#1088;&#1090;&#1072;%20&#1087;&#1086;%20&#1060;&#1062;&#1055;\&#1057;&#1074;&#1086;&#1076;&#1085;&#1072;&#1103;%20&#1086;&#1090;&#1095;&#1077;&#1090;&#1099;%20200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8;&#1088;&#1091;&#1076;&#1086;&#1079;&#1072;&#1090;&#1088;&#1072;&#1090;&#1099;%20&#1054;&#1054;&#1054;%20&#1043;&#1072;&#1079;&#1087;&#1088;&#1086;&#1084;%20&#1090;&#1088;&#1072;&#1085;&#1089;&#1075;&#1072;&#1079;%20&#1057;&#1072;&#1085;&#1082;&#1090;-&#1055;&#1077;&#1090;&#1077;&#1088;&#1073;&#1091;&#1088;&#1075;.%20&#1042;&#1085;&#1077;&#1076;&#1088;&#1077;&#1085;&#1080;&#1077;\&#1057;&#1080;&#1089;&#1090;&#1077;&#1084;&#1072;%20&#1076;&#1080;&#1089;&#1087;&#1077;&#1090;&#1095;&#1077;&#1088;&#1089;&#1082;&#1086;&#1075;&#1086;%20&#1091;&#1087;&#1088;&#1072;&#1074;&#1083;&#1077;&#1085;&#1080;&#1103;%20&#1074;%20&#1088;&#1072;&#1084;&#1082;&#1072;&#1093;%20&#1089;&#1090;&#1088;&#1086;&#1081;&#1082;&#1080;%20&#1059;&#1093;&#1090;&#1072;-&#1058;&#1086;&#1088;&#1078;&#1086;&#1082;.%20II%20&#1085;&#1080;&#1090;&#1082;&#1072;%20(&#1071;&#1084;&#1072;&#1083;)\&#1056;&#1044;%20-%20&#1057;&#1044;&#1059;%20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-348\Smety\&#1057;&#1077;&#1089;&#1090;&#1088;&#1086;&#1088;&#1077;&#1094;&#1082;\Smeta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-tonnel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&#1057;&#1084;&#1077;&#1090;&#1099;%20&#1048;&#1048;\Docs\Zarplata_1\&#1044;&#1077;&#1085;&#1080;&#1089;\&#1089;&#1086;&#1093;&#1088;&#1072;&#1085;&#1080;&#1090;&#110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&#1050;&#1086;&#1085;&#1102;&#1096;&#1077;&#1085;&#1085;&#1072;&#1103;%20&#1091;&#1083;&#1080;&#1094;&#1072;\Smeta-tonne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0;&#1086;&#1085;&#1102;&#1096;&#1077;&#1085;&#1085;&#1072;&#1103;%20&#1091;&#1083;&#1080;&#1094;&#1072;\Smeta-tonn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1\Netwrkng\WORK\Project_Price_1-99.2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CommonData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dzhanumova/Downloads/NUM2TEXT.xl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&#1086;&#1073;&#1097;&#1072;&#1103;%20&#1087;&#1072;&#1087;&#1082;&#1072;\&#1070;&#1089;&#1091;&#1087;&#1086;&#1074;\&#1057;&#1052;&#1045;&#1058;&#104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&#1057;&#1084;&#1077;&#1090;&#1099;%20&#1048;&#1048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olikw2k\BLANK\&#1054;&#1073;&#1097;&#1080;&#1077;%20&#1076;&#1072;&#1085;&#1085;&#1099;&#1077;%20_format%20(electr)_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\CurProjects\Working_objects\BalticZavod\&#1048;&#1042;&#1062;%20(62-01-001)\62-01-&#1057;&#1057;.001\Spec%20&#1048;&#1042;&#1062;(16.0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Vendors!"/>
      <sheetName val="Услуги"/>
      <sheetName val="Microsoft"/>
      <sheetName val="Veritas"/>
      <sheetName val="Citrix"/>
      <sheetName val="eSafeLine"/>
      <sheetName val="Kaspersky"/>
      <sheetName val="Symantec"/>
      <sheetName val="McAfee"/>
      <sheetName val="Trend Micro"/>
      <sheetName val="Panda"/>
      <sheetName val="ABBYY"/>
      <sheetName val="Promt"/>
      <sheetName val="Corel"/>
      <sheetName val="Adobe"/>
      <sheetName val="Macromedia"/>
      <sheetName val="Borland"/>
      <sheetName val="Serena-Merant"/>
      <sheetName val="Venta"/>
      <sheetName val="SmartPhone"/>
      <sheetName val="TopPlan"/>
      <sheetName val="Прочее"/>
      <sheetName val="О компании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П"/>
      <sheetName val="КСТ"/>
      <sheetName val="ВЭРС"/>
      <sheetName val="Оборуд в шкафах"/>
      <sheetName val="UTP_и_каналы"/>
      <sheetName val="УКП (2)"/>
      <sheetName val="ВЭРС (2)"/>
    </sheetNames>
    <sheetDataSet>
      <sheetData sheetId="0" refreshError="1">
        <row r="3">
          <cell r="H3">
            <v>1.1499999999999999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К было-стало"/>
      <sheetName val="сравнение инвестпланов компаний"/>
    </sheetNames>
    <definedNames>
      <definedName name="short" refersTo="#ССЫЛКА!"/>
      <definedName name="суда" refersTo="#ССЫЛКА!"/>
      <definedName name="ыяпр" refersTo="#ССЫЛКА!"/>
    </defined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  <sheetName val="Упр"/>
      <sheetName val="РП"/>
      <sheetName val="См 1 наруж.водопровод"/>
      <sheetName val="Обновление"/>
      <sheetName val="Цена"/>
      <sheetName val="Product"/>
      <sheetName val="Лист1"/>
      <sheetName val="Данные для расчёта сметы"/>
      <sheetName val="График"/>
      <sheetName val="Коэф"/>
      <sheetName val="OCK1"/>
      <sheetName val="КП (2)"/>
      <sheetName val="в работу"/>
      <sheetName val="Сводная"/>
      <sheetName val="Параметры"/>
      <sheetName val="Геология"/>
      <sheetName val="Геофизика"/>
      <sheetName val="ЭХЗ"/>
      <sheetName val="Табл38-7"/>
      <sheetName val="Journals"/>
      <sheetName val="СтрЗапасов (2)"/>
      <sheetName val="З_П"/>
      <sheetName val="СМЕТА_проект"/>
      <sheetName val="СВОД_ПИР"/>
      <sheetName val="13_1"/>
      <sheetName val="Пример_расчета"/>
      <sheetName val="Коэфф1_"/>
      <sheetName val="Прайс_лист"/>
      <sheetName val="Сводная_смета"/>
      <sheetName val="Сводная_газопровод"/>
      <sheetName val="к_84-к_83"/>
      <sheetName val="Прибыль опл"/>
      <sheetName val="все"/>
      <sheetName val="8"/>
      <sheetName val="Хар_"/>
      <sheetName val="С1_"/>
      <sheetName val="Восстановл_Лист7"/>
      <sheetName val="Восстановл_Лист13"/>
      <sheetName val="Восстановл_Лист15"/>
      <sheetName val="Восстановл_Лист19"/>
      <sheetName val="УКП"/>
      <sheetName val="Lim"/>
      <sheetName val="ИД СМР"/>
      <sheetName val="ИД ПНР"/>
      <sheetName val="СПЕЦИФИКАЦИЯ"/>
      <sheetName val="Norm"/>
      <sheetName val=""/>
      <sheetName val="ПД"/>
      <sheetName val="№5 СУБ Инж защ"/>
      <sheetName val="data"/>
      <sheetName val="Panduit"/>
      <sheetName val="БД"/>
      <sheetName val="Проект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ие цены"/>
      <sheetName val="рабочий"/>
      <sheetName val="окраска"/>
      <sheetName val="Огл. Графиков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  <sheetName val="топография"/>
    </sheetNames>
    <sheetDataSet>
      <sheetData sheetId="0" refreshError="1"/>
      <sheetData sheetId="1" refreshError="1"/>
      <sheetData sheetId="2">
        <row r="6">
          <cell r="B6">
            <v>19.2</v>
          </cell>
        </row>
        <row r="10">
          <cell r="B10">
            <v>97</v>
          </cell>
        </row>
        <row r="11">
          <cell r="B11">
            <v>45</v>
          </cell>
        </row>
        <row r="12">
          <cell r="B12">
            <v>52</v>
          </cell>
        </row>
        <row r="17">
          <cell r="B17">
            <v>1.3</v>
          </cell>
        </row>
        <row r="19">
          <cell r="B19">
            <v>1.1000000000000001</v>
          </cell>
        </row>
        <row r="20">
          <cell r="B20">
            <v>1.08</v>
          </cell>
        </row>
        <row r="22">
          <cell r="B22">
            <v>35</v>
          </cell>
        </row>
        <row r="23">
          <cell r="B23">
            <v>3</v>
          </cell>
        </row>
        <row r="24">
          <cell r="B24">
            <v>81</v>
          </cell>
        </row>
        <row r="32">
          <cell r="B32">
            <v>0</v>
          </cell>
        </row>
        <row r="34">
          <cell r="B34">
            <v>0</v>
          </cell>
        </row>
        <row r="41">
          <cell r="B4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1"/>
      <sheetName val="Выполнение"/>
      <sheetName val="Расчет"/>
      <sheetName val="Сводная смета"/>
      <sheetName val="Смета 1"/>
      <sheetName val="Смета 2"/>
      <sheetName val="Смета 3"/>
      <sheetName val="Вспомогательный"/>
      <sheetName val="Выполнение1"/>
      <sheetName val="лист1"/>
      <sheetName val="обновле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6">
          <cell r="D36">
            <v>1.1000000000000001</v>
          </cell>
        </row>
        <row r="38">
          <cell r="D38">
            <v>1.1000000000000001</v>
          </cell>
        </row>
        <row r="77">
          <cell r="D77">
            <v>0.02</v>
          </cell>
        </row>
        <row r="78">
          <cell r="D78">
            <v>0.01</v>
          </cell>
        </row>
        <row r="80">
          <cell r="D80">
            <v>0.05</v>
          </cell>
        </row>
      </sheetData>
      <sheetData sheetId="9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 (доп)"/>
      <sheetName val="ПС 110 кВ (доп)"/>
      <sheetName val=" КИП и А(доп)"/>
      <sheetName val="содержание том 8"/>
      <sheetName val="ПС 110 кВ _доп_"/>
      <sheetName val="W28"/>
    </sheetNames>
    <sheetDataSet>
      <sheetData sheetId="0"/>
      <sheetData sheetId="1" refreshError="1">
        <row r="8">
          <cell r="D8" t="str">
            <v>Сметная стоимость</v>
          </cell>
        </row>
        <row r="9">
          <cell r="D9" t="str">
            <v>Нормативная трудоемкость</v>
          </cell>
        </row>
        <row r="12">
          <cell r="B12" t="str">
            <v>Номер или шифр</v>
          </cell>
          <cell r="C12" t="str">
            <v>Наименование и техническая характеристика</v>
          </cell>
          <cell r="F12" t="str">
            <v>Затраты труда</v>
          </cell>
        </row>
        <row r="13">
          <cell r="B13" t="str">
            <v xml:space="preserve">норматива, </v>
          </cell>
          <cell r="C13" t="str">
            <v xml:space="preserve">оборудования или видов работ,ресурсов </v>
          </cell>
          <cell r="D13" t="str">
            <v>Единица</v>
          </cell>
          <cell r="E13" t="str">
            <v>Кол-во</v>
          </cell>
          <cell r="F13" t="str">
            <v>на един.</v>
          </cell>
        </row>
        <row r="14">
          <cell r="B14" t="str">
            <v>ценника</v>
          </cell>
          <cell r="C14" t="str">
            <v>и затрат</v>
          </cell>
          <cell r="D14" t="str">
            <v>измер.</v>
          </cell>
          <cell r="F14" t="str">
            <v>измерения</v>
          </cell>
        </row>
        <row r="15">
          <cell r="B15" t="str">
            <v>2</v>
          </cell>
          <cell r="C15" t="str">
            <v>3</v>
          </cell>
          <cell r="D15" t="str">
            <v>4</v>
          </cell>
          <cell r="E15" t="str">
            <v>5</v>
          </cell>
          <cell r="F15" t="str">
            <v>6</v>
          </cell>
        </row>
        <row r="16">
          <cell r="B16" t="str">
            <v>МДС 81-27.2001</v>
          </cell>
          <cell r="C16" t="str">
            <v>К стеснен.=1,2 (85% работ См.№10и)</v>
          </cell>
        </row>
        <row r="17">
          <cell r="B17" t="str">
            <v>табл.1.п.1</v>
          </cell>
          <cell r="C17" t="str">
            <v>27112,8*0,85*0,2=4609</v>
          </cell>
        </row>
        <row r="18">
          <cell r="B18" t="str">
            <v>ГЭСНп -2001</v>
          </cell>
        </row>
      </sheetData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ЛЧ Р"/>
      <sheetName val="План Газпрома"/>
      <sheetName val="Лист5"/>
      <sheetName val="ПЛАН 07-10"/>
      <sheetName val="Акт-Смета_30"/>
      <sheetName val="Смета 1 инж_изыск"/>
      <sheetName val="свод 2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ГлавнСмГАП"/>
      <sheetName val="КалендПлан"/>
      <sheetName val="СводнСм"/>
      <sheetName val="СмШурф"/>
      <sheetName val="СмРучБур"/>
      <sheetName val="СмМашБур"/>
    </sheetNames>
    <sheetDataSet>
      <sheetData sheetId="0"/>
      <sheetData sheetId="1"/>
      <sheetData sheetId="2"/>
      <sheetData sheetId="3"/>
      <sheetData sheetId="4"/>
      <sheetData sheetId="5" refreshError="1">
        <row r="40">
          <cell r="J40">
            <v>67798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  <sheetName val="Таблица 5"/>
      <sheetName val="Таблица 3"/>
      <sheetName val="93-110"/>
      <sheetName val="ПДР"/>
      <sheetName val="Зап-3- СЦБ"/>
      <sheetName val="Destination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1"/>
      <sheetName val="эл_химз_"/>
      <sheetName val="геология_"/>
      <sheetName val="к_84-к_83"/>
      <sheetName val="HP_и_оргтехника"/>
      <sheetName val="Коэфф1_"/>
      <sheetName val="Прайс_лист"/>
      <sheetName val="СМЕТА_проект"/>
      <sheetName val="Лист_опроса"/>
      <sheetName val="13_1"/>
      <sheetName val="свод_2"/>
      <sheetName val="выборка на22 июня"/>
      <sheetName val="см8"/>
      <sheetName val="Calc"/>
      <sheetName val="свод"/>
      <sheetName val="СметаСводная снег"/>
      <sheetName val="Смета 1свод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DATA"/>
      <sheetName val="вариант"/>
      <sheetName val="Обновление"/>
      <sheetName val="Цена"/>
      <sheetName val="Product"/>
      <sheetName val="Пример расчета"/>
      <sheetName val="Табл38-7"/>
      <sheetName val="все"/>
      <sheetName val="информация"/>
      <sheetName val="Кредиты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Данные_для_расчёта_сметы"/>
      <sheetName val="Смета_1"/>
      <sheetName val="свод 3"/>
      <sheetName val="шаблон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3.1"/>
      <sheetName val="Коммерческие расходы"/>
      <sheetName val="исходные данные"/>
      <sheetName val="расчетные таблицы"/>
      <sheetName val="СметаСводная Колпино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breakdown"/>
      <sheetName val="EKDEB90"/>
      <sheetName val="Калплан Кра"/>
      <sheetName val="Коэф КВ"/>
      <sheetName val="кп (3)"/>
      <sheetName val=""/>
      <sheetName val="Подрядчики"/>
      <sheetName val="ма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8"/>
      <sheetName val="исх-данные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/>
      <sheetData sheetId="44" refreshError="1"/>
      <sheetData sheetId="45" refreshError="1"/>
      <sheetData sheetId="46"/>
      <sheetData sheetId="47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/>
      <sheetData sheetId="372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геолог"/>
      <sheetName val="Лист2"/>
      <sheetName val="Лист3"/>
      <sheetName val="геолог м"/>
      <sheetName val="спецификация"/>
      <sheetName val="Panduit"/>
      <sheetName val="свод 3"/>
      <sheetName val="топография"/>
      <sheetName val="№1"/>
      <sheetName val="Коэфф"/>
      <sheetName val="Смета_5_2005_Карьеры-Б"/>
      <sheetName val="геодез"/>
      <sheetName val="геоф"/>
      <sheetName val="свод 2"/>
      <sheetName val="Справочные данные"/>
      <sheetName val="3.1.6"/>
      <sheetName val="09-10-02"/>
      <sheetName val="ОПС"/>
      <sheetName val="база"/>
      <sheetName val="коэффициенты"/>
      <sheetName val="data"/>
      <sheetName val="Труд"/>
      <sheetName val="геод"/>
      <sheetName val="Смета 7"/>
      <sheetName val="Смета"/>
      <sheetName val="ид смр"/>
      <sheetName val="ид пнр"/>
      <sheetName val="исх_данные"/>
      <sheetName val="Данные для расчёта сметы"/>
      <sheetName val="шаблон"/>
      <sheetName val="БД"/>
      <sheetName val="график"/>
    </sheetNames>
    <sheetDataSet>
      <sheetData sheetId="0" refreshError="1"/>
      <sheetData sheetId="1">
        <row r="81">
          <cell r="L81">
            <v>11150.96551828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"/>
    </sheetNames>
    <sheetDataSet>
      <sheetData sheetId="0" refreshError="1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топография"/>
      <sheetName val="топо"/>
      <sheetName val="Обновление"/>
      <sheetName val="Цена"/>
      <sheetName val="Product"/>
      <sheetName val="Шкаф"/>
      <sheetName val="Коэфф1."/>
      <sheetName val="Прайс лист"/>
      <sheetName val="Упр"/>
      <sheetName val="ц_1991"/>
      <sheetName val="информация"/>
      <sheetName val="РС"/>
      <sheetName val="Данные для расчёта сметы"/>
      <sheetName val="СметаСводная"/>
      <sheetName val="свод 2"/>
      <sheetName val="ИГ1"/>
      <sheetName val="См 1 наруж.водопровод"/>
      <sheetName val="свод1"/>
      <sheetName val="СметаСводная Рыб"/>
      <sheetName val="#ССЫЛКА"/>
      <sheetName val="СметаСводная Колпино"/>
      <sheetName val="Материалы"/>
      <sheetName val="шаблон"/>
      <sheetName val="Journals"/>
      <sheetName val="свод 3"/>
      <sheetName val="Восстановл_Лист13"/>
      <sheetName val="Восстановл_Лист15"/>
      <sheetName val="Восстановл_Лист19"/>
      <sheetName val="Восстановл_Лист7"/>
      <sheetName val="Восстановл_Лист5"/>
      <sheetName val="Восстановл_Лист44"/>
      <sheetName val="Восстановл_Лист29"/>
      <sheetName val="Восстановл_Лист6"/>
      <sheetName val="Восстановл_Лист2"/>
      <sheetName val="Восстановл_Лист4"/>
      <sheetName val="Восстановл_Лист8"/>
      <sheetName val="Восстановл_Лист45"/>
      <sheetName val="Восстановл_Лист27"/>
      <sheetName val="Восстановл_Лист9"/>
      <sheetName val="Восстановл_Лист10"/>
      <sheetName val="Восстановл_Лист46"/>
      <sheetName val="Восстановл_Лист28"/>
      <sheetName val="Восстановл_Лист11"/>
      <sheetName val="Восстановл_Лист12"/>
      <sheetName val="Восстановл_Лист47"/>
      <sheetName val="Восстановл_Лист14"/>
      <sheetName val="Восстановл_Лист1"/>
      <sheetName val="Восстановл_Лист18"/>
      <sheetName val="Восстановл_Лист21"/>
      <sheetName val="Восстановл_Лист20"/>
      <sheetName val="Восстановл_Лист49"/>
      <sheetName val="Восстановл_Лист25"/>
      <sheetName val="ПДР"/>
      <sheetName val="Norm"/>
      <sheetName val="все"/>
      <sheetName val="ГПК"/>
      <sheetName val="ДКС"/>
      <sheetName val="Етыпур"/>
      <sheetName val="Западн"/>
      <sheetName val="НГКХ"/>
      <sheetName val="ПСП "/>
      <sheetName val="Тобольск"/>
      <sheetName val="УПН"/>
      <sheetName val="Спр_общий"/>
      <sheetName val="Пример расчета"/>
      <sheetName val="Курсы"/>
      <sheetName val="ВКЕ"/>
      <sheetName val="СМЕТА проект"/>
      <sheetName val="РП"/>
      <sheetName val="Сводная смета"/>
      <sheetName val="list"/>
      <sheetName val="Разработка проекта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Данные_для_расчёта_сметы"/>
      <sheetName val="свод_3"/>
      <sheetName val="ПСП_"/>
      <sheetName val="Пример_расчета"/>
      <sheetName val="свод_2"/>
      <sheetName val="СМЕТА_проект"/>
      <sheetName val="Сводная_смета"/>
      <sheetName val="Разработка_проекта"/>
      <sheetName val="Main"/>
      <sheetName val="Кл-р SysTel"/>
      <sheetName val="СПРПФ"/>
      <sheetName val="sapactivexlhiddensheet"/>
      <sheetName val="КП Прим (3)"/>
      <sheetName val="1.3"/>
      <sheetName val="Калькуляция_2012"/>
      <sheetName val="1.2.1-Проект"/>
      <sheetName val="Итог"/>
      <sheetName val="см8"/>
      <sheetName val="свод"/>
      <sheetName val="4"/>
      <sheetName val="Землеотвод"/>
      <sheetName val="КП к снег Рыбинская"/>
      <sheetName val="Лист опроса"/>
      <sheetName val="к.84-к.83"/>
      <sheetName val="Summary"/>
      <sheetName val="HP и оргтехника"/>
      <sheetName val="5ОборРабМест(HP)"/>
      <sheetName val="Зап-3- СЦБ"/>
      <sheetName val="СметаСводная павильон"/>
      <sheetName val="сводная"/>
      <sheetName val="OCK1"/>
      <sheetName val="СМ"/>
      <sheetName val="Раб"/>
      <sheetName val="Ap"/>
      <sheetName val="Раб1"/>
      <sheetName val="Штамп"/>
      <sheetName val="Ан"/>
      <sheetName val="Титул"/>
      <sheetName val="СмДок"/>
      <sheetName val="СостРабПр"/>
      <sheetName val="Огл"/>
      <sheetName val="ПЗ"/>
      <sheetName val="ИсхДан"/>
      <sheetName val="С0"/>
      <sheetName val="Л09-02"/>
      <sheetName val="Л09-03"/>
      <sheetName val="16"/>
      <sheetName val="17"/>
      <sheetName val="18"/>
      <sheetName val="SS(4)"/>
      <sheetName val="SS(5)"/>
      <sheetName val="SS(6)"/>
      <sheetName val="SSS"/>
      <sheetName val="SS(7)"/>
      <sheetName val="SS(8)"/>
      <sheetName val="SS(9)"/>
      <sheetName val="SS(10)"/>
      <sheetName val="SS(11)"/>
      <sheetName val="SS(12)"/>
      <sheetName val="SS(13)"/>
      <sheetName val="SS(14)"/>
      <sheetName val="SS(15)"/>
      <sheetName val="SS(16)"/>
      <sheetName val="SS(17)"/>
      <sheetName val="SS(18)"/>
      <sheetName val="SS(19)"/>
      <sheetName val="SS(20)"/>
      <sheetName val="SS(21)"/>
      <sheetName val="SS(22)"/>
      <sheetName val="SS(23)"/>
      <sheetName val="SS(24)"/>
      <sheetName val="SS(25)"/>
      <sheetName val="SS(26)"/>
      <sheetName val="SS(27)"/>
      <sheetName val="SS(28)"/>
      <sheetName val="SS(29)"/>
      <sheetName val="SS(30)"/>
      <sheetName val="SS(31)"/>
      <sheetName val="SS(32)"/>
      <sheetName val="SS(33)"/>
      <sheetName val="SS(34)"/>
      <sheetName val="SS(35)"/>
      <sheetName val="SS(36)"/>
      <sheetName val="SS(37)"/>
      <sheetName val="SS(38)"/>
      <sheetName val="SS(39)"/>
      <sheetName val="SS(40)"/>
      <sheetName val="SS(41)"/>
      <sheetName val="SS(42)"/>
      <sheetName val="SS(43)"/>
      <sheetName val="SS(44)"/>
      <sheetName val="SS(45)"/>
      <sheetName val="SS(46)"/>
      <sheetName val="SS(47)"/>
      <sheetName val="SS(48)"/>
      <sheetName val="SS(49)"/>
      <sheetName val="SS(50)"/>
      <sheetName val="SS(51)"/>
      <sheetName val="SS(52)"/>
      <sheetName val="SS(53)"/>
      <sheetName val="SS(54)"/>
      <sheetName val="SS(55)"/>
      <sheetName val="SS(56)"/>
      <sheetName val="SS(57)"/>
      <sheetName val="SS(58)"/>
      <sheetName val="SS(59)"/>
      <sheetName val="SS(60)"/>
      <sheetName val="SS(61)"/>
      <sheetName val="SS(62)"/>
      <sheetName val="SS(63)"/>
      <sheetName val="SS(64)"/>
      <sheetName val="SS(65)"/>
      <sheetName val="SS(66)"/>
      <sheetName val="SS(67)"/>
      <sheetName val="SS(68)"/>
      <sheetName val="SS(69)"/>
      <sheetName val="SS(70)"/>
      <sheetName val="SS(71)"/>
      <sheetName val="SS(72)"/>
      <sheetName val="SS(73)"/>
      <sheetName val="SS(74)"/>
      <sheetName val="SS(75)"/>
      <sheetName val="SS(76)"/>
      <sheetName val="SS(77)"/>
      <sheetName val="SS(78)"/>
      <sheetName val="SS(79)"/>
      <sheetName val="SS(80)"/>
      <sheetName val="SS(81)"/>
      <sheetName val="SS(82)"/>
      <sheetName val="SS(83)"/>
      <sheetName val="SS(84)"/>
      <sheetName val="SS(85)"/>
      <sheetName val="SS(86)"/>
      <sheetName val="SS(87)"/>
      <sheetName val="SS(88)"/>
      <sheetName val="SS(89)"/>
      <sheetName val="SS(90)"/>
      <sheetName val="SS(91)"/>
      <sheetName val="SS(92)"/>
      <sheetName val="SS(93)"/>
      <sheetName val="SS(94)"/>
      <sheetName val="SS(95)"/>
      <sheetName val="SS(96)"/>
      <sheetName val="SS(97)"/>
      <sheetName val="SS(98)"/>
      <sheetName val="SS(99)"/>
      <sheetName val="SS(100)"/>
      <sheetName val="SS(101)"/>
      <sheetName val="SS(102)"/>
      <sheetName val="SS(103)"/>
      <sheetName val="SS(104)"/>
      <sheetName val="SS(105)"/>
      <sheetName val="SS(106)"/>
      <sheetName val="SS(107)"/>
      <sheetName val="SS(108)"/>
      <sheetName val="SS(109)"/>
      <sheetName val="SS(110)"/>
      <sheetName val="SS(111)"/>
      <sheetName val="SS(112)"/>
      <sheetName val="SS(113)"/>
      <sheetName val="SS(114)"/>
      <sheetName val="SS(115)"/>
      <sheetName val="SS(116)"/>
      <sheetName val="SS(117)"/>
      <sheetName val="SS(118)"/>
      <sheetName val="SS(119)"/>
      <sheetName val="SS(120)"/>
      <sheetName val="SS(121)"/>
      <sheetName val="SS(122)"/>
      <sheetName val="SS(123)"/>
      <sheetName val="SS(124)"/>
      <sheetName val="SS(125)"/>
      <sheetName val="SS(126)"/>
      <sheetName val="SS(127)"/>
      <sheetName val="SS(128)"/>
      <sheetName val="SS(129)"/>
      <sheetName val="SS(130)"/>
      <sheetName val="SS(131)"/>
      <sheetName val="SS(132)"/>
      <sheetName val="SS(133)"/>
      <sheetName val="SS(134)"/>
      <sheetName val="SS(135)"/>
      <sheetName val="SS(136)"/>
      <sheetName val="SS(137)"/>
      <sheetName val="SS(138)"/>
      <sheetName val="SS(139)"/>
      <sheetName val="SS(140)"/>
      <sheetName val="SS(141)"/>
      <sheetName val="SS(142)"/>
      <sheetName val="SS(143)"/>
      <sheetName val="SS(144)"/>
      <sheetName val="SS(145)"/>
      <sheetName val="SS(146)"/>
      <sheetName val="SS(147)"/>
      <sheetName val="SS(148)"/>
      <sheetName val="SS(149)"/>
      <sheetName val="SS(150)"/>
      <sheetName val="SS(151)"/>
      <sheetName val="SS(152)"/>
      <sheetName val="SS(153)"/>
      <sheetName val="SS(154)"/>
      <sheetName val="SS(155)"/>
      <sheetName val="SS(156)"/>
      <sheetName val="SS(157)"/>
      <sheetName val="SS(158)"/>
      <sheetName val="SS(159)"/>
      <sheetName val="SS(160)"/>
      <sheetName val="SS(161)"/>
      <sheetName val="SS(162)"/>
      <sheetName val="SS(163)"/>
      <sheetName val="SS(164)"/>
      <sheetName val="SS(166)"/>
      <sheetName val="Титул1"/>
      <sheetName val="Титул2"/>
      <sheetName val="Титул3"/>
      <sheetName val="НЕДЕЛИ"/>
      <sheetName val="х"/>
      <sheetName val="влад-таблица"/>
      <sheetName val="Стр1По"/>
      <sheetName val="Подрядчики"/>
      <sheetName val="См_1_наруж_водопровод"/>
      <sheetName val="Кл-р_SysTel"/>
      <sheetName val="КП_Прим_(3)"/>
      <sheetName val="1_3"/>
      <sheetName val="СметаСводная_Рыб"/>
      <sheetName val="Таас-Юрях"/>
      <sheetName val="Етыпур-"/>
      <sheetName val="ЗапТарк"/>
      <sheetName val="Приобка"/>
      <sheetName val="ВЖК"/>
      <sheetName val="КП Мак"/>
      <sheetName val="Бюджет"/>
      <sheetName val="гидрология"/>
      <sheetName val="пр_5_1"/>
      <sheetName val="Стр5"/>
      <sheetName val="Стр6"/>
      <sheetName val="Стр7"/>
      <sheetName val="Стр8а"/>
      <sheetName val="Стр9а"/>
      <sheetName val="Стр8б"/>
      <sheetName val="Стр9б"/>
      <sheetName val="Стр8г"/>
      <sheetName val="Стр9г"/>
      <sheetName val="Стр8и"/>
      <sheetName val="Стр9и"/>
      <sheetName val="Стр14"/>
      <sheetName val="Список"/>
      <sheetName val="Иммакр"/>
      <sheetName val="Данные1кв."/>
      <sheetName val="Данные"/>
      <sheetName val="Стр2По"/>
      <sheetName val="Стр3По"/>
      <sheetName val="Стр4По"/>
      <sheetName val="Стр5По"/>
      <sheetName val="Стр6По(а)"/>
      <sheetName val="Стр6По(б)"/>
      <sheetName val="Стр6По(г)"/>
      <sheetName val="Стр6По(и)"/>
      <sheetName val="Стр7По"/>
      <sheetName val="НДС"/>
      <sheetName val="Коэф КВ"/>
      <sheetName val="EKDEB90"/>
      <sheetName val="Стр1"/>
      <sheetName val="ИД"/>
      <sheetName val="январь"/>
      <sheetName val="Лист1"/>
      <sheetName val="База"/>
      <sheetName val="6.52-свод"/>
      <sheetName val="ОБЩЕСТВА"/>
      <sheetName val="План"/>
      <sheetName val="Лист2"/>
      <sheetName val="Гр5(о)"/>
      <sheetName val="Справочник"/>
      <sheetName val="Данные1кв_"/>
      <sheetName val="Коэф_КВ"/>
      <sheetName val="6_52-свод"/>
      <sheetName val="КП НовоКов"/>
      <sheetName val="Калплан Кра"/>
      <sheetName val="изыскания 2"/>
      <sheetName val="КП к ГК"/>
      <sheetName val="Об-15"/>
      <sheetName val="Прибыль опл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К.рын"/>
      <sheetName val="Вспомогательный"/>
      <sheetName val="Смета 1свод"/>
      <sheetName val="СметаСводная снег"/>
      <sheetName val="13.1"/>
      <sheetName val="Амур ДОН"/>
      <sheetName val="Архив2"/>
      <sheetName val="Opex personnel (Term facs)"/>
      <sheetName val="КП (2)"/>
      <sheetName val="Calc"/>
      <sheetName val="Ачинский НПЗ"/>
      <sheetName val="пятилетка"/>
      <sheetName val="мониторинг"/>
      <sheetName val="Параметры"/>
      <sheetName val="кп"/>
      <sheetName val="Кал.план Жукова даты - не надо"/>
      <sheetName val="смета СИД"/>
      <sheetName val="ПДР ООО &quot;Юкос ФБЦ&quot;"/>
      <sheetName val="Объемы работ по ПВ"/>
      <sheetName val="мсн"/>
      <sheetName val="Lim"/>
      <sheetName val="Хар_"/>
      <sheetName val="С1_"/>
      <sheetName val="total"/>
      <sheetName val="исходные данные"/>
      <sheetName val="Комплектация"/>
      <sheetName val="трубы"/>
      <sheetName val="расчетные таблицы"/>
      <sheetName val="СМР"/>
      <sheetName val="дороги"/>
      <sheetName val="Дополнительные параметры"/>
      <sheetName val="ОПС"/>
      <sheetName val="BACT"/>
      <sheetName val="Дополнительные пара_x0000__x0000__x0005__x0000__xde00_"/>
      <sheetName val="ЛЧ"/>
      <sheetName val="Смета-Т"/>
      <sheetName val="Курс доллара"/>
      <sheetName val="Хаттон 90.90 Femco"/>
      <sheetName val="См3 СЦБ-зап"/>
      <sheetName val="ПД"/>
      <sheetName val="СметаСводная 1 оч"/>
      <sheetName val="Leistungsakt"/>
      <sheetName val="в работу"/>
      <sheetName val="трансформация1"/>
      <sheetName val="breakdown"/>
      <sheetName val="Destination"/>
      <sheetName val="СС"/>
      <sheetName val="Капитальные затраты"/>
      <sheetName val="ЭХЗ"/>
      <sheetName val="Свод объем"/>
      <sheetName val="1ПС"/>
      <sheetName val="ИД1"/>
      <sheetName val="Приложение 2"/>
      <sheetName val="Переменные и константы"/>
      <sheetName val="вариант"/>
      <sheetName val="ID"/>
      <sheetName val="СП"/>
      <sheetName val="A54НДС"/>
      <sheetName val="Должности"/>
      <sheetName val="Общая часть"/>
      <sheetName val="УП _2004"/>
      <sheetName val="АЧ"/>
      <sheetName val="Табл38-7"/>
      <sheetName val="БП НОВЫЙ"/>
      <sheetName val="База Геодезия"/>
      <sheetName val="База Геология"/>
      <sheetName val="6"/>
      <sheetName val="5.1"/>
      <sheetName val="3.1 ТХ"/>
      <sheetName val="геолог"/>
      <sheetName val="К"/>
      <sheetName val="база на 21-04-08"/>
      <sheetName val="СПЕЦИФИКА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Коэфф"/>
      <sheetName val="Дебет_Кредит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СметаСводная Рыб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Д"/>
      <sheetName val="ФедД"/>
      <sheetName val="РегД"/>
      <sheetName val="КонР"/>
      <sheetName val="ФедР"/>
      <sheetName val="РегР"/>
      <sheetName val="ФедИ"/>
      <sheetName val="РегИ"/>
      <sheetName val="Гр5(о)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топо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6.14_КР"/>
      <sheetName val="Данные для расчёта сметы"/>
      <sheetName val="Прилож"/>
      <sheetName val="ПДР"/>
      <sheetName val="DATA"/>
      <sheetName val="вариант"/>
      <sheetName val="Обновление"/>
      <sheetName val="Цена"/>
      <sheetName val="Product"/>
      <sheetName val="см8"/>
      <sheetName val="Summary"/>
      <sheetName val="Пример расчета"/>
      <sheetName val="свод 2"/>
      <sheetName val="Табл38-7"/>
      <sheetName val="Зап-3- СЦБ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к.84-к.83"/>
      <sheetName val="Коэфф1."/>
      <sheetName val="График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Данные_для_расчёта_сметы"/>
      <sheetName val="6_14_КР"/>
      <sheetName val="свод_2"/>
      <sheetName val="Зап-3-_СЦБ"/>
      <sheetName val="13_1"/>
      <sheetName val="Пример_расчета"/>
      <sheetName val="СметаСводная_Рыб"/>
      <sheetName val="ПОДПИСИ"/>
      <sheetName val="РАСЧЕТ"/>
      <sheetName val="Текущие_цены"/>
      <sheetName val="отчет_эл_эн__2000"/>
      <sheetName val="к_84-к_83"/>
      <sheetName val="6.3"/>
      <sheetName val="6.7"/>
      <sheetName val="6.3.1.3"/>
      <sheetName val="Лист2"/>
      <sheetName val="КП (2)"/>
      <sheetName val="Бюджет"/>
      <sheetName val="Norm"/>
      <sheetName val="sapactivexlhiddensheet"/>
      <sheetName val="свод 3"/>
      <sheetName val="ID"/>
      <sheetName val="СС"/>
      <sheetName val="Opex personnel (Term facs)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мета 1"/>
      <sheetName val="РП"/>
      <sheetName val="данные"/>
      <sheetName val="Баланс"/>
      <sheetName val="Смета2_проект__раб_"/>
      <sheetName val="Смета_1"/>
      <sheetName val="СМЕТА проект"/>
      <sheetName val="Production and Spend"/>
      <sheetName val="OCK1"/>
      <sheetName val="Шкаф"/>
      <sheetName val="Прайс лист"/>
      <sheetName val="1.3"/>
      <sheetName val="ИГ1"/>
      <sheetName val="К.рын"/>
      <sheetName val="Сводная смета"/>
      <sheetName val="Землеотвод"/>
      <sheetName val="шаблон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Разработка проекта"/>
      <sheetName val="КП НовоКов"/>
      <sheetName val="СметаСводная 1 оч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метаСводная павильон"/>
      <sheetName val="93-110"/>
      <sheetName val="Св. смета"/>
      <sheetName val="РБС ИЗМ1"/>
      <sheetName val="СметаСводная снег"/>
      <sheetName val="Лист опроса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таблица руководству"/>
      <sheetName val="Суточная добыча за неделю"/>
      <sheetName val="list"/>
      <sheetName val="Прибыль опл"/>
      <sheetName val="Вспомогательный"/>
      <sheetName val="сохранить"/>
      <sheetName val="5ОборРабМест(HP)"/>
      <sheetName val="№5 СУБ Инж защ"/>
      <sheetName val="HP и оргтехника"/>
      <sheetName val="Calc"/>
      <sheetName val="История"/>
      <sheetName val="Р1"/>
      <sheetName val="Параметры_i"/>
      <sheetName val="Таблица 2"/>
      <sheetName val="свод1"/>
      <sheetName val="Таблица 4 АСУТП"/>
      <sheetName val="Input"/>
      <sheetName val="Calculation"/>
      <sheetName val="ст ГТМ"/>
      <sheetName val="ПДР ООО &quot;Юкос ФБЦ&quot;"/>
      <sheetName val="исходные данные"/>
      <sheetName val="расчетные таблицы"/>
      <sheetName val="Амур ДОН"/>
      <sheetName val="кп ГК"/>
      <sheetName val="Справочные данные"/>
      <sheetName val="Б.Сатка"/>
      <sheetName val="total"/>
      <sheetName val="Комплектация"/>
      <sheetName val="трубы"/>
      <sheetName val="СМР"/>
      <sheetName val="дороги"/>
      <sheetName val="2002(v2)"/>
      <sheetName val="справ."/>
      <sheetName val="справ_"/>
      <sheetName val="2002_v2_"/>
      <sheetName val="СметаСводная"/>
      <sheetName val="оборудован"/>
      <sheetName val="Упр"/>
      <sheetName val="Перечень ИУ"/>
      <sheetName val="РН-ПНГ"/>
      <sheetName val="влад-таблица"/>
      <sheetName val="2002(v1)"/>
      <sheetName val="3.1 ТХ"/>
      <sheetName val="ЗП_ЮНГ"/>
      <sheetName val="НМА"/>
      <sheetName val="оператор"/>
      <sheetName val="исх_данные"/>
      <sheetName val="СметаСводная Колпино"/>
      <sheetName val="Подрядчики"/>
      <sheetName val="Январь"/>
      <sheetName val="Итог"/>
      <sheetName val="мсн"/>
      <sheetName val="мат"/>
      <sheetName val="3.5"/>
      <sheetName val="справка"/>
      <sheetName val="суб.подряд"/>
      <sheetName val="ПСБ - ОЭ"/>
      <sheetName val="суб_подряд"/>
      <sheetName val="ПСБ_-_ОЭ"/>
      <sheetName val="Смета 2"/>
      <sheetName val="D"/>
      <sheetName val="Ачинский НПЗ"/>
      <sheetName val="4"/>
      <sheetName val="ИД"/>
      <sheetName val="См3 СЦБ-зап"/>
      <sheetName val="Хаттон 90.90 Femco"/>
      <sheetName val="ИД1"/>
      <sheetName val="свод общ"/>
      <sheetName val="Смета 5.2. Кусты25,29,31,65"/>
      <sheetName val="смета СИД"/>
      <sheetName val="часы"/>
      <sheetName val="ресурсная вед."/>
      <sheetName val="ИДвалка"/>
      <sheetName val="р.Волхов"/>
      <sheetName val="КП к ГК"/>
      <sheetName val="изыскания 2"/>
      <sheetName val="Калплан Кра"/>
      <sheetName val="Материалы"/>
      <sheetName val="6.11 новый"/>
      <sheetName val="Капитальные затраты"/>
      <sheetName val="накладная"/>
      <sheetName val="Акт"/>
      <sheetName val="1"/>
      <sheetName val="Пояснение "/>
      <sheetName val="3.1"/>
      <sheetName val="Коммерческие расходы"/>
      <sheetName val="RSOILBAL"/>
      <sheetName val="смета 2 проект. работы"/>
      <sheetName val="4сд"/>
      <sheetName val="2сд"/>
      <sheetName val="7сд"/>
      <sheetName val="MAIN_PARAMETERS"/>
      <sheetName val="СС замеч с ответами"/>
      <sheetName val="начало"/>
      <sheetName val="Main"/>
      <sheetName val="УП _2004"/>
      <sheetName val="в работу"/>
      <sheetName val="1ПС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Перечень Заказчиков"/>
      <sheetName val="2.2 "/>
      <sheetName val="Хар_"/>
      <sheetName val="С1_"/>
      <sheetName val="СтрЗапасов (2)"/>
      <sheetName val="Lim"/>
      <sheetName val="Справочник"/>
      <sheetName val="PwC Copies from old models --&gt;&gt;"/>
      <sheetName val="Справочники"/>
      <sheetName val="Journals"/>
      <sheetName val="ц_1991"/>
      <sheetName val="rvldmrv"/>
      <sheetName val="Сравнение ДПН факт 06-07"/>
      <sheetName val="Параметры"/>
      <sheetName val="трансформация1"/>
      <sheetName val="НМ расчеты"/>
      <sheetName val="Names"/>
      <sheetName val="breakdown"/>
      <sheetName val="Destination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Лист3"/>
      <sheetName val="АЧ"/>
      <sheetName val="кп (3)"/>
      <sheetName val="СП"/>
      <sheetName val="фонтан разбитый2"/>
      <sheetName val="Баланс (Ф1)"/>
      <sheetName val="Смета-Т"/>
      <sheetName val=""/>
      <sheetName val="Смета 3 Гидролог"/>
      <sheetName val="Записка СЦБ"/>
      <sheetName val="ИПЦ2002-2004"/>
      <sheetName val="РС 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Общая часть"/>
      <sheetName val="Табл.5"/>
      <sheetName val="Табл.2"/>
      <sheetName val="Исх.данные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Расчет курса"/>
      <sheetName val="XLR_NoRangeSheet"/>
      <sheetName val="НЕДЕЛИ"/>
      <sheetName val="GD"/>
      <sheetName val="Source lists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8"/>
      <sheetName val="исх-данные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  <sheetName val="ЕТС (ф)"/>
      <sheetName val="Исх1"/>
      <sheetName val="ПС"/>
      <sheetName val="Main list"/>
      <sheetName val="эл_химз_3"/>
      <sheetName val="геология_3"/>
      <sheetName val="6_143"/>
      <sheetName val="6_3_13"/>
      <sheetName val="6_203"/>
      <sheetName val="6_4_13"/>
      <sheetName val="6_11_1__сторонние3"/>
      <sheetName val="8_14_КР_(списание)ОПСТИКР3"/>
      <sheetName val="Данные_для_расчёта_сметы2"/>
      <sheetName val="6_14_КР2"/>
      <sheetName val="Пример_расчета2"/>
      <sheetName val="свод_22"/>
      <sheetName val="Зап-3-_СЦБ2"/>
      <sheetName val="СметаСводная_Рыб2"/>
      <sheetName val="13_11"/>
      <sheetName val="Текущие_цены2"/>
      <sheetName val="отчет_эл_эн__20002"/>
      <sheetName val="к_84-к_832"/>
      <sheetName val="Коэфф1_2"/>
      <sheetName val="КП_(2)1"/>
      <sheetName val="6_31"/>
      <sheetName val="6_71"/>
      <sheetName val="6_3_1_31"/>
      <sheetName val="свод_31"/>
      <sheetName val="Смета2_проект__раб_2"/>
      <sheetName val="Смета_12"/>
      <sheetName val="СМЕТА_проект1"/>
      <sheetName val="Production_and_Spend1"/>
      <sheetName val="Прайс_лист2"/>
      <sheetName val="1_31"/>
      <sheetName val="К_рын1"/>
      <sheetName val="Сводная_смета1"/>
      <sheetName val="См_1_наруж_водопровод2"/>
      <sheetName val="Разработка_проекта2"/>
      <sheetName val="КП_НовоКов2"/>
      <sheetName val="СметаСводная_1_оч2"/>
      <sheetName val="Переменные_и_константы1"/>
      <sheetName val="свод_(2)1"/>
      <sheetName val="Калплан_ОИ2_Макм_крестики1"/>
      <sheetName val="СметаСводная_павильон1"/>
      <sheetName val="Св__смета1"/>
      <sheetName val="РБС_ИЗМ11"/>
      <sheetName val="СметаСводная_снег1"/>
      <sheetName val="Лист_опроса1"/>
      <sheetName val="Исполнение__освоение_по_закупк1"/>
      <sheetName val="Исполнение_для_Ускова1"/>
      <sheetName val="Выборка_по_отсыпкам1"/>
      <sheetName val="ИП__отсыпки_1"/>
      <sheetName val="ИП__отсыпки_ФОТ_диз_т_1"/>
      <sheetName val="ИП__отсыпки___выборка_1"/>
      <sheetName val="Исполнение_по_оборуд_1"/>
      <sheetName val="Исполнение_по_оборуд___2_1"/>
      <sheetName val="Исполнение_сжато1"/>
      <sheetName val="Форма_для_бурения1"/>
      <sheetName val="Форма_для_КС1"/>
      <sheetName val="Форма_для_ГР1"/>
      <sheetName val="Смета_1свод1"/>
      <sheetName val="таблица_руководству1"/>
      <sheetName val="Суточная_добыча_за_неделю1"/>
      <sheetName val="Прибыль_опл1"/>
      <sheetName val="№5_СУБ_Инж_защ1"/>
      <sheetName val="HP_и_оргтехника1"/>
      <sheetName val="Таблица_21"/>
      <sheetName val="Таблица_4_АСУТП1"/>
      <sheetName val="ст_ГТМ1"/>
      <sheetName val="ПДР_ООО_&quot;Юкос_ФБЦ&quot;1"/>
      <sheetName val="исходные_данные1"/>
      <sheetName val="расчетные_таблицы1"/>
      <sheetName val="Амур_ДОН1"/>
      <sheetName val="кп_ГК1"/>
      <sheetName val="Справочные_данные1"/>
      <sheetName val="Б_Сатка1"/>
      <sheetName val="справ_2"/>
      <sheetName val="Перечень_ИУ1"/>
      <sheetName val="3_1_ТХ1"/>
      <sheetName val="СметаСводная_Колпино1"/>
      <sheetName val="3_51"/>
      <sheetName val="суб_подряд2"/>
      <sheetName val="ПСБ_-_ОЭ2"/>
      <sheetName val="Смета_21"/>
      <sheetName val="Ачинский_НПЗ1"/>
      <sheetName val="См3_СЦБ-зап1"/>
      <sheetName val="Хаттон_90_90_Femco1"/>
      <sheetName val="свод_общ1"/>
      <sheetName val="Смета_5_2__Кусты25,29,31,651"/>
      <sheetName val="смета_СИД1"/>
      <sheetName val="ресурсная_вед_1"/>
      <sheetName val="р_Волхов1"/>
      <sheetName val="КП_к_ГК1"/>
      <sheetName val="изыскания_21"/>
      <sheetName val="Калплан_Кра1"/>
      <sheetName val="6_11_новый1"/>
      <sheetName val="Opex_personnel_(Term_facs)1"/>
      <sheetName val="Капитальные_затраты1"/>
      <sheetName val="Пояснение_"/>
      <sheetName val="3_11"/>
      <sheetName val="Коммерческие_расходы1"/>
      <sheetName val="смета_2_проект__работы"/>
      <sheetName val="СС_замеч_с_ответами1"/>
      <sheetName val="УП__20041"/>
      <sheetName val="в_работу1"/>
      <sheetName val="3_21"/>
      <sheetName val="3_31"/>
      <sheetName val="Р2_11"/>
      <sheetName val="Р2_21"/>
      <sheetName val="Удельные(проф_)1"/>
      <sheetName val="Константы_и_результаты1"/>
      <sheetName val="расчет_№31"/>
      <sheetName val="20_Кредиты_краткосрочные1"/>
      <sheetName val="Перечень_Заказчиков1"/>
      <sheetName val="2_2_1"/>
      <sheetName val="СтрЗапасов_(2)"/>
      <sheetName val="PwC_Copies_from_old_models_--&gt;&gt;"/>
      <sheetName val="Сравнение_ДПН_факт_06-07"/>
      <sheetName val="НМ_расчеты"/>
      <sheetName val="КП_к_снег_Рыбинская1"/>
      <sheetName val="Коэф_КВ"/>
      <sheetName val="Смета_терзем"/>
      <sheetName val="Кал_план_Жукова_даты_-_не_надо"/>
      <sheetName val="матер_"/>
      <sheetName val="КП_Прим_(3)"/>
      <sheetName val="кп_(3)"/>
      <sheetName val="фонтан_разбитый2"/>
      <sheetName val="Баланс_(Ф1)"/>
      <sheetName val="Смета_3_Гидролог"/>
      <sheetName val="Записка_СЦБ"/>
      <sheetName val="РС_"/>
      <sheetName val="Source_lists"/>
      <sheetName val="Общая_часть"/>
      <sheetName val="Табл_51"/>
      <sheetName val="Табл_21"/>
      <sheetName val="См_№3_ОПР"/>
      <sheetName val="см_№6_АВЗУ_и_ГПЗУ"/>
      <sheetName val="Input_Assumptions"/>
      <sheetName val="см_№1_1_Геодезические_работы_"/>
      <sheetName val="см_№1_4_Экология_"/>
      <sheetName val="АСУ_ТП_1_этап_ПД"/>
      <sheetName val="Расчет_курса"/>
      <sheetName val="Курс_доллара"/>
      <sheetName val="Календарь_новый"/>
      <sheetName val="Смета_№_1_ИИ_линия"/>
      <sheetName val="Дополнительные_параметры"/>
      <sheetName val="Свод_объем"/>
      <sheetName val="Дог_цена"/>
      <sheetName val="выборка_на22_июня"/>
      <sheetName val="3труба_(П)"/>
      <sheetName val="Объемы_работ_по_ПВ"/>
      <sheetName val="Таблица_5"/>
      <sheetName val="Таблица_3"/>
      <sheetName val="1_401_2"/>
      <sheetName val="PO_Data"/>
      <sheetName val="Раб_АУ"/>
      <sheetName val="р_Нева1"/>
      <sheetName val="р_Молога1"/>
      <sheetName val="18_рек_Ю-Х1"/>
      <sheetName val="нпс_Палкино1"/>
      <sheetName val="Россия_-_Китай1"/>
      <sheetName val="КМ_210-2381"/>
      <sheetName val="БТС-2_км_405-4591"/>
      <sheetName val="БТС-2_км_405-4531"/>
      <sheetName val="БТС-2_км_313-3521"/>
      <sheetName val="БТС-2_км326-3521"/>
      <sheetName val="Улейма_И1"/>
      <sheetName val="Белая_УБКА1"/>
      <sheetName val="км_72-75р_Левоннька1"/>
      <sheetName val="киенгоп-н_Челны_км_104-2061"/>
      <sheetName val="ВЛ_Урдома1"/>
      <sheetName val="Вл_Микунь_Урдома1"/>
      <sheetName val="ВЛ_Синдор-Микунь1"/>
      <sheetName val="Тон_Чермасан1"/>
      <sheetName val="Трасса_км_16-1471"/>
      <sheetName val="трасса_0-761"/>
      <sheetName val="Колва_781"/>
      <sheetName val="Гидрология__р_Колва_км_381"/>
      <sheetName val="ПСП_1"/>
      <sheetName val="Новая_сводка_(до_бюджета)_(2)2"/>
      <sheetName val="Что_пришло2"/>
      <sheetName val="влад-таблица_(2)2"/>
      <sheetName val="Новая_сводка_(до_бюджета)2"/>
      <sheetName val="Новая_сводка2"/>
      <sheetName val="Общие_расходы2"/>
      <sheetName val="Новая_сводка_(по_бюджету)2"/>
      <sheetName val="Íîâàÿ_ñâîäêà_(äî_áþäæåòà)_(2)2"/>
      <sheetName val="×òî_ïðèøëî2"/>
      <sheetName val="âëàä-òàáëèöà_(2)2"/>
      <sheetName val="Íîâàÿ_ñâîäêà_(äî_áþäæåòà)2"/>
      <sheetName val="Íîâàÿ_ñâîäêà2"/>
      <sheetName val="Îáùèå_ðàñõîäû2"/>
      <sheetName val="Íîâàÿ_ñâîäêà_(ïî_áþäæåòó)2"/>
      <sheetName val="6_10_12"/>
      <sheetName val="6_7_3_ТН2"/>
      <sheetName val="6_12"/>
      <sheetName val="6_52-свод1"/>
      <sheetName val="ДДС_(Форма_№3)"/>
      <sheetName val="Сводная_"/>
      <sheetName val="7_ТХ_Сети_(кор)"/>
      <sheetName val="Tier_311208"/>
      <sheetName val="Акт_выбора"/>
      <sheetName val="См_№7_Эл_"/>
      <sheetName val="См_№8_Пож_"/>
      <sheetName val="См_№3_ВиК"/>
      <sheetName val="Сметы_за_сопровождение"/>
      <sheetName val="См_3_АСУ"/>
      <sheetName val="Полигон_-_ИЭИ_"/>
      <sheetName val="Смета_ТЗ_АСУ-16"/>
      <sheetName val="База_Геодезия"/>
      <sheetName val="База_Геология"/>
      <sheetName val="База_Геофизика"/>
      <sheetName val="4_1_1"/>
      <sheetName val="исп_1_1_1"/>
      <sheetName val="База_Гидро"/>
      <sheetName val="4_2_1"/>
      <sheetName val="исп_1_1_2"/>
      <sheetName val="Исп__смета_этап_1_1,_1_2"/>
      <sheetName val="Исх. данные"/>
      <sheetName val="Промер глуб"/>
      <sheetName val="Расчет №1.1"/>
      <sheetName val="Расчет №2.1"/>
      <sheetName val="Пра"/>
      <sheetName val="ИД ПНР"/>
      <sheetName val="Технический лист"/>
      <sheetName val="анализ 2003_2004исполнение МТО"/>
      <sheetName val="Тестовый"/>
      <sheetName val="Panduit"/>
      <sheetName val=" Свод"/>
      <sheetName val="исключ ЭХЗ"/>
      <sheetName val="БДР"/>
      <sheetName val="геол"/>
      <sheetName val="аванс по ОС"/>
      <sheetName val="Авансы выданные"/>
      <sheetName val="Кред"/>
      <sheetName val="ДЗ"/>
      <sheetName val="Кред. задолж."/>
      <sheetName val="Прочие"/>
      <sheetName val="ГАЗ_камаз"/>
      <sheetName val="41"/>
      <sheetName val="Договорная цена"/>
      <sheetName val="№2Гидромет."/>
      <sheetName val="№2Геолог"/>
      <sheetName val="№2Геолог с.п."/>
      <sheetName val="№3Экологи (2этап)"/>
      <sheetName val="Исходная"/>
      <sheetName val="3 Сл.-структура затрат"/>
      <sheetName val="const"/>
      <sheetName val="расчеты"/>
      <sheetName val="ПС 110 кВ (доп)"/>
      <sheetName val="ПД-2.1"/>
      <sheetName val="Смета 7"/>
      <sheetName val="Бл_электр_"/>
      <sheetName val="Прил.5 СС"/>
      <sheetName val="расчет вязкости"/>
      <sheetName val="Сравнение с Finder - ДНС-5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/>
      <sheetData sheetId="825" refreshError="1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 refreshError="1"/>
      <sheetData sheetId="1041" refreshError="1"/>
      <sheetData sheetId="1042" refreshError="1"/>
      <sheetData sheetId="1043" refreshError="1"/>
      <sheetData sheetId="1044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/>
      <sheetData sheetId="1051" refreshError="1"/>
      <sheetData sheetId="1052" refreshError="1"/>
      <sheetData sheetId="1053" refreshError="1"/>
      <sheetData sheetId="1054"/>
      <sheetData sheetId="1055"/>
      <sheetData sheetId="1056"/>
      <sheetData sheetId="1057"/>
      <sheetData sheetId="1058"/>
      <sheetData sheetId="1059"/>
      <sheetData sheetId="1060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/>
      <sheetData sheetId="1071" refreshError="1"/>
      <sheetData sheetId="1072"/>
      <sheetData sheetId="1073" refreshError="1"/>
      <sheetData sheetId="1074" refreshError="1"/>
      <sheetData sheetId="1075">
        <row r="1">
          <cell r="B1">
            <v>0</v>
          </cell>
        </row>
      </sheetData>
      <sheetData sheetId="1076" refreshError="1"/>
      <sheetData sheetId="107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ОбмОбслЗемОд"/>
      <sheetName val="КалендПлан"/>
      <sheetName val="СводнСм"/>
      <sheetName val="СводнСм ГАП"/>
      <sheetName val="СмШурф"/>
      <sheetName val="СмРучБур"/>
      <sheetName val="СмМашБур"/>
      <sheetName val="ОБмГеодезия"/>
      <sheetName val="СмШурфКонтр"/>
      <sheetName val="СмРучБурКонтр"/>
    </sheetNames>
    <sheetDataSet>
      <sheetData sheetId="0"/>
      <sheetData sheetId="1" refreshError="1">
        <row r="2">
          <cell r="F2" t="str">
            <v>к договору № **/п-**-2007 от **.**.2007 г.</v>
          </cell>
        </row>
        <row r="4">
          <cell r="A4" t="str">
            <v>одноэтажного здания ********, расположенного по адресу: 
ул. ******, д. ***</v>
          </cell>
        </row>
        <row r="7">
          <cell r="A7" t="str">
            <v>Исполнитель - ОАО "Гипронииавиапром" ООО "СК Перспектива-100"</v>
          </cell>
        </row>
        <row r="28">
          <cell r="E28">
            <v>26.88</v>
          </cell>
        </row>
        <row r="29">
          <cell r="E29">
            <v>1</v>
          </cell>
        </row>
        <row r="62">
          <cell r="F62">
            <v>3</v>
          </cell>
        </row>
        <row r="67">
          <cell r="B67" t="str">
            <v>Подкрановые и тормозные конструкции.</v>
          </cell>
          <cell r="F67">
            <v>3.5000000000000003E-2</v>
          </cell>
        </row>
      </sheetData>
      <sheetData sheetId="2"/>
      <sheetData sheetId="3"/>
      <sheetData sheetId="4"/>
      <sheetData sheetId="5"/>
      <sheetData sheetId="6" refreshError="1">
        <row r="39">
          <cell r="K39">
            <v>0</v>
          </cell>
        </row>
      </sheetData>
      <sheetData sheetId="7"/>
      <sheetData sheetId="8"/>
      <sheetData sheetId="9" refreshError="1"/>
      <sheetData sheetId="1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(подряд)"/>
      <sheetName val="СравненЦен"/>
      <sheetName val="Сводная"/>
      <sheetName val="Цена"/>
      <sheetName val="Лист7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-Т"/>
      <sheetName val="ЛЧ"/>
    </sheetNames>
    <sheetDataSet>
      <sheetData sheetId="0"/>
      <sheetData sheetId="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ные"/>
      <sheetName val="Сводная РД"/>
      <sheetName val="ПА РД"/>
      <sheetName val="РУ РД"/>
      <sheetName val="ЛАДВ РД"/>
      <sheetName val="Сводная П"/>
      <sheetName val="ПА П"/>
      <sheetName val="ЛАДВ П"/>
      <sheetName val="РУ П"/>
      <sheetName val="ПА РП"/>
      <sheetName val="РУ РП"/>
      <sheetName val="Кал. план"/>
      <sheetName val="РУ+ПА"/>
      <sheetName val="АСУ ТП"/>
      <sheetName val="Лист1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Курс доллара"/>
      <sheetName val="Лист3"/>
      <sheetName val="топография"/>
      <sheetName val="СметаСводная"/>
      <sheetName val="Данные для расчёта сметы"/>
      <sheetName val="Коэфф1."/>
      <sheetName val="ПО 1-7"/>
      <sheetName val="ставки"/>
      <sheetName val="Курс_доллара"/>
      <sheetName val="свод 2"/>
      <sheetName val="Смета"/>
      <sheetName val="СметаСводная Колпино"/>
      <sheetName val="Лист7"/>
      <sheetName val="ОПС"/>
      <sheetName val="Дог цена"/>
      <sheetName val="Смета-Т"/>
      <sheetName val="ps198"/>
    </sheetNames>
    <sheetDataSet>
      <sheetData sheetId="0">
        <row r="2">
          <cell r="A2">
            <v>25</v>
          </cell>
        </row>
      </sheetData>
      <sheetData sheetId="1">
        <row r="2">
          <cell r="A2">
            <v>25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ан Жукова мес"/>
      <sheetName val="Кал.план Жукова даты - не надо"/>
      <sheetName val="СметаСводная 1 оч"/>
      <sheetName val="Смета1 Чеснович"/>
      <sheetName val="Смета2 геология"/>
      <sheetName val="См3 кадастр"/>
      <sheetName val="Смета4 Зем"/>
      <sheetName val="См5 дороги"/>
      <sheetName val="6 Кр.линии"/>
      <sheetName val="См7 мост"/>
      <sheetName val="Сети8 1 оч"/>
      <sheetName val="Смета9 регламент с 0,335"/>
      <sheetName val="Смета10 ООС"/>
      <sheetName val="смета11 конк докум"/>
      <sheetName val="См12  ГО и ЧС"/>
      <sheetName val="шкаф"/>
      <sheetName val="Вспомогательный"/>
      <sheetName val="коэфф1."/>
      <sheetName val="прайс лист"/>
      <sheetName val="топография"/>
    </sheetNames>
    <sheetDataSet>
      <sheetData sheetId="0" refreshError="1"/>
      <sheetData sheetId="1" refreshError="1"/>
      <sheetData sheetId="2">
        <row r="6">
          <cell r="D6" t="str">
            <v>"Реконструкция транспортной развязки на пр. Маршала Жукова через ж.д. пути в Угольную гавань". 1-ая очередь. Реконструкция Портовой ул. с выходом на дорогу в Угольную гавань и строительство ул. Морской Пехоты с мостом через р. Красненькая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ФедД"/>
      <sheetName val="Гр5(о)"/>
    </sheetNames>
    <sheetDataSet>
      <sheetData sheetId="0" refreshError="1">
        <row r="17">
          <cell r="AE17">
            <v>8</v>
          </cell>
          <cell r="AF17">
            <v>7</v>
          </cell>
        </row>
        <row r="20">
          <cell r="AE20" t="str">
            <v>10 месяцев 2003 года</v>
          </cell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"/>
      <sheetName val="Орг"/>
      <sheetName val="Нал"/>
      <sheetName val="Наличие"/>
      <sheetName val="Движение"/>
      <sheetName val="Бал.стоим."/>
      <sheetName val="УНРМа-6.99"/>
      <sheetName val="Спр.образец (2)"/>
      <sheetName val="Майоров"/>
      <sheetName val="Бунин"/>
      <sheetName val="Черенков"/>
      <sheetName val="Путилин"/>
      <sheetName val="Гибадулин"/>
      <sheetName val="Головнев"/>
      <sheetName val="Остремский"/>
      <sheetName val="Горовой"/>
      <sheetName val="Кабанов"/>
      <sheetName val="Волошенко"/>
      <sheetName val="Копытовский"/>
      <sheetName val="Иванченко"/>
      <sheetName val="Цвик"/>
      <sheetName val=" Забусов"/>
      <sheetName val="Катанов"/>
      <sheetName val="Колодяжный"/>
      <sheetName val="Алисов"/>
      <sheetName val="Максименко"/>
      <sheetName val="Власов"/>
      <sheetName val="Двулучанский"/>
      <sheetName val="Чеботарев"/>
      <sheetName val="Щукин"/>
      <sheetName val="Маренков"/>
      <sheetName val="Дергунов"/>
      <sheetName val="Мышенков"/>
      <sheetName val="Евдокимов"/>
      <sheetName val="Жабко"/>
      <sheetName val="Кафтанников"/>
      <sheetName val="Вайдерман"/>
      <sheetName val="Хапилин"/>
      <sheetName val="Павелко"/>
      <sheetName val="Ксензов"/>
      <sheetName val="211 КЖБИ"/>
      <sheetName val="122ЭМЗ"/>
    </sheetNames>
    <sheetDataSet>
      <sheetData sheetId="0">
        <row r="50">
          <cell r="C50" t="str">
            <v>Майоров</v>
          </cell>
        </row>
      </sheetData>
      <sheetData sheetId="1" refreshError="1">
        <row r="50">
          <cell r="C50" t="str">
            <v>Майоров</v>
          </cell>
        </row>
        <row r="51">
          <cell r="C51" t="str">
            <v>Бунин</v>
          </cell>
        </row>
        <row r="52">
          <cell r="C52" t="str">
            <v>Черенков</v>
          </cell>
        </row>
        <row r="53">
          <cell r="C53" t="str">
            <v>Путилин</v>
          </cell>
        </row>
        <row r="54">
          <cell r="C54" t="str">
            <v>Гибадулин</v>
          </cell>
        </row>
        <row r="55">
          <cell r="C55" t="str">
            <v>Дергунов</v>
          </cell>
        </row>
        <row r="56">
          <cell r="C56" t="str">
            <v>Головнев</v>
          </cell>
        </row>
        <row r="57">
          <cell r="C57" t="str">
            <v>Остремский</v>
          </cell>
        </row>
        <row r="58">
          <cell r="C58" t="str">
            <v>Горовой</v>
          </cell>
        </row>
        <row r="59">
          <cell r="C59" t="str">
            <v>Кабанов</v>
          </cell>
        </row>
        <row r="60">
          <cell r="C60" t="str">
            <v>Волошенко</v>
          </cell>
        </row>
        <row r="61">
          <cell r="C61" t="str">
            <v>Копытовский</v>
          </cell>
        </row>
        <row r="62">
          <cell r="C62" t="str">
            <v>Иванченко</v>
          </cell>
        </row>
        <row r="63">
          <cell r="C63" t="str">
            <v>Цвик</v>
          </cell>
        </row>
        <row r="64">
          <cell r="C64" t="str">
            <v>Забусов</v>
          </cell>
        </row>
        <row r="65">
          <cell r="C65" t="str">
            <v>Катанов</v>
          </cell>
        </row>
        <row r="66">
          <cell r="C66" t="str">
            <v>Колодяжный</v>
          </cell>
        </row>
        <row r="67">
          <cell r="C67" t="str">
            <v>Алисов</v>
          </cell>
        </row>
        <row r="68">
          <cell r="C68" t="str">
            <v>Максименко</v>
          </cell>
        </row>
        <row r="69">
          <cell r="C69" t="str">
            <v>Власов</v>
          </cell>
        </row>
        <row r="70">
          <cell r="C70" t="str">
            <v>Двулучанский</v>
          </cell>
        </row>
        <row r="71">
          <cell r="C71" t="str">
            <v>Чеботарев</v>
          </cell>
        </row>
        <row r="72">
          <cell r="C72" t="str">
            <v>Щукин</v>
          </cell>
        </row>
        <row r="73">
          <cell r="C73" t="str">
            <v>Маренков</v>
          </cell>
        </row>
        <row r="74">
          <cell r="C74" t="str">
            <v>Мышенков</v>
          </cell>
        </row>
        <row r="75">
          <cell r="C75" t="str">
            <v>Евдокимов</v>
          </cell>
        </row>
        <row r="76">
          <cell r="C76" t="str">
            <v>Жабко</v>
          </cell>
        </row>
        <row r="77">
          <cell r="C77" t="str">
            <v>Кафтанников</v>
          </cell>
        </row>
        <row r="78">
          <cell r="C78" t="str">
            <v>Вайдерман</v>
          </cell>
        </row>
        <row r="79">
          <cell r="C79" t="str">
            <v>Хапилин</v>
          </cell>
        </row>
        <row r="80">
          <cell r="C80" t="str">
            <v>Павелко</v>
          </cell>
        </row>
        <row r="81">
          <cell r="C81" t="str">
            <v>Ксензов</v>
          </cell>
        </row>
        <row r="82">
          <cell r="C82" t="str">
            <v>Меркурьев</v>
          </cell>
        </row>
        <row r="83">
          <cell r="C83" t="str">
            <v>Сикорский</v>
          </cell>
        </row>
        <row r="85">
          <cell r="C85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"/>
      <sheetName val="Командировки"/>
      <sheetName val="Должности"/>
    </sheetNames>
    <sheetDataSet>
      <sheetData sheetId="0"/>
      <sheetData sheetId="1"/>
      <sheetData sheetId="2">
        <row r="2">
          <cell r="A2" t="str">
            <v xml:space="preserve"> </v>
          </cell>
        </row>
        <row r="3">
          <cell r="A3" t="str">
            <v>Главный специалист (ДП)</v>
          </cell>
        </row>
        <row r="4">
          <cell r="A4" t="str">
            <v>Инженер-проектировщик (ДП)</v>
          </cell>
        </row>
        <row r="5">
          <cell r="A5" t="str">
            <v>Менеджер проекта (ДУП)</v>
          </cell>
        </row>
        <row r="6">
          <cell r="A6" t="str">
            <v>Инженер (СО)</v>
          </cell>
        </row>
        <row r="7">
          <cell r="A7" t="str">
            <v>Руководитель группы (СО)</v>
          </cell>
        </row>
        <row r="8">
          <cell r="A8" t="str">
            <v>Оператор копировальных и множительных машин</v>
          </cell>
        </row>
        <row r="9">
          <cell r="A9" t="str">
            <v>Инженер-нормоконтролер (ДП)</v>
          </cell>
        </row>
        <row r="10">
          <cell r="A10" t="str">
            <v>Ведущий инженер (ДП)</v>
          </cell>
        </row>
        <row r="11">
          <cell r="A11" t="str">
            <v xml:space="preserve"> </v>
          </cell>
        </row>
        <row r="12">
          <cell r="A12" t="str">
            <v xml:space="preserve"> </v>
          </cell>
        </row>
        <row r="13">
          <cell r="A13" t="str">
            <v xml:space="preserve"> </v>
          </cell>
        </row>
        <row r="14">
          <cell r="A14" t="str">
            <v xml:space="preserve"> </v>
          </cell>
        </row>
        <row r="15">
          <cell r="A15" t="str">
            <v xml:space="preserve"> </v>
          </cell>
        </row>
        <row r="16">
          <cell r="A16" t="str">
            <v xml:space="preserve"> </v>
          </cell>
        </row>
        <row r="17">
          <cell r="A17" t="str">
            <v xml:space="preserve"> </v>
          </cell>
        </row>
        <row r="18">
          <cell r="A18" t="str">
            <v xml:space="preserve"> </v>
          </cell>
        </row>
        <row r="19">
          <cell r="A19" t="str">
            <v xml:space="preserve"> </v>
          </cell>
        </row>
        <row r="20">
          <cell r="A20" t="str">
            <v xml:space="preserve"> </v>
          </cell>
        </row>
        <row r="21">
          <cell r="A21" t="str">
            <v xml:space="preserve"> </v>
          </cell>
        </row>
        <row r="22">
          <cell r="A22" t="str">
            <v xml:space="preserve"> </v>
          </cell>
        </row>
        <row r="23">
          <cell r="A23" t="str">
            <v xml:space="preserve"> </v>
          </cell>
        </row>
        <row r="24">
          <cell r="A24" t="str">
            <v xml:space="preserve"> </v>
          </cell>
        </row>
        <row r="25">
          <cell r="A25" t="str">
            <v xml:space="preserve"> </v>
          </cell>
        </row>
        <row r="26">
          <cell r="A26" t="str">
            <v xml:space="preserve"> </v>
          </cell>
        </row>
        <row r="27">
          <cell r="A27" t="str">
            <v xml:space="preserve"> </v>
          </cell>
        </row>
        <row r="28">
          <cell r="A28" t="str">
            <v xml:space="preserve"> </v>
          </cell>
        </row>
        <row r="29">
          <cell r="A29" t="str">
            <v xml:space="preserve"> </v>
          </cell>
        </row>
        <row r="30">
          <cell r="A30" t="str">
            <v xml:space="preserve"> </v>
          </cell>
        </row>
        <row r="31">
          <cell r="A31" t="str">
            <v xml:space="preserve"> 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  <sheetName val="Коэффициенты"/>
      <sheetName val="СВОДКА развязка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  <sheetName val="Гр5(о)"/>
      <sheetName val="Управление"/>
      <sheetName val="2009(2,3)_(2)"/>
      <sheetName val="Оценка DCF"/>
      <sheetName val="GKN (2)"/>
      <sheetName val="ПЕРЕЧЕНЬ"/>
      <sheetName val="Программа"/>
      <sheetName val="Лист2"/>
      <sheetName val="Предпр.-взвеш. оценка"/>
      <sheetName val="база_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  <sheetName val="Расчет (СС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  <sheetName val="смета"/>
    </sheetNames>
    <sheetDataSet>
      <sheetData sheetId="0">
        <row r="7">
          <cell r="E7" t="str">
            <v>Рабочий проект по объекту:с "Снегоплавильная камера. расположенная на сетях ГУП "Водоканал Санкт-Петербург", по адресу: Рижский пр., д.43 (угол Рижского проспекта и Либавского переулка)"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2002(v2)"/>
      <sheetName val="ПРОГНОЗ_1"/>
      <sheetName val="справ."/>
      <sheetName val="Лист2"/>
      <sheetName val="эл_химз_"/>
      <sheetName val="геология_"/>
      <sheetName val="справ_"/>
      <sheetName val="СметаСводная снег"/>
      <sheetName val="2002_v2_"/>
      <sheetName val="Данные для расчёта сметы"/>
      <sheetName val="93-110"/>
      <sheetName val="СметаСводная"/>
      <sheetName val="ИГ1"/>
      <sheetName val="СметаСводная павильон"/>
      <sheetName val="Смета"/>
      <sheetName val="топо"/>
      <sheetName val="оборудован"/>
      <sheetName val="Упр"/>
      <sheetName val="см8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  <sheetName val="Вспомогательный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ent"/>
      <sheetName val="VERO"/>
      <sheetName val="RITTAL"/>
      <sheetName val="LEGRAND"/>
      <sheetName val="Works"/>
      <sheetName val="крепеж"/>
      <sheetName val="исключ ЭХЗ"/>
      <sheetName val="Справочник"/>
      <sheetName val="Лист1"/>
      <sheetName val="Обновление"/>
      <sheetName val="Цена"/>
      <sheetName val="Product"/>
      <sheetName val="SakhNIPI5"/>
      <sheetName val="№1"/>
      <sheetName val="№10"/>
      <sheetName val="№11"/>
      <sheetName val="№12"/>
      <sheetName val="№2"/>
      <sheetName val="№3"/>
      <sheetName val="№4"/>
      <sheetName val="№5"/>
      <sheetName val="№7"/>
      <sheetName val="№8"/>
      <sheetName val="№9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</sheetNames>
    <sheetDataSet>
      <sheetData sheetId="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ГИП"/>
      <sheetName val="ОРФиСО"/>
      <sheetName val="Филиалы"/>
      <sheetName val="анн"/>
      <sheetName val="связи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B8">
            <v>39426.518341319446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ГИП"/>
      <sheetName val="ОРФиСО"/>
      <sheetName val="Филиалы"/>
      <sheetName val="анн"/>
      <sheetName val="связи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definedNames>
      <definedName name="Сумма_прописью"/>
    </defined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вод"/>
      <sheetName val="Смета"/>
      <sheetName val="Лист2"/>
      <sheetName val="СметаСводная снег"/>
      <sheetName val="93-110"/>
      <sheetName val="Лист опроса"/>
      <sheetName val="к.84-к.83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Данные для расчёта сметы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Summary"/>
      <sheetName val="Пример расчета"/>
      <sheetName val="свод 2"/>
      <sheetName val="Табл38-7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8"/>
      <sheetName val="исх-данные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 refreshError="1"/>
      <sheetData sheetId="44" refreshError="1"/>
      <sheetData sheetId="45" refreshError="1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вод"/>
      <sheetName val="Смет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данные _format (electr)_2"/>
      <sheetName val="Спецификация"/>
      <sheetName val="Lucent"/>
      <sheetName val="А и Т"/>
      <sheetName val="ЭКС"/>
      <sheetName val="топография"/>
      <sheetName val="№5 СУБ Инж за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duit"/>
      <sheetName val="Panduit old"/>
      <sheetName val="расчет_каналов"/>
      <sheetName val="Test"/>
      <sheetName val="Spec ИВЦ"/>
      <sheetName val="Panduit (new)"/>
      <sheetName val="Оборуд в шкафах"/>
      <sheetName val="Выборка Заказчик"/>
      <sheetName val="Сводная смета"/>
      <sheetName val="list"/>
      <sheetName val="Свод объем"/>
      <sheetName val="ПДР"/>
    </sheetNames>
    <sheetDataSet>
      <sheetData sheetId="0" refreshError="1">
        <row r="4">
          <cell r="E4">
            <v>1.5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zoomScale="130" zoomScaleNormal="130" workbookViewId="0">
      <selection activeCell="B52" sqref="B52"/>
    </sheetView>
  </sheetViews>
  <sheetFormatPr defaultColWidth="9.140625" defaultRowHeight="15" outlineLevelRow="1" x14ac:dyDescent="0.25"/>
  <cols>
    <col min="1" max="1" width="9.28515625" style="619" bestFit="1" customWidth="1"/>
    <col min="2" max="2" width="36.7109375" style="619" customWidth="1"/>
    <col min="3" max="3" width="14.85546875" style="619" customWidth="1"/>
    <col min="4" max="4" width="20.85546875" style="619" customWidth="1"/>
    <col min="5" max="5" width="19" style="619" customWidth="1"/>
    <col min="6" max="6" width="10" style="619" customWidth="1"/>
    <col min="7" max="11" width="4.140625" style="619" customWidth="1"/>
    <col min="12" max="12" width="5" style="619" customWidth="1"/>
    <col min="13" max="13" width="4.140625" style="619" customWidth="1"/>
    <col min="14" max="14" width="6.7109375" style="619" customWidth="1"/>
    <col min="15" max="19" width="4.140625" style="619" customWidth="1"/>
    <col min="20" max="20" width="4" style="619" customWidth="1"/>
    <col min="21" max="24" width="4.140625" style="619" customWidth="1"/>
    <col min="25" max="16384" width="9.140625" style="619"/>
  </cols>
  <sheetData>
    <row r="1" spans="1:24" ht="15" customHeight="1" x14ac:dyDescent="0.25">
      <c r="A1" s="964" t="s">
        <v>1630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964"/>
      <c r="P1" s="964"/>
      <c r="Q1" s="964"/>
      <c r="R1" s="964"/>
      <c r="S1" s="964"/>
      <c r="T1" s="964"/>
      <c r="U1" s="964"/>
      <c r="V1" s="964"/>
      <c r="W1" s="964"/>
      <c r="X1" s="964"/>
    </row>
    <row r="2" spans="1:24" ht="33" customHeight="1" x14ac:dyDescent="0.25">
      <c r="A2" s="965"/>
      <c r="B2" s="965"/>
      <c r="C2" s="965"/>
      <c r="D2" s="965"/>
      <c r="E2" s="965"/>
      <c r="F2" s="965"/>
      <c r="G2" s="965"/>
      <c r="H2" s="965"/>
      <c r="I2" s="965"/>
      <c r="J2" s="965"/>
      <c r="K2" s="965"/>
      <c r="L2" s="965"/>
      <c r="M2" s="965"/>
      <c r="N2" s="965"/>
      <c r="O2" s="965"/>
      <c r="P2" s="965"/>
      <c r="Q2" s="965"/>
      <c r="R2" s="965"/>
      <c r="S2" s="965"/>
      <c r="T2" s="965"/>
      <c r="U2" s="965"/>
      <c r="V2" s="965"/>
      <c r="W2" s="965"/>
      <c r="X2" s="965"/>
    </row>
    <row r="3" spans="1:24" ht="33.75" customHeight="1" x14ac:dyDescent="0.25">
      <c r="A3" s="978" t="s">
        <v>57</v>
      </c>
      <c r="B3" s="979" t="s">
        <v>360</v>
      </c>
      <c r="C3" s="978" t="s">
        <v>1559</v>
      </c>
      <c r="D3" s="978"/>
      <c r="E3" s="978"/>
      <c r="F3" s="963">
        <v>2023</v>
      </c>
      <c r="G3" s="963"/>
      <c r="H3" s="963"/>
      <c r="I3" s="963"/>
      <c r="J3" s="963"/>
      <c r="K3" s="963"/>
      <c r="L3" s="963"/>
      <c r="M3" s="963">
        <v>2024</v>
      </c>
      <c r="N3" s="963"/>
      <c r="O3" s="963"/>
      <c r="P3" s="963"/>
      <c r="Q3" s="963"/>
      <c r="R3" s="963"/>
      <c r="S3" s="963"/>
      <c r="T3" s="963"/>
      <c r="U3" s="963"/>
      <c r="V3" s="963"/>
      <c r="W3" s="963"/>
      <c r="X3" s="963"/>
    </row>
    <row r="4" spans="1:24" ht="11.25" customHeight="1" x14ac:dyDescent="0.25">
      <c r="A4" s="978"/>
      <c r="B4" s="979"/>
      <c r="C4" s="978"/>
      <c r="D4" s="978"/>
      <c r="E4" s="978"/>
      <c r="F4" s="963"/>
      <c r="G4" s="963"/>
      <c r="H4" s="963"/>
      <c r="I4" s="963"/>
      <c r="J4" s="963"/>
      <c r="K4" s="963"/>
      <c r="L4" s="963"/>
      <c r="M4" s="963"/>
      <c r="N4" s="963"/>
      <c r="O4" s="963"/>
      <c r="P4" s="963"/>
      <c r="Q4" s="963"/>
      <c r="R4" s="963"/>
      <c r="S4" s="963"/>
      <c r="T4" s="963"/>
      <c r="U4" s="963"/>
      <c r="V4" s="963"/>
      <c r="W4" s="963"/>
      <c r="X4" s="963"/>
    </row>
    <row r="5" spans="1:24" ht="49.5" customHeight="1" x14ac:dyDescent="0.25">
      <c r="A5" s="978"/>
      <c r="B5" s="979"/>
      <c r="C5" s="620" t="s">
        <v>1560</v>
      </c>
      <c r="D5" s="620" t="s">
        <v>1561</v>
      </c>
      <c r="E5" s="620" t="s">
        <v>1562</v>
      </c>
      <c r="F5" s="621" t="s">
        <v>1570</v>
      </c>
      <c r="G5" s="621" t="s">
        <v>1571</v>
      </c>
      <c r="H5" s="621" t="s">
        <v>1572</v>
      </c>
      <c r="I5" s="621" t="s">
        <v>1573</v>
      </c>
      <c r="J5" s="621" t="s">
        <v>1574</v>
      </c>
      <c r="K5" s="621" t="s">
        <v>1563</v>
      </c>
      <c r="L5" s="621" t="s">
        <v>1564</v>
      </c>
      <c r="M5" s="621" t="s">
        <v>1565</v>
      </c>
      <c r="N5" s="621" t="s">
        <v>1566</v>
      </c>
      <c r="O5" s="621" t="s">
        <v>1567</v>
      </c>
      <c r="P5" s="621" t="s">
        <v>1568</v>
      </c>
      <c r="Q5" s="621" t="s">
        <v>1569</v>
      </c>
      <c r="R5" s="621" t="s">
        <v>1570</v>
      </c>
      <c r="S5" s="621" t="s">
        <v>1571</v>
      </c>
      <c r="T5" s="621" t="s">
        <v>1572</v>
      </c>
      <c r="U5" s="621" t="s">
        <v>1573</v>
      </c>
      <c r="V5" s="621" t="s">
        <v>1574</v>
      </c>
      <c r="W5" s="621" t="s">
        <v>1563</v>
      </c>
      <c r="X5" s="621" t="s">
        <v>1564</v>
      </c>
    </row>
    <row r="6" spans="1:24" ht="22.5" customHeight="1" x14ac:dyDescent="0.25">
      <c r="A6" s="800">
        <v>1</v>
      </c>
      <c r="B6" s="620">
        <v>2</v>
      </c>
      <c r="C6" s="620">
        <v>3</v>
      </c>
      <c r="D6" s="620">
        <v>4</v>
      </c>
      <c r="E6" s="620">
        <v>5</v>
      </c>
      <c r="F6" s="620">
        <v>6</v>
      </c>
      <c r="G6" s="620">
        <v>7</v>
      </c>
      <c r="H6" s="620">
        <v>8</v>
      </c>
      <c r="I6" s="620">
        <v>9</v>
      </c>
      <c r="J6" s="620">
        <v>10</v>
      </c>
      <c r="K6" s="620">
        <v>11</v>
      </c>
      <c r="L6" s="620">
        <v>12</v>
      </c>
      <c r="M6" s="620">
        <v>1</v>
      </c>
      <c r="N6" s="620">
        <v>2</v>
      </c>
      <c r="O6" s="620">
        <v>3</v>
      </c>
      <c r="P6" s="620">
        <v>4</v>
      </c>
      <c r="Q6" s="620">
        <v>5</v>
      </c>
      <c r="R6" s="620">
        <v>6</v>
      </c>
      <c r="S6" s="620">
        <v>7</v>
      </c>
      <c r="T6" s="620">
        <v>8</v>
      </c>
      <c r="U6" s="620">
        <v>9</v>
      </c>
      <c r="V6" s="620">
        <v>10</v>
      </c>
      <c r="W6" s="620">
        <v>11</v>
      </c>
      <c r="X6" s="620">
        <v>12</v>
      </c>
    </row>
    <row r="7" spans="1:24" ht="39.75" customHeight="1" x14ac:dyDescent="0.25">
      <c r="A7" s="801">
        <v>1</v>
      </c>
      <c r="B7" s="622" t="str">
        <f>B31</f>
        <v>Подготовка эскизных вариантов общих композиционных, планировочных, архитектурных решений</v>
      </c>
      <c r="C7" s="650" t="s">
        <v>1575</v>
      </c>
      <c r="D7" s="650" t="s">
        <v>2372</v>
      </c>
      <c r="E7" s="624">
        <f>E31</f>
        <v>14</v>
      </c>
      <c r="F7" s="622"/>
      <c r="G7" s="622"/>
      <c r="H7" s="622"/>
      <c r="I7" s="622"/>
      <c r="J7" s="622"/>
      <c r="K7" s="622"/>
      <c r="L7" s="622"/>
      <c r="M7" s="622"/>
      <c r="N7" s="622"/>
      <c r="O7" s="622"/>
      <c r="P7" s="622"/>
      <c r="Q7" s="622"/>
      <c r="R7" s="622"/>
      <c r="S7" s="622"/>
      <c r="T7" s="622"/>
      <c r="U7" s="622"/>
      <c r="V7" s="622"/>
      <c r="W7" s="622"/>
      <c r="X7" s="622"/>
    </row>
    <row r="8" spans="1:24" ht="38.25" x14ac:dyDescent="0.25">
      <c r="A8" s="801">
        <v>2</v>
      </c>
      <c r="B8" s="622" t="str">
        <f t="shared" ref="B8:B18" si="0">B32</f>
        <v>Разработка концепции «Благоустройство туристической деревни Поляна Азау и прилегающей территории»</v>
      </c>
      <c r="C8" s="650" t="s">
        <v>1575</v>
      </c>
      <c r="D8" s="650" t="s">
        <v>2365</v>
      </c>
      <c r="E8" s="624">
        <f t="shared" ref="E8:E18" si="1">E32</f>
        <v>44</v>
      </c>
      <c r="F8" s="622"/>
      <c r="G8" s="622"/>
      <c r="H8" s="622"/>
      <c r="I8" s="622"/>
      <c r="J8" s="622"/>
      <c r="K8" s="622"/>
      <c r="L8" s="622"/>
      <c r="M8" s="622"/>
      <c r="N8" s="622"/>
      <c r="O8" s="622"/>
      <c r="P8" s="622"/>
      <c r="Q8" s="622"/>
      <c r="R8" s="622"/>
      <c r="S8" s="622"/>
      <c r="T8" s="622"/>
      <c r="U8" s="622"/>
      <c r="V8" s="622"/>
      <c r="W8" s="622"/>
      <c r="X8" s="622"/>
    </row>
    <row r="9" spans="1:24" ht="24.75" customHeight="1" x14ac:dyDescent="0.25">
      <c r="A9" s="801">
        <v>3</v>
      </c>
      <c r="B9" s="622" t="str">
        <f t="shared" si="0"/>
        <v xml:space="preserve">Инженерные изыскания </v>
      </c>
      <c r="C9" s="650"/>
      <c r="D9" s="650"/>
      <c r="E9" s="624"/>
      <c r="F9" s="622"/>
      <c r="G9" s="622"/>
      <c r="H9" s="622"/>
      <c r="I9" s="622"/>
      <c r="J9" s="622"/>
      <c r="K9" s="622"/>
      <c r="L9" s="622"/>
      <c r="M9" s="622"/>
      <c r="N9" s="622"/>
      <c r="O9" s="622"/>
      <c r="P9" s="622"/>
      <c r="Q9" s="622"/>
      <c r="R9" s="622"/>
      <c r="S9" s="622"/>
      <c r="T9" s="622"/>
      <c r="U9" s="622"/>
      <c r="V9" s="622"/>
      <c r="W9" s="622"/>
      <c r="X9" s="622"/>
    </row>
    <row r="10" spans="1:24" ht="24.75" customHeight="1" x14ac:dyDescent="0.25">
      <c r="A10" s="801" t="s">
        <v>556</v>
      </c>
      <c r="B10" s="622" t="str">
        <f t="shared" si="0"/>
        <v>инженерно-геодезические изыскания</v>
      </c>
      <c r="C10" s="650" t="s">
        <v>1575</v>
      </c>
      <c r="D10" s="650" t="s">
        <v>2369</v>
      </c>
      <c r="E10" s="624">
        <f t="shared" si="1"/>
        <v>120</v>
      </c>
      <c r="F10" s="623"/>
      <c r="G10" s="623"/>
      <c r="H10" s="623"/>
      <c r="I10" s="623"/>
      <c r="J10" s="623"/>
      <c r="K10" s="623"/>
      <c r="L10" s="623"/>
      <c r="M10" s="623"/>
      <c r="N10" s="623"/>
      <c r="O10" s="623"/>
      <c r="P10" s="623"/>
      <c r="Q10" s="623"/>
      <c r="R10" s="623"/>
      <c r="S10" s="623"/>
      <c r="T10" s="623"/>
      <c r="U10" s="623"/>
      <c r="V10" s="623"/>
      <c r="W10" s="623"/>
      <c r="X10" s="623"/>
    </row>
    <row r="11" spans="1:24" ht="24.75" customHeight="1" x14ac:dyDescent="0.25">
      <c r="A11" s="801" t="s">
        <v>1336</v>
      </c>
      <c r="B11" s="622" t="str">
        <f t="shared" si="0"/>
        <v>инженерно-гидрометеорологические изыскания</v>
      </c>
      <c r="C11" s="650" t="s">
        <v>1575</v>
      </c>
      <c r="D11" s="650" t="s">
        <v>2369</v>
      </c>
      <c r="E11" s="624">
        <f t="shared" si="1"/>
        <v>120</v>
      </c>
      <c r="F11" s="622"/>
      <c r="G11" s="622"/>
      <c r="H11" s="622"/>
      <c r="I11" s="622"/>
      <c r="J11" s="622"/>
      <c r="K11" s="622"/>
      <c r="L11" s="622"/>
      <c r="M11" s="622"/>
      <c r="N11" s="622"/>
      <c r="O11" s="622"/>
      <c r="P11" s="622"/>
      <c r="Q11" s="622"/>
      <c r="R11" s="622"/>
      <c r="S11" s="622"/>
      <c r="T11" s="622"/>
      <c r="U11" s="622"/>
      <c r="V11" s="622"/>
      <c r="W11" s="622"/>
      <c r="X11" s="622"/>
    </row>
    <row r="12" spans="1:24" ht="24.75" customHeight="1" x14ac:dyDescent="0.25">
      <c r="A12" s="801" t="s">
        <v>1337</v>
      </c>
      <c r="B12" s="622" t="str">
        <f t="shared" si="0"/>
        <v>инженерно-экологические изыскания</v>
      </c>
      <c r="C12" s="650" t="s">
        <v>1575</v>
      </c>
      <c r="D12" s="650" t="s">
        <v>2369</v>
      </c>
      <c r="E12" s="624">
        <f t="shared" si="1"/>
        <v>120</v>
      </c>
      <c r="F12" s="622"/>
      <c r="G12" s="622"/>
      <c r="H12" s="622"/>
      <c r="I12" s="622"/>
      <c r="J12" s="622"/>
      <c r="K12" s="622"/>
      <c r="L12" s="622"/>
      <c r="M12" s="622"/>
      <c r="N12" s="622"/>
      <c r="O12" s="622"/>
      <c r="P12" s="622"/>
      <c r="Q12" s="622"/>
      <c r="R12" s="622"/>
      <c r="S12" s="622"/>
      <c r="T12" s="622"/>
      <c r="U12" s="622"/>
      <c r="V12" s="622"/>
      <c r="W12" s="622"/>
      <c r="X12" s="622"/>
    </row>
    <row r="13" spans="1:24" ht="24.75" customHeight="1" x14ac:dyDescent="0.25">
      <c r="A13" s="801" t="s">
        <v>1338</v>
      </c>
      <c r="B13" s="622" t="str">
        <f t="shared" si="0"/>
        <v>инженерно-геологические изыскания</v>
      </c>
      <c r="C13" s="650" t="s">
        <v>1575</v>
      </c>
      <c r="D13" s="650" t="s">
        <v>2369</v>
      </c>
      <c r="E13" s="624">
        <f t="shared" si="1"/>
        <v>120</v>
      </c>
      <c r="F13" s="622"/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622"/>
      <c r="R13" s="622"/>
      <c r="S13" s="622"/>
      <c r="T13" s="622"/>
      <c r="U13" s="622"/>
      <c r="V13" s="622"/>
      <c r="W13" s="622"/>
      <c r="X13" s="622"/>
    </row>
    <row r="14" spans="1:24" ht="24.75" customHeight="1" x14ac:dyDescent="0.25">
      <c r="A14" s="801" t="s">
        <v>483</v>
      </c>
      <c r="B14" s="622" t="str">
        <f t="shared" si="0"/>
        <v>Проектные работы, в том числе:</v>
      </c>
      <c r="C14" s="650"/>
      <c r="D14" s="650"/>
      <c r="E14" s="624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</row>
    <row r="15" spans="1:24" ht="24.75" customHeight="1" x14ac:dyDescent="0.25">
      <c r="A15" s="801" t="s">
        <v>515</v>
      </c>
      <c r="B15" s="622" t="str">
        <f t="shared" si="0"/>
        <v>- разработка основных технических решений</v>
      </c>
      <c r="C15" s="650" t="s">
        <v>2366</v>
      </c>
      <c r="D15" s="650" t="s">
        <v>2370</v>
      </c>
      <c r="E15" s="624">
        <f t="shared" si="1"/>
        <v>120</v>
      </c>
      <c r="F15" s="622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</row>
    <row r="16" spans="1:24" ht="24.75" customHeight="1" x14ac:dyDescent="0.25">
      <c r="A16" s="801" t="s">
        <v>1354</v>
      </c>
      <c r="B16" s="622" t="str">
        <f t="shared" si="0"/>
        <v>- разработка проектной и сметной документации</v>
      </c>
      <c r="C16" s="650" t="s">
        <v>2366</v>
      </c>
      <c r="D16" s="650" t="s">
        <v>2371</v>
      </c>
      <c r="E16" s="624">
        <f t="shared" si="1"/>
        <v>176</v>
      </c>
      <c r="F16" s="622"/>
      <c r="G16" s="622"/>
      <c r="H16" s="622"/>
      <c r="I16" s="622"/>
      <c r="J16" s="622"/>
      <c r="K16" s="622"/>
      <c r="L16" s="622"/>
      <c r="M16" s="622"/>
      <c r="N16" s="622"/>
      <c r="O16" s="622"/>
      <c r="P16" s="622"/>
      <c r="Q16" s="622"/>
      <c r="R16" s="622"/>
      <c r="S16" s="622"/>
      <c r="T16" s="622"/>
      <c r="U16" s="622"/>
      <c r="V16" s="622"/>
      <c r="W16" s="622"/>
      <c r="X16" s="622"/>
    </row>
    <row r="17" spans="1:24" ht="25.5" x14ac:dyDescent="0.25">
      <c r="A17" s="801" t="s">
        <v>485</v>
      </c>
      <c r="B17" s="622" t="str">
        <f t="shared" si="0"/>
        <v>Экологическая экспертиза, в том числе общественные слушания</v>
      </c>
      <c r="C17" s="650" t="s">
        <v>2368</v>
      </c>
      <c r="D17" s="650" t="s">
        <v>2367</v>
      </c>
      <c r="E17" s="624">
        <f t="shared" si="1"/>
        <v>69</v>
      </c>
      <c r="F17" s="622"/>
      <c r="G17" s="622"/>
      <c r="H17" s="622"/>
      <c r="I17" s="622"/>
      <c r="J17" s="622"/>
      <c r="K17" s="622"/>
      <c r="L17" s="622"/>
      <c r="M17" s="622"/>
      <c r="N17" s="622"/>
      <c r="O17" s="622"/>
      <c r="P17" s="622"/>
      <c r="Q17" s="622"/>
      <c r="R17" s="622"/>
      <c r="S17" s="622"/>
      <c r="T17" s="622"/>
      <c r="U17" s="622"/>
      <c r="V17" s="622"/>
      <c r="W17" s="622"/>
      <c r="X17" s="622"/>
    </row>
    <row r="18" spans="1:24" x14ac:dyDescent="0.25">
      <c r="A18" s="801" t="s">
        <v>523</v>
      </c>
      <c r="B18" s="622" t="str">
        <f t="shared" si="0"/>
        <v>Государственная экспертиза</v>
      </c>
      <c r="C18" s="650" t="s">
        <v>2368</v>
      </c>
      <c r="D18" s="650" t="s">
        <v>2367</v>
      </c>
      <c r="E18" s="624">
        <f t="shared" si="1"/>
        <v>69</v>
      </c>
      <c r="F18" s="623"/>
      <c r="G18" s="623"/>
      <c r="H18" s="623"/>
      <c r="I18" s="623"/>
      <c r="J18" s="623"/>
      <c r="K18" s="623"/>
      <c r="L18" s="623"/>
      <c r="M18" s="623"/>
      <c r="N18" s="623"/>
      <c r="O18" s="623"/>
      <c r="P18" s="623"/>
      <c r="Q18" s="623"/>
      <c r="R18" s="623"/>
      <c r="S18" s="623"/>
      <c r="T18" s="623"/>
      <c r="U18" s="623"/>
      <c r="V18" s="623"/>
      <c r="W18" s="623"/>
      <c r="X18" s="623"/>
    </row>
    <row r="23" spans="1:24" hidden="1" outlineLevel="1" x14ac:dyDescent="0.25">
      <c r="A23" s="976" t="s">
        <v>1617</v>
      </c>
      <c r="B23" s="976"/>
      <c r="C23" s="976"/>
      <c r="D23" s="976"/>
      <c r="E23" s="640"/>
    </row>
    <row r="24" spans="1:24" hidden="1" outlineLevel="1" x14ac:dyDescent="0.25">
      <c r="A24" s="976" t="s">
        <v>1618</v>
      </c>
      <c r="B24" s="976"/>
      <c r="C24" s="976"/>
      <c r="D24" s="976"/>
      <c r="E24" s="640"/>
    </row>
    <row r="25" spans="1:24" ht="15.75" hidden="1" outlineLevel="1" thickBot="1" x14ac:dyDescent="0.3">
      <c r="A25" s="977" t="s">
        <v>1619</v>
      </c>
      <c r="B25" s="977"/>
      <c r="C25" s="977"/>
      <c r="D25" s="977"/>
      <c r="E25" s="640"/>
    </row>
    <row r="26" spans="1:24" hidden="1" outlineLevel="1" x14ac:dyDescent="0.25">
      <c r="A26" s="966" t="s">
        <v>57</v>
      </c>
      <c r="B26" s="969" t="s">
        <v>360</v>
      </c>
      <c r="C26" s="972" t="s">
        <v>1559</v>
      </c>
      <c r="D26" s="973"/>
      <c r="E26" s="641"/>
    </row>
    <row r="27" spans="1:24" ht="15.75" hidden="1" outlineLevel="1" thickBot="1" x14ac:dyDescent="0.3">
      <c r="A27" s="967"/>
      <c r="B27" s="970"/>
      <c r="C27" s="974"/>
      <c r="D27" s="975"/>
      <c r="E27" s="641"/>
    </row>
    <row r="28" spans="1:24" hidden="1" outlineLevel="1" x14ac:dyDescent="0.25">
      <c r="A28" s="967"/>
      <c r="B28" s="970"/>
      <c r="C28" s="966" t="s">
        <v>1560</v>
      </c>
      <c r="D28" s="966" t="s">
        <v>1561</v>
      </c>
      <c r="E28" s="641"/>
    </row>
    <row r="29" spans="1:24" ht="15.75" hidden="1" outlineLevel="1" thickBot="1" x14ac:dyDescent="0.3">
      <c r="A29" s="968"/>
      <c r="B29" s="971"/>
      <c r="C29" s="968"/>
      <c r="D29" s="968"/>
      <c r="E29" s="641"/>
    </row>
    <row r="30" spans="1:24" ht="15.75" hidden="1" outlineLevel="1" thickBot="1" x14ac:dyDescent="0.3">
      <c r="A30" s="642">
        <v>1</v>
      </c>
      <c r="B30" s="643">
        <v>2</v>
      </c>
      <c r="C30" s="643">
        <v>3</v>
      </c>
      <c r="D30" s="643">
        <v>4</v>
      </c>
      <c r="E30" s="641"/>
      <c r="F30" s="649"/>
    </row>
    <row r="31" spans="1:24" ht="58.5" hidden="1" customHeight="1" outlineLevel="1" thickBot="1" x14ac:dyDescent="0.3">
      <c r="A31" s="647">
        <v>1</v>
      </c>
      <c r="B31" s="644" t="s">
        <v>1629</v>
      </c>
      <c r="C31" s="646">
        <v>45078</v>
      </c>
      <c r="D31" s="648">
        <v>45092</v>
      </c>
      <c r="E31" s="641">
        <f t="shared" ref="E31:E39" si="2">D31-C31</f>
        <v>14</v>
      </c>
      <c r="F31" s="962"/>
      <c r="G31" s="962"/>
      <c r="H31" s="962"/>
      <c r="I31" s="962"/>
      <c r="J31" s="962"/>
      <c r="K31" s="962"/>
      <c r="L31" s="962"/>
      <c r="M31" s="962"/>
      <c r="N31" s="962"/>
      <c r="O31" s="962"/>
      <c r="P31" s="962"/>
      <c r="S31" s="649"/>
      <c r="T31" s="961"/>
      <c r="U31" s="961"/>
      <c r="V31" s="961"/>
    </row>
    <row r="32" spans="1:24" ht="39" hidden="1" outlineLevel="1" thickBot="1" x14ac:dyDescent="0.3">
      <c r="A32" s="647">
        <v>2</v>
      </c>
      <c r="B32" s="644" t="s">
        <v>1620</v>
      </c>
      <c r="C32" s="646">
        <v>45078</v>
      </c>
      <c r="D32" s="646">
        <v>45122</v>
      </c>
      <c r="E32" s="641">
        <f t="shared" si="2"/>
        <v>44</v>
      </c>
    </row>
    <row r="33" spans="1:5" ht="15.75" hidden="1" outlineLevel="1" thickBot="1" x14ac:dyDescent="0.3">
      <c r="A33" s="647">
        <v>3</v>
      </c>
      <c r="B33" s="644" t="s">
        <v>1621</v>
      </c>
      <c r="C33" s="645"/>
      <c r="D33" s="645"/>
      <c r="E33" s="641"/>
    </row>
    <row r="34" spans="1:5" ht="15.75" hidden="1" outlineLevel="1" thickBot="1" x14ac:dyDescent="0.3">
      <c r="A34" s="647" t="s">
        <v>556</v>
      </c>
      <c r="B34" s="644" t="s">
        <v>1622</v>
      </c>
      <c r="C34" s="646">
        <v>45078</v>
      </c>
      <c r="D34" s="646">
        <v>45198</v>
      </c>
      <c r="E34" s="641">
        <f t="shared" si="2"/>
        <v>120</v>
      </c>
    </row>
    <row r="35" spans="1:5" ht="26.25" hidden="1" outlineLevel="1" thickBot="1" x14ac:dyDescent="0.3">
      <c r="A35" s="647" t="s">
        <v>1336</v>
      </c>
      <c r="B35" s="644" t="s">
        <v>1623</v>
      </c>
      <c r="C35" s="646">
        <v>45078</v>
      </c>
      <c r="D35" s="646">
        <v>45198</v>
      </c>
      <c r="E35" s="641">
        <f t="shared" si="2"/>
        <v>120</v>
      </c>
    </row>
    <row r="36" spans="1:5" ht="15.75" hidden="1" outlineLevel="1" thickBot="1" x14ac:dyDescent="0.3">
      <c r="A36" s="647" t="s">
        <v>1337</v>
      </c>
      <c r="B36" s="644" t="s">
        <v>1624</v>
      </c>
      <c r="C36" s="646">
        <v>45078</v>
      </c>
      <c r="D36" s="646">
        <v>45198</v>
      </c>
      <c r="E36" s="641">
        <f t="shared" si="2"/>
        <v>120</v>
      </c>
    </row>
    <row r="37" spans="1:5" ht="15.75" hidden="1" outlineLevel="1" thickBot="1" x14ac:dyDescent="0.3">
      <c r="A37" s="647" t="s">
        <v>1338</v>
      </c>
      <c r="B37" s="644" t="s">
        <v>1625</v>
      </c>
      <c r="C37" s="646">
        <v>45078</v>
      </c>
      <c r="D37" s="646">
        <v>45198</v>
      </c>
      <c r="E37" s="641">
        <f t="shared" si="2"/>
        <v>120</v>
      </c>
    </row>
    <row r="38" spans="1:5" ht="15.75" hidden="1" outlineLevel="1" thickBot="1" x14ac:dyDescent="0.3">
      <c r="A38" s="647">
        <v>4</v>
      </c>
      <c r="B38" s="644" t="s">
        <v>1626</v>
      </c>
      <c r="C38" s="645"/>
      <c r="D38" s="645"/>
      <c r="E38" s="641"/>
    </row>
    <row r="39" spans="1:5" ht="26.25" hidden="1" outlineLevel="1" thickBot="1" x14ac:dyDescent="0.3">
      <c r="A39" s="647" t="s">
        <v>515</v>
      </c>
      <c r="B39" s="644" t="s">
        <v>1627</v>
      </c>
      <c r="C39" s="646">
        <v>45078</v>
      </c>
      <c r="D39" s="646">
        <v>45198</v>
      </c>
      <c r="E39" s="641">
        <f t="shared" si="2"/>
        <v>120</v>
      </c>
    </row>
    <row r="40" spans="1:5" s="814" customFormat="1" ht="26.25" hidden="1" outlineLevel="1" thickBot="1" x14ac:dyDescent="0.3">
      <c r="A40" s="810" t="s">
        <v>1354</v>
      </c>
      <c r="B40" s="811" t="s">
        <v>1628</v>
      </c>
      <c r="C40" s="812">
        <v>45078</v>
      </c>
      <c r="D40" s="812">
        <v>45254</v>
      </c>
      <c r="E40" s="813">
        <f>D40-C40</f>
        <v>176</v>
      </c>
    </row>
    <row r="41" spans="1:5" ht="26.25" hidden="1" outlineLevel="1" thickBot="1" x14ac:dyDescent="0.3">
      <c r="A41" s="647">
        <v>5</v>
      </c>
      <c r="B41" s="644" t="s">
        <v>1576</v>
      </c>
      <c r="C41" s="646">
        <v>45278</v>
      </c>
      <c r="D41" s="646">
        <v>45347</v>
      </c>
      <c r="E41" s="641">
        <f>D41-C41</f>
        <v>69</v>
      </c>
    </row>
    <row r="42" spans="1:5" ht="15.75" hidden="1" outlineLevel="1" thickBot="1" x14ac:dyDescent="0.3">
      <c r="A42" s="647">
        <v>6</v>
      </c>
      <c r="B42" s="644" t="s">
        <v>1577</v>
      </c>
      <c r="C42" s="646">
        <v>45278</v>
      </c>
      <c r="D42" s="646">
        <v>45347</v>
      </c>
      <c r="E42" s="641">
        <f>D42-C42</f>
        <v>69</v>
      </c>
    </row>
    <row r="43" spans="1:5" collapsed="1" x14ac:dyDescent="0.25"/>
  </sheetData>
  <mergeCells count="16">
    <mergeCell ref="T31:V31"/>
    <mergeCell ref="F31:P31"/>
    <mergeCell ref="M3:X4"/>
    <mergeCell ref="A1:X2"/>
    <mergeCell ref="A26:A29"/>
    <mergeCell ref="B26:B29"/>
    <mergeCell ref="C26:D27"/>
    <mergeCell ref="C28:C29"/>
    <mergeCell ref="D28:D29"/>
    <mergeCell ref="A23:D23"/>
    <mergeCell ref="A24:D24"/>
    <mergeCell ref="A25:D25"/>
    <mergeCell ref="A3:A5"/>
    <mergeCell ref="B3:B5"/>
    <mergeCell ref="C3:E4"/>
    <mergeCell ref="F3:L4"/>
  </mergeCells>
  <pageMargins left="0.70866141732283472" right="0.70866141732283472" top="0.74803149606299213" bottom="0.74803149606299213" header="0.31496062992125984" footer="0.31496062992125984"/>
  <pageSetup paperSize="9" scale="71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showGridLines="0" view="pageBreakPreview" topLeftCell="A36" zoomScaleNormal="115" zoomScaleSheetLayoutView="100" workbookViewId="0">
      <selection activeCell="G61" sqref="G61"/>
    </sheetView>
  </sheetViews>
  <sheetFormatPr defaultColWidth="8.85546875" defaultRowHeight="12.75" outlineLevelRow="1" x14ac:dyDescent="0.2"/>
  <cols>
    <col min="1" max="1" width="4.7109375" style="758" customWidth="1"/>
    <col min="2" max="2" width="53.7109375" style="758" customWidth="1"/>
    <col min="3" max="3" width="17.42578125" style="758" customWidth="1"/>
    <col min="4" max="4" width="7.28515625" style="758" customWidth="1"/>
    <col min="5" max="5" width="27.42578125" style="758" customWidth="1"/>
    <col min="6" max="6" width="28.7109375" style="758" customWidth="1"/>
    <col min="7" max="7" width="12.140625" style="393" customWidth="1"/>
    <col min="8" max="9" width="8.85546875" style="758"/>
    <col min="10" max="10" width="16" style="758" customWidth="1"/>
    <col min="11" max="16384" width="8.85546875" style="758"/>
  </cols>
  <sheetData>
    <row r="1" spans="1:7" x14ac:dyDescent="0.2">
      <c r="B1" s="760"/>
      <c r="C1" s="760"/>
      <c r="G1" s="789" t="s">
        <v>2143</v>
      </c>
    </row>
    <row r="2" spans="1:7" s="630" customFormat="1" x14ac:dyDescent="0.2">
      <c r="A2" s="655"/>
      <c r="B2" s="655"/>
      <c r="C2" s="656"/>
      <c r="D2" s="656"/>
      <c r="E2" s="656"/>
      <c r="F2" s="656"/>
      <c r="G2" s="656"/>
    </row>
    <row r="3" spans="1:7" s="630" customFormat="1" x14ac:dyDescent="0.2">
      <c r="A3" s="657"/>
      <c r="B3" s="1088" t="str">
        <f>'Cводная смета ПИР'!D15</f>
        <v>Смета № 3-из</v>
      </c>
      <c r="C3" s="1134"/>
      <c r="D3" s="1134"/>
      <c r="E3" s="1134"/>
      <c r="F3" s="1134"/>
      <c r="G3" s="657"/>
    </row>
    <row r="4" spans="1:7" s="630" customFormat="1" x14ac:dyDescent="0.2">
      <c r="A4" s="657"/>
      <c r="B4" s="1090" t="s">
        <v>2364</v>
      </c>
      <c r="C4" s="1090"/>
      <c r="D4" s="1090"/>
      <c r="E4" s="1090"/>
      <c r="F4" s="1090"/>
      <c r="G4" s="657"/>
    </row>
    <row r="5" spans="1:7" s="630" customFormat="1" x14ac:dyDescent="0.2">
      <c r="A5" s="657"/>
      <c r="B5" s="658"/>
      <c r="C5" s="658"/>
      <c r="D5" s="658"/>
      <c r="E5" s="658"/>
      <c r="F5" s="658"/>
      <c r="G5" s="657"/>
    </row>
    <row r="6" spans="1:7" s="630" customFormat="1" ht="25.5" customHeight="1" x14ac:dyDescent="0.2">
      <c r="A6" s="1091" t="s">
        <v>1641</v>
      </c>
      <c r="B6" s="1091"/>
      <c r="C6" s="1091"/>
      <c r="D6" s="1092" t="s">
        <v>2138</v>
      </c>
      <c r="E6" s="1092"/>
      <c r="F6" s="1092"/>
      <c r="G6" s="1092"/>
    </row>
    <row r="7" spans="1:7" s="630" customFormat="1" x14ac:dyDescent="0.2">
      <c r="A7" s="657"/>
      <c r="B7" s="657"/>
      <c r="C7" s="659"/>
      <c r="D7" s="659"/>
      <c r="E7" s="659"/>
      <c r="F7" s="657"/>
      <c r="G7" s="657"/>
    </row>
    <row r="8" spans="1:7" s="630" customFormat="1" ht="12.75" customHeight="1" x14ac:dyDescent="0.2">
      <c r="A8" s="1091" t="s">
        <v>1642</v>
      </c>
      <c r="B8" s="1091"/>
      <c r="C8" s="1091"/>
      <c r="D8" s="1096" t="s">
        <v>1743</v>
      </c>
      <c r="E8" s="1096"/>
      <c r="F8" s="1096"/>
      <c r="G8" s="1096"/>
    </row>
    <row r="9" spans="1:7" s="630" customFormat="1" x14ac:dyDescent="0.2">
      <c r="A9" s="660"/>
      <c r="B9" s="660"/>
      <c r="C9" s="661"/>
      <c r="D9" s="662"/>
      <c r="E9" s="662"/>
      <c r="F9" s="662"/>
      <c r="G9" s="662"/>
    </row>
    <row r="10" spans="1:7" s="630" customFormat="1" ht="12.75" customHeight="1" x14ac:dyDescent="0.2">
      <c r="A10" s="1091" t="s">
        <v>1643</v>
      </c>
      <c r="B10" s="1091"/>
      <c r="C10" s="1091"/>
      <c r="D10" s="1096" t="s">
        <v>1644</v>
      </c>
      <c r="E10" s="1096"/>
      <c r="F10" s="1096"/>
      <c r="G10" s="1096"/>
    </row>
    <row r="11" spans="1:7" s="630" customFormat="1" x14ac:dyDescent="0.2">
      <c r="A11" s="657"/>
      <c r="B11" s="657"/>
      <c r="C11" s="657"/>
      <c r="D11" s="1096"/>
      <c r="E11" s="1096"/>
      <c r="F11" s="1096"/>
      <c r="G11" s="1096"/>
    </row>
    <row r="12" spans="1:7" s="630" customFormat="1" ht="13.5" customHeight="1" x14ac:dyDescent="0.2">
      <c r="A12" s="1091" t="s">
        <v>1645</v>
      </c>
      <c r="B12" s="1091"/>
      <c r="C12" s="1091"/>
      <c r="D12" s="1096"/>
      <c r="E12" s="1096"/>
      <c r="F12" s="1096"/>
      <c r="G12" s="1096"/>
    </row>
    <row r="13" spans="1:7" s="630" customFormat="1" ht="12" customHeight="1" x14ac:dyDescent="0.2">
      <c r="A13" s="661"/>
      <c r="B13" s="661"/>
      <c r="C13" s="657"/>
      <c r="D13" s="1096"/>
      <c r="E13" s="1096"/>
      <c r="F13" s="1096"/>
      <c r="G13" s="1096"/>
    </row>
    <row r="14" spans="1:7" s="630" customFormat="1" ht="25.5" customHeight="1" x14ac:dyDescent="0.2">
      <c r="A14" s="1091" t="s">
        <v>2362</v>
      </c>
      <c r="B14" s="1097"/>
      <c r="C14" s="1097"/>
      <c r="D14" s="1097"/>
      <c r="E14" s="1097"/>
      <c r="F14" s="1097"/>
      <c r="G14" s="1097"/>
    </row>
    <row r="15" spans="1:7" s="630" customFormat="1" ht="12.75" customHeight="1" x14ac:dyDescent="0.2">
      <c r="A15" s="663"/>
      <c r="B15" s="664"/>
      <c r="C15" s="664"/>
      <c r="D15" s="664"/>
      <c r="E15" s="664"/>
      <c r="F15" s="664"/>
      <c r="G15" s="664"/>
    </row>
    <row r="16" spans="1:7" s="630" customFormat="1" ht="12.75" customHeight="1" x14ac:dyDescent="0.2">
      <c r="A16" s="1098" t="s">
        <v>1647</v>
      </c>
      <c r="B16" s="1098"/>
      <c r="C16" s="1098"/>
      <c r="D16" s="1098"/>
      <c r="E16" s="1098"/>
      <c r="F16" s="1098"/>
      <c r="G16" s="1098"/>
    </row>
    <row r="17" spans="1:7" x14ac:dyDescent="0.2">
      <c r="A17" s="754"/>
      <c r="B17" s="754"/>
      <c r="C17" s="755"/>
      <c r="D17" s="755"/>
      <c r="E17" s="756"/>
    </row>
    <row r="18" spans="1:7" ht="79.900000000000006" customHeight="1" x14ac:dyDescent="0.2">
      <c r="A18" s="757" t="s">
        <v>1468</v>
      </c>
      <c r="B18" s="759" t="s">
        <v>1523</v>
      </c>
      <c r="C18" s="759" t="s">
        <v>1206</v>
      </c>
      <c r="D18" s="759" t="s">
        <v>363</v>
      </c>
      <c r="E18" s="759" t="s">
        <v>1456</v>
      </c>
      <c r="F18" s="763" t="s">
        <v>2144</v>
      </c>
      <c r="G18" s="763" t="s">
        <v>2145</v>
      </c>
    </row>
    <row r="19" spans="1:7" x14ac:dyDescent="0.2">
      <c r="A19" s="768">
        <v>1</v>
      </c>
      <c r="B19" s="769">
        <v>2</v>
      </c>
      <c r="C19" s="769">
        <v>3</v>
      </c>
      <c r="D19" s="769">
        <v>4</v>
      </c>
      <c r="E19" s="769">
        <v>5</v>
      </c>
      <c r="F19" s="768">
        <v>6</v>
      </c>
      <c r="G19" s="790">
        <v>7</v>
      </c>
    </row>
    <row r="20" spans="1:7" ht="21" customHeight="1" x14ac:dyDescent="0.2">
      <c r="A20" s="1126" t="s">
        <v>2146</v>
      </c>
      <c r="B20" s="1127"/>
      <c r="C20" s="1127"/>
      <c r="D20" s="1127"/>
      <c r="E20" s="1127"/>
      <c r="F20" s="1127"/>
      <c r="G20" s="1127"/>
    </row>
    <row r="21" spans="1:7" ht="51" x14ac:dyDescent="0.2">
      <c r="A21" s="1128">
        <v>1</v>
      </c>
      <c r="B21" s="771" t="s">
        <v>2313</v>
      </c>
      <c r="C21" s="772" t="s">
        <v>2314</v>
      </c>
      <c r="D21" s="773">
        <v>20</v>
      </c>
      <c r="E21" s="774" t="s">
        <v>2315</v>
      </c>
      <c r="F21" s="773" t="s">
        <v>2316</v>
      </c>
      <c r="G21" s="791">
        <v>440</v>
      </c>
    </row>
    <row r="22" spans="1:7" ht="72" hidden="1" outlineLevel="1" x14ac:dyDescent="0.2">
      <c r="A22" s="1129"/>
      <c r="B22" s="775"/>
      <c r="C22" s="776"/>
      <c r="D22" s="777"/>
      <c r="E22" s="778" t="s">
        <v>2317</v>
      </c>
      <c r="F22" s="777"/>
      <c r="G22" s="792" t="s">
        <v>1514</v>
      </c>
    </row>
    <row r="23" spans="1:7" ht="180" hidden="1" outlineLevel="1" x14ac:dyDescent="0.2">
      <c r="A23" s="1129"/>
      <c r="B23" s="775"/>
      <c r="C23" s="776"/>
      <c r="D23" s="777"/>
      <c r="E23" s="778" t="s">
        <v>2318</v>
      </c>
      <c r="F23" s="777"/>
      <c r="G23" s="792" t="s">
        <v>1514</v>
      </c>
    </row>
    <row r="24" spans="1:7" ht="38.25" collapsed="1" x14ac:dyDescent="0.2">
      <c r="A24" s="1128">
        <v>2</v>
      </c>
      <c r="B24" s="771" t="s">
        <v>2319</v>
      </c>
      <c r="C24" s="772" t="s">
        <v>2314</v>
      </c>
      <c r="D24" s="773">
        <v>10</v>
      </c>
      <c r="E24" s="774" t="s">
        <v>2320</v>
      </c>
      <c r="F24" s="773" t="s">
        <v>2321</v>
      </c>
      <c r="G24" s="791">
        <v>170</v>
      </c>
    </row>
    <row r="25" spans="1:7" ht="72" hidden="1" outlineLevel="1" x14ac:dyDescent="0.2">
      <c r="A25" s="1129"/>
      <c r="B25" s="775"/>
      <c r="C25" s="776"/>
      <c r="D25" s="777"/>
      <c r="E25" s="778" t="s">
        <v>2322</v>
      </c>
      <c r="F25" s="777"/>
      <c r="G25" s="792" t="s">
        <v>1514</v>
      </c>
    </row>
    <row r="26" spans="1:7" ht="36" hidden="1" outlineLevel="1" x14ac:dyDescent="0.2">
      <c r="A26" s="1129"/>
      <c r="B26" s="775"/>
      <c r="C26" s="776"/>
      <c r="D26" s="777"/>
      <c r="E26" s="778" t="s">
        <v>2323</v>
      </c>
      <c r="F26" s="777"/>
      <c r="G26" s="792" t="s">
        <v>1514</v>
      </c>
    </row>
    <row r="27" spans="1:7" ht="180" hidden="1" outlineLevel="1" x14ac:dyDescent="0.2">
      <c r="A27" s="1129"/>
      <c r="B27" s="775"/>
      <c r="C27" s="776"/>
      <c r="D27" s="777"/>
      <c r="E27" s="778" t="s">
        <v>2324</v>
      </c>
      <c r="F27" s="777"/>
      <c r="G27" s="792" t="s">
        <v>1514</v>
      </c>
    </row>
    <row r="28" spans="1:7" ht="72" hidden="1" outlineLevel="1" x14ac:dyDescent="0.2">
      <c r="A28" s="1129"/>
      <c r="B28" s="775"/>
      <c r="C28" s="776"/>
      <c r="D28" s="777"/>
      <c r="E28" s="778" t="s">
        <v>2325</v>
      </c>
      <c r="F28" s="777"/>
      <c r="G28" s="792" t="s">
        <v>1514</v>
      </c>
    </row>
    <row r="29" spans="1:7" ht="60" hidden="1" outlineLevel="1" x14ac:dyDescent="0.2">
      <c r="A29" s="1129"/>
      <c r="B29" s="775"/>
      <c r="C29" s="776"/>
      <c r="D29" s="777"/>
      <c r="E29" s="778" t="s">
        <v>2326</v>
      </c>
      <c r="F29" s="777"/>
      <c r="G29" s="792" t="s">
        <v>1514</v>
      </c>
    </row>
    <row r="30" spans="1:7" ht="15" collapsed="1" x14ac:dyDescent="0.2">
      <c r="A30" s="770" t="s">
        <v>1654</v>
      </c>
      <c r="B30" s="1130" t="s">
        <v>2188</v>
      </c>
      <c r="C30" s="1131"/>
      <c r="D30" s="1131"/>
      <c r="E30" s="1131"/>
      <c r="F30" s="1131"/>
      <c r="G30" s="793"/>
    </row>
    <row r="31" spans="1:7" ht="15" x14ac:dyDescent="0.2">
      <c r="A31" s="770" t="s">
        <v>1654</v>
      </c>
      <c r="B31" s="1132" t="s">
        <v>2327</v>
      </c>
      <c r="C31" s="1133"/>
      <c r="D31" s="1133"/>
      <c r="E31" s="1133"/>
      <c r="F31" s="1133"/>
      <c r="G31" s="791">
        <v>610</v>
      </c>
    </row>
    <row r="32" spans="1:7" ht="18.75" customHeight="1" x14ac:dyDescent="0.2">
      <c r="A32" s="770"/>
      <c r="B32" s="1132" t="s">
        <v>2363</v>
      </c>
      <c r="C32" s="1133"/>
      <c r="D32" s="1133"/>
      <c r="E32" s="1133"/>
      <c r="F32" s="1133"/>
      <c r="G32" s="791">
        <v>520</v>
      </c>
    </row>
    <row r="33" spans="1:7" ht="42" customHeight="1" x14ac:dyDescent="0.2">
      <c r="A33" s="770" t="s">
        <v>1654</v>
      </c>
      <c r="B33" s="1132" t="s">
        <v>2328</v>
      </c>
      <c r="C33" s="1133"/>
      <c r="D33" s="1133"/>
      <c r="E33" s="1133"/>
      <c r="F33" s="1133"/>
      <c r="G33" s="791">
        <v>590</v>
      </c>
    </row>
    <row r="34" spans="1:7" ht="42" customHeight="1" x14ac:dyDescent="0.2">
      <c r="A34" s="770" t="s">
        <v>1654</v>
      </c>
      <c r="B34" s="1132" t="s">
        <v>2329</v>
      </c>
      <c r="C34" s="1133"/>
      <c r="D34" s="1133"/>
      <c r="E34" s="1133"/>
      <c r="F34" s="1133"/>
      <c r="G34" s="791">
        <v>800</v>
      </c>
    </row>
    <row r="35" spans="1:7" ht="27.95" customHeight="1" x14ac:dyDescent="0.2">
      <c r="A35" s="770" t="s">
        <v>1654</v>
      </c>
      <c r="B35" s="1132" t="s">
        <v>2330</v>
      </c>
      <c r="C35" s="1133"/>
      <c r="D35" s="1133"/>
      <c r="E35" s="1133"/>
      <c r="F35" s="1133"/>
      <c r="G35" s="791">
        <v>840</v>
      </c>
    </row>
    <row r="36" spans="1:7" ht="15" x14ac:dyDescent="0.2">
      <c r="A36" s="770" t="s">
        <v>1654</v>
      </c>
      <c r="B36" s="1130" t="s">
        <v>2197</v>
      </c>
      <c r="C36" s="1131"/>
      <c r="D36" s="1131"/>
      <c r="E36" s="1131"/>
      <c r="F36" s="1131"/>
      <c r="G36" s="793">
        <v>840</v>
      </c>
    </row>
    <row r="37" spans="1:7" ht="21" customHeight="1" x14ac:dyDescent="0.2">
      <c r="A37" s="1126" t="s">
        <v>2331</v>
      </c>
      <c r="B37" s="1127"/>
      <c r="C37" s="1127"/>
      <c r="D37" s="1127"/>
      <c r="E37" s="1127"/>
      <c r="F37" s="1127"/>
      <c r="G37" s="1127"/>
    </row>
    <row r="38" spans="1:7" ht="38.25" x14ac:dyDescent="0.2">
      <c r="A38" s="1128">
        <v>3</v>
      </c>
      <c r="B38" s="771" t="s">
        <v>2332</v>
      </c>
      <c r="C38" s="772" t="s">
        <v>2333</v>
      </c>
      <c r="D38" s="773">
        <v>40</v>
      </c>
      <c r="E38" s="774" t="s">
        <v>2334</v>
      </c>
      <c r="F38" s="773" t="s">
        <v>2335</v>
      </c>
      <c r="G38" s="791">
        <v>600</v>
      </c>
    </row>
    <row r="39" spans="1:7" ht="96" hidden="1" outlineLevel="1" x14ac:dyDescent="0.2">
      <c r="A39" s="1129"/>
      <c r="B39" s="775"/>
      <c r="C39" s="776"/>
      <c r="D39" s="777"/>
      <c r="E39" s="778" t="s">
        <v>2336</v>
      </c>
      <c r="F39" s="777"/>
      <c r="G39" s="792" t="s">
        <v>1514</v>
      </c>
    </row>
    <row r="40" spans="1:7" ht="38.25" collapsed="1" x14ac:dyDescent="0.2">
      <c r="A40" s="1128">
        <v>4</v>
      </c>
      <c r="B40" s="771" t="s">
        <v>2337</v>
      </c>
      <c r="C40" s="772" t="s">
        <v>2338</v>
      </c>
      <c r="D40" s="773">
        <v>20</v>
      </c>
      <c r="E40" s="774" t="s">
        <v>2339</v>
      </c>
      <c r="F40" s="773" t="s">
        <v>2340</v>
      </c>
      <c r="G40" s="791">
        <v>990</v>
      </c>
    </row>
    <row r="41" spans="1:7" ht="84" hidden="1" outlineLevel="1" x14ac:dyDescent="0.2">
      <c r="A41" s="1129"/>
      <c r="B41" s="775"/>
      <c r="C41" s="776"/>
      <c r="D41" s="777"/>
      <c r="E41" s="778" t="s">
        <v>2341</v>
      </c>
      <c r="F41" s="777"/>
      <c r="G41" s="792" t="s">
        <v>1514</v>
      </c>
    </row>
    <row r="42" spans="1:7" ht="25.5" collapsed="1" x14ac:dyDescent="0.2">
      <c r="A42" s="770">
        <v>6</v>
      </c>
      <c r="B42" s="771" t="s">
        <v>2342</v>
      </c>
      <c r="C42" s="772" t="s">
        <v>1465</v>
      </c>
      <c r="D42" s="773">
        <v>1</v>
      </c>
      <c r="E42" s="774" t="s">
        <v>2343</v>
      </c>
      <c r="F42" s="773" t="s">
        <v>2344</v>
      </c>
      <c r="G42" s="791">
        <v>200</v>
      </c>
    </row>
    <row r="43" spans="1:7" ht="51" x14ac:dyDescent="0.2">
      <c r="A43" s="770">
        <v>5</v>
      </c>
      <c r="B43" s="771" t="s">
        <v>2345</v>
      </c>
      <c r="C43" s="772" t="s">
        <v>1466</v>
      </c>
      <c r="D43" s="773">
        <v>1</v>
      </c>
      <c r="E43" s="774" t="s">
        <v>2346</v>
      </c>
      <c r="F43" s="773" t="s">
        <v>2347</v>
      </c>
      <c r="G43" s="791" t="s">
        <v>2348</v>
      </c>
    </row>
    <row r="44" spans="1:7" ht="15" x14ac:dyDescent="0.2">
      <c r="A44" s="770" t="s">
        <v>1654</v>
      </c>
      <c r="B44" s="1130" t="s">
        <v>2349</v>
      </c>
      <c r="C44" s="1131"/>
      <c r="D44" s="1131"/>
      <c r="E44" s="1131"/>
      <c r="F44" s="1131"/>
      <c r="G44" s="793"/>
    </row>
    <row r="45" spans="1:7" ht="15" x14ac:dyDescent="0.2">
      <c r="A45" s="770" t="s">
        <v>1654</v>
      </c>
      <c r="B45" s="1132" t="s">
        <v>2350</v>
      </c>
      <c r="C45" s="1133"/>
      <c r="D45" s="1133"/>
      <c r="E45" s="1133"/>
      <c r="F45" s="1133"/>
      <c r="G45" s="791" t="s">
        <v>2351</v>
      </c>
    </row>
    <row r="46" spans="1:7" ht="27.95" customHeight="1" x14ac:dyDescent="0.2">
      <c r="A46" s="770" t="s">
        <v>1654</v>
      </c>
      <c r="B46" s="1132" t="s">
        <v>2330</v>
      </c>
      <c r="C46" s="1133"/>
      <c r="D46" s="1133"/>
      <c r="E46" s="1133"/>
      <c r="F46" s="1133"/>
      <c r="G46" s="791" t="s">
        <v>2352</v>
      </c>
    </row>
    <row r="47" spans="1:7" ht="15" x14ac:dyDescent="0.2">
      <c r="A47" s="770" t="s">
        <v>1654</v>
      </c>
      <c r="B47" s="1130" t="s">
        <v>2353</v>
      </c>
      <c r="C47" s="1131"/>
      <c r="D47" s="1131"/>
      <c r="E47" s="1131"/>
      <c r="F47" s="1131"/>
      <c r="G47" s="793" t="s">
        <v>2352</v>
      </c>
    </row>
    <row r="48" spans="1:7" ht="15" x14ac:dyDescent="0.2">
      <c r="A48" s="770" t="s">
        <v>1654</v>
      </c>
      <c r="B48" s="1130" t="s">
        <v>2282</v>
      </c>
      <c r="C48" s="1131"/>
      <c r="D48" s="1131"/>
      <c r="E48" s="1131"/>
      <c r="F48" s="1131"/>
      <c r="G48" s="793"/>
    </row>
    <row r="49" spans="1:7" ht="15" x14ac:dyDescent="0.2">
      <c r="A49" s="770" t="s">
        <v>1654</v>
      </c>
      <c r="B49" s="1132" t="s">
        <v>2354</v>
      </c>
      <c r="C49" s="1133"/>
      <c r="D49" s="1133"/>
      <c r="E49" s="1133"/>
      <c r="F49" s="1133"/>
      <c r="G49" s="791">
        <v>840</v>
      </c>
    </row>
    <row r="50" spans="1:7" ht="15" x14ac:dyDescent="0.2">
      <c r="A50" s="770" t="s">
        <v>1654</v>
      </c>
      <c r="B50" s="1132" t="s">
        <v>2355</v>
      </c>
      <c r="C50" s="1133"/>
      <c r="D50" s="1133"/>
      <c r="E50" s="1133"/>
      <c r="F50" s="1133"/>
      <c r="G50" s="791">
        <v>520</v>
      </c>
    </row>
    <row r="51" spans="1:7" ht="42" customHeight="1" x14ac:dyDescent="0.2">
      <c r="A51" s="770" t="s">
        <v>1654</v>
      </c>
      <c r="B51" s="1132" t="s">
        <v>2356</v>
      </c>
      <c r="C51" s="1133"/>
      <c r="D51" s="1133"/>
      <c r="E51" s="1133"/>
      <c r="F51" s="1133"/>
      <c r="G51" s="791">
        <v>590</v>
      </c>
    </row>
    <row r="52" spans="1:7" ht="42" customHeight="1" x14ac:dyDescent="0.2">
      <c r="A52" s="770" t="s">
        <v>1654</v>
      </c>
      <c r="B52" s="1132" t="s">
        <v>2357</v>
      </c>
      <c r="C52" s="1133"/>
      <c r="D52" s="1133"/>
      <c r="E52" s="1133"/>
      <c r="F52" s="1133"/>
      <c r="G52" s="791">
        <v>800</v>
      </c>
    </row>
    <row r="53" spans="1:7" ht="27.95" customHeight="1" x14ac:dyDescent="0.2">
      <c r="A53" s="770" t="s">
        <v>1654</v>
      </c>
      <c r="B53" s="1132" t="s">
        <v>2358</v>
      </c>
      <c r="C53" s="1133"/>
      <c r="D53" s="1133"/>
      <c r="E53" s="1133"/>
      <c r="F53" s="1133"/>
      <c r="G53" s="791">
        <v>840</v>
      </c>
    </row>
    <row r="54" spans="1:7" ht="15" x14ac:dyDescent="0.2">
      <c r="A54" s="770" t="s">
        <v>1654</v>
      </c>
      <c r="B54" s="1132" t="s">
        <v>2359</v>
      </c>
      <c r="C54" s="1133"/>
      <c r="D54" s="1133"/>
      <c r="E54" s="1133"/>
      <c r="F54" s="1133"/>
      <c r="G54" s="791" t="s">
        <v>2352</v>
      </c>
    </row>
    <row r="55" spans="1:7" ht="15" x14ac:dyDescent="0.2">
      <c r="A55" s="770" t="s">
        <v>1654</v>
      </c>
      <c r="B55" s="1132" t="s">
        <v>2360</v>
      </c>
      <c r="C55" s="1133"/>
      <c r="D55" s="1133"/>
      <c r="E55" s="1133"/>
      <c r="F55" s="1133"/>
      <c r="G55" s="791" t="s">
        <v>2351</v>
      </c>
    </row>
    <row r="56" spans="1:7" ht="15" customHeight="1" x14ac:dyDescent="0.2">
      <c r="A56" s="770" t="s">
        <v>1654</v>
      </c>
      <c r="B56" s="1132" t="s">
        <v>2358</v>
      </c>
      <c r="C56" s="1133"/>
      <c r="D56" s="1133"/>
      <c r="E56" s="1133"/>
      <c r="F56" s="1133"/>
      <c r="G56" s="791" t="s">
        <v>2352</v>
      </c>
    </row>
    <row r="57" spans="1:7" s="794" customFormat="1" ht="15" x14ac:dyDescent="0.2">
      <c r="A57" s="780" t="s">
        <v>1654</v>
      </c>
      <c r="B57" s="1130" t="s">
        <v>2302</v>
      </c>
      <c r="C57" s="1135"/>
      <c r="D57" s="1135"/>
      <c r="E57" s="1135"/>
      <c r="F57" s="1135"/>
      <c r="G57" s="781">
        <v>4390</v>
      </c>
    </row>
    <row r="58" spans="1:7" ht="39.75" customHeight="1" x14ac:dyDescent="0.2">
      <c r="A58" s="770"/>
      <c r="B58" s="1132" t="s">
        <v>2361</v>
      </c>
      <c r="C58" s="1133"/>
      <c r="D58" s="1133"/>
      <c r="E58" s="1133"/>
      <c r="F58" s="1133"/>
      <c r="G58" s="782">
        <f>G57*73.91</f>
        <v>324464.89999999997</v>
      </c>
    </row>
    <row r="59" spans="1:7" ht="29.25" customHeight="1" x14ac:dyDescent="0.2">
      <c r="A59" s="770"/>
      <c r="B59" s="1132" t="s">
        <v>2304</v>
      </c>
      <c r="C59" s="1133"/>
      <c r="D59" s="1133"/>
      <c r="E59" s="1133"/>
      <c r="F59" s="1133"/>
      <c r="G59" s="781">
        <f>G58/5.36</f>
        <v>60534.496268656709</v>
      </c>
    </row>
    <row r="60" spans="1:7" ht="29.25" customHeight="1" x14ac:dyDescent="0.2">
      <c r="A60" s="770"/>
      <c r="B60" s="1132" t="s">
        <v>2305</v>
      </c>
      <c r="C60" s="1133"/>
      <c r="D60" s="1133"/>
      <c r="E60" s="1133"/>
      <c r="F60" s="1133"/>
      <c r="G60" s="782">
        <f>G59/1.266</f>
        <v>47815.557874136422</v>
      </c>
    </row>
    <row r="61" spans="1:7" ht="15" x14ac:dyDescent="0.2">
      <c r="A61" s="770" t="s">
        <v>1654</v>
      </c>
      <c r="B61" s="1130" t="s">
        <v>2306</v>
      </c>
      <c r="C61" s="1131"/>
      <c r="D61" s="1131"/>
      <c r="E61" s="1131"/>
      <c r="F61" s="1131"/>
      <c r="G61" s="781">
        <f>G58</f>
        <v>324464.89999999997</v>
      </c>
    </row>
    <row r="62" spans="1:7" s="779" customFormat="1" ht="15" x14ac:dyDescent="0.2">
      <c r="A62" s="780" t="s">
        <v>1654</v>
      </c>
      <c r="B62" s="1130" t="s">
        <v>2307</v>
      </c>
      <c r="C62" s="1131"/>
      <c r="D62" s="1131"/>
      <c r="E62" s="1131"/>
      <c r="F62" s="1131"/>
      <c r="G62" s="781">
        <f>G61*0.1</f>
        <v>32446.489999999998</v>
      </c>
    </row>
    <row r="63" spans="1:7" ht="15" x14ac:dyDescent="0.2">
      <c r="A63" s="770" t="s">
        <v>1654</v>
      </c>
      <c r="B63" s="1130" t="s">
        <v>2308</v>
      </c>
      <c r="C63" s="1131"/>
      <c r="D63" s="1131"/>
      <c r="E63" s="1131"/>
      <c r="F63" s="1131"/>
      <c r="G63" s="781">
        <f>SUM(G61:G62)</f>
        <v>356911.38999999996</v>
      </c>
    </row>
    <row r="64" spans="1:7" x14ac:dyDescent="0.2">
      <c r="A64" s="766"/>
      <c r="B64" s="761"/>
      <c r="C64" s="765"/>
      <c r="D64" s="762"/>
      <c r="E64" s="767"/>
      <c r="F64" s="762"/>
      <c r="G64" s="788"/>
    </row>
    <row r="65" spans="1:7" x14ac:dyDescent="0.2">
      <c r="A65" s="753"/>
      <c r="B65" s="753"/>
      <c r="C65" s="753"/>
      <c r="D65" s="753"/>
      <c r="E65" s="753"/>
      <c r="G65" s="784"/>
    </row>
    <row r="66" spans="1:7" x14ac:dyDescent="0.2">
      <c r="A66" s="764" t="s">
        <v>2309</v>
      </c>
      <c r="C66" s="764"/>
      <c r="G66" s="784"/>
    </row>
    <row r="67" spans="1:7" x14ac:dyDescent="0.2">
      <c r="A67" s="764" t="s">
        <v>2310</v>
      </c>
      <c r="C67" s="764"/>
      <c r="G67" s="784"/>
    </row>
    <row r="68" spans="1:7" x14ac:dyDescent="0.2">
      <c r="A68" s="764" t="s">
        <v>2311</v>
      </c>
      <c r="C68" s="764"/>
      <c r="G68" s="784"/>
    </row>
    <row r="69" spans="1:7" x14ac:dyDescent="0.2">
      <c r="G69" s="784"/>
    </row>
    <row r="70" spans="1:7" x14ac:dyDescent="0.2">
      <c r="G70" s="784"/>
    </row>
  </sheetData>
  <mergeCells count="45">
    <mergeCell ref="D12:G13"/>
    <mergeCell ref="A14:G14"/>
    <mergeCell ref="A16:G16"/>
    <mergeCell ref="B32:F32"/>
    <mergeCell ref="B63:F63"/>
    <mergeCell ref="B59:F59"/>
    <mergeCell ref="B60:F60"/>
    <mergeCell ref="B61:F61"/>
    <mergeCell ref="B62:F62"/>
    <mergeCell ref="B50:F50"/>
    <mergeCell ref="B35:F35"/>
    <mergeCell ref="B36:F36"/>
    <mergeCell ref="A37:G37"/>
    <mergeCell ref="A38:A39"/>
    <mergeCell ref="A40:A41"/>
    <mergeCell ref="B44:F44"/>
    <mergeCell ref="B3:F3"/>
    <mergeCell ref="B4:F4"/>
    <mergeCell ref="A6:C6"/>
    <mergeCell ref="D6:G6"/>
    <mergeCell ref="A8:C8"/>
    <mergeCell ref="D8:G8"/>
    <mergeCell ref="A10:C10"/>
    <mergeCell ref="D10:G11"/>
    <mergeCell ref="A12:C12"/>
    <mergeCell ref="B57:F57"/>
    <mergeCell ref="B58:F58"/>
    <mergeCell ref="B51:F51"/>
    <mergeCell ref="B52:F52"/>
    <mergeCell ref="B53:F53"/>
    <mergeCell ref="B54:F54"/>
    <mergeCell ref="B55:F55"/>
    <mergeCell ref="B56:F56"/>
    <mergeCell ref="B45:F45"/>
    <mergeCell ref="B46:F46"/>
    <mergeCell ref="B47:F47"/>
    <mergeCell ref="B48:F48"/>
    <mergeCell ref="B49:F49"/>
    <mergeCell ref="B34:F34"/>
    <mergeCell ref="A20:G20"/>
    <mergeCell ref="A21:A23"/>
    <mergeCell ref="A24:A29"/>
    <mergeCell ref="B30:F30"/>
    <mergeCell ref="B31:F31"/>
    <mergeCell ref="B33:F33"/>
  </mergeCells>
  <pageMargins left="0.51181102362204722" right="0.27559055118110237" top="0.31496062992125984" bottom="0.31496062992125984" header="0.23622047244094491" footer="0.23622047244094491"/>
  <pageSetup paperSize="9" scale="91" fitToHeight="0" orientation="landscape" verticalDpi="4294967293" r:id="rId1"/>
  <headerFooter>
    <oddFooter>&amp;R&amp;P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workbookViewId="0">
      <selection activeCell="B5" sqref="B5:F5"/>
    </sheetView>
  </sheetViews>
  <sheetFormatPr defaultColWidth="11.5703125" defaultRowHeight="12.75" x14ac:dyDescent="0.2"/>
  <cols>
    <col min="1" max="1" width="3.7109375" style="657" customWidth="1"/>
    <col min="2" max="2" width="26.7109375" style="657" customWidth="1"/>
    <col min="3" max="3" width="10.140625" style="657" customWidth="1"/>
    <col min="4" max="4" width="7.7109375" style="657" customWidth="1"/>
    <col min="5" max="5" width="31.42578125" style="657" customWidth="1"/>
    <col min="6" max="6" width="14.42578125" style="657" customWidth="1"/>
    <col min="7" max="7" width="11.5703125" style="657"/>
    <col min="8" max="256" width="11.5703125" style="630"/>
    <col min="257" max="257" width="3.7109375" style="630" customWidth="1"/>
    <col min="258" max="258" width="26.7109375" style="630" customWidth="1"/>
    <col min="259" max="259" width="7.7109375" style="630" customWidth="1"/>
    <col min="260" max="260" width="5" style="630" customWidth="1"/>
    <col min="261" max="261" width="27.7109375" style="630" customWidth="1"/>
    <col min="262" max="262" width="14.42578125" style="630" customWidth="1"/>
    <col min="263" max="512" width="11.5703125" style="630"/>
    <col min="513" max="513" width="3.7109375" style="630" customWidth="1"/>
    <col min="514" max="514" width="26.7109375" style="630" customWidth="1"/>
    <col min="515" max="515" width="7.7109375" style="630" customWidth="1"/>
    <col min="516" max="516" width="5" style="630" customWidth="1"/>
    <col min="517" max="517" width="27.7109375" style="630" customWidth="1"/>
    <col min="518" max="518" width="14.42578125" style="630" customWidth="1"/>
    <col min="519" max="768" width="11.5703125" style="630"/>
    <col min="769" max="769" width="3.7109375" style="630" customWidth="1"/>
    <col min="770" max="770" width="26.7109375" style="630" customWidth="1"/>
    <col min="771" max="771" width="7.7109375" style="630" customWidth="1"/>
    <col min="772" max="772" width="5" style="630" customWidth="1"/>
    <col min="773" max="773" width="27.7109375" style="630" customWidth="1"/>
    <col min="774" max="774" width="14.42578125" style="630" customWidth="1"/>
    <col min="775" max="1024" width="11.5703125" style="630"/>
    <col min="1025" max="1025" width="3.7109375" style="630" customWidth="1"/>
    <col min="1026" max="1026" width="26.7109375" style="630" customWidth="1"/>
    <col min="1027" max="1027" width="7.7109375" style="630" customWidth="1"/>
    <col min="1028" max="1028" width="5" style="630" customWidth="1"/>
    <col min="1029" max="1029" width="27.7109375" style="630" customWidth="1"/>
    <col min="1030" max="1030" width="14.42578125" style="630" customWidth="1"/>
    <col min="1031" max="1280" width="11.5703125" style="630"/>
    <col min="1281" max="1281" width="3.7109375" style="630" customWidth="1"/>
    <col min="1282" max="1282" width="26.7109375" style="630" customWidth="1"/>
    <col min="1283" max="1283" width="7.7109375" style="630" customWidth="1"/>
    <col min="1284" max="1284" width="5" style="630" customWidth="1"/>
    <col min="1285" max="1285" width="27.7109375" style="630" customWidth="1"/>
    <col min="1286" max="1286" width="14.42578125" style="630" customWidth="1"/>
    <col min="1287" max="1536" width="11.5703125" style="630"/>
    <col min="1537" max="1537" width="3.7109375" style="630" customWidth="1"/>
    <col min="1538" max="1538" width="26.7109375" style="630" customWidth="1"/>
    <col min="1539" max="1539" width="7.7109375" style="630" customWidth="1"/>
    <col min="1540" max="1540" width="5" style="630" customWidth="1"/>
    <col min="1541" max="1541" width="27.7109375" style="630" customWidth="1"/>
    <col min="1542" max="1542" width="14.42578125" style="630" customWidth="1"/>
    <col min="1543" max="1792" width="11.5703125" style="630"/>
    <col min="1793" max="1793" width="3.7109375" style="630" customWidth="1"/>
    <col min="1794" max="1794" width="26.7109375" style="630" customWidth="1"/>
    <col min="1795" max="1795" width="7.7109375" style="630" customWidth="1"/>
    <col min="1796" max="1796" width="5" style="630" customWidth="1"/>
    <col min="1797" max="1797" width="27.7109375" style="630" customWidth="1"/>
    <col min="1798" max="1798" width="14.42578125" style="630" customWidth="1"/>
    <col min="1799" max="2048" width="11.5703125" style="630"/>
    <col min="2049" max="2049" width="3.7109375" style="630" customWidth="1"/>
    <col min="2050" max="2050" width="26.7109375" style="630" customWidth="1"/>
    <col min="2051" max="2051" width="7.7109375" style="630" customWidth="1"/>
    <col min="2052" max="2052" width="5" style="630" customWidth="1"/>
    <col min="2053" max="2053" width="27.7109375" style="630" customWidth="1"/>
    <col min="2054" max="2054" width="14.42578125" style="630" customWidth="1"/>
    <col min="2055" max="2304" width="11.5703125" style="630"/>
    <col min="2305" max="2305" width="3.7109375" style="630" customWidth="1"/>
    <col min="2306" max="2306" width="26.7109375" style="630" customWidth="1"/>
    <col min="2307" max="2307" width="7.7109375" style="630" customWidth="1"/>
    <col min="2308" max="2308" width="5" style="630" customWidth="1"/>
    <col min="2309" max="2309" width="27.7109375" style="630" customWidth="1"/>
    <col min="2310" max="2310" width="14.42578125" style="630" customWidth="1"/>
    <col min="2311" max="2560" width="11.5703125" style="630"/>
    <col min="2561" max="2561" width="3.7109375" style="630" customWidth="1"/>
    <col min="2562" max="2562" width="26.7109375" style="630" customWidth="1"/>
    <col min="2563" max="2563" width="7.7109375" style="630" customWidth="1"/>
    <col min="2564" max="2564" width="5" style="630" customWidth="1"/>
    <col min="2565" max="2565" width="27.7109375" style="630" customWidth="1"/>
    <col min="2566" max="2566" width="14.42578125" style="630" customWidth="1"/>
    <col min="2567" max="2816" width="11.5703125" style="630"/>
    <col min="2817" max="2817" width="3.7109375" style="630" customWidth="1"/>
    <col min="2818" max="2818" width="26.7109375" style="630" customWidth="1"/>
    <col min="2819" max="2819" width="7.7109375" style="630" customWidth="1"/>
    <col min="2820" max="2820" width="5" style="630" customWidth="1"/>
    <col min="2821" max="2821" width="27.7109375" style="630" customWidth="1"/>
    <col min="2822" max="2822" width="14.42578125" style="630" customWidth="1"/>
    <col min="2823" max="3072" width="11.5703125" style="630"/>
    <col min="3073" max="3073" width="3.7109375" style="630" customWidth="1"/>
    <col min="3074" max="3074" width="26.7109375" style="630" customWidth="1"/>
    <col min="3075" max="3075" width="7.7109375" style="630" customWidth="1"/>
    <col min="3076" max="3076" width="5" style="630" customWidth="1"/>
    <col min="3077" max="3077" width="27.7109375" style="630" customWidth="1"/>
    <col min="3078" max="3078" width="14.42578125" style="630" customWidth="1"/>
    <col min="3079" max="3328" width="11.5703125" style="630"/>
    <col min="3329" max="3329" width="3.7109375" style="630" customWidth="1"/>
    <col min="3330" max="3330" width="26.7109375" style="630" customWidth="1"/>
    <col min="3331" max="3331" width="7.7109375" style="630" customWidth="1"/>
    <col min="3332" max="3332" width="5" style="630" customWidth="1"/>
    <col min="3333" max="3333" width="27.7109375" style="630" customWidth="1"/>
    <col min="3334" max="3334" width="14.42578125" style="630" customWidth="1"/>
    <col min="3335" max="3584" width="11.5703125" style="630"/>
    <col min="3585" max="3585" width="3.7109375" style="630" customWidth="1"/>
    <col min="3586" max="3586" width="26.7109375" style="630" customWidth="1"/>
    <col min="3587" max="3587" width="7.7109375" style="630" customWidth="1"/>
    <col min="3588" max="3588" width="5" style="630" customWidth="1"/>
    <col min="3589" max="3589" width="27.7109375" style="630" customWidth="1"/>
    <col min="3590" max="3590" width="14.42578125" style="630" customWidth="1"/>
    <col min="3591" max="3840" width="11.5703125" style="630"/>
    <col min="3841" max="3841" width="3.7109375" style="630" customWidth="1"/>
    <col min="3842" max="3842" width="26.7109375" style="630" customWidth="1"/>
    <col min="3843" max="3843" width="7.7109375" style="630" customWidth="1"/>
    <col min="3844" max="3844" width="5" style="630" customWidth="1"/>
    <col min="3845" max="3845" width="27.7109375" style="630" customWidth="1"/>
    <col min="3846" max="3846" width="14.42578125" style="630" customWidth="1"/>
    <col min="3847" max="4096" width="11.5703125" style="630"/>
    <col min="4097" max="4097" width="3.7109375" style="630" customWidth="1"/>
    <col min="4098" max="4098" width="26.7109375" style="630" customWidth="1"/>
    <col min="4099" max="4099" width="7.7109375" style="630" customWidth="1"/>
    <col min="4100" max="4100" width="5" style="630" customWidth="1"/>
    <col min="4101" max="4101" width="27.7109375" style="630" customWidth="1"/>
    <col min="4102" max="4102" width="14.42578125" style="630" customWidth="1"/>
    <col min="4103" max="4352" width="11.5703125" style="630"/>
    <col min="4353" max="4353" width="3.7109375" style="630" customWidth="1"/>
    <col min="4354" max="4354" width="26.7109375" style="630" customWidth="1"/>
    <col min="4355" max="4355" width="7.7109375" style="630" customWidth="1"/>
    <col min="4356" max="4356" width="5" style="630" customWidth="1"/>
    <col min="4357" max="4357" width="27.7109375" style="630" customWidth="1"/>
    <col min="4358" max="4358" width="14.42578125" style="630" customWidth="1"/>
    <col min="4359" max="4608" width="11.5703125" style="630"/>
    <col min="4609" max="4609" width="3.7109375" style="630" customWidth="1"/>
    <col min="4610" max="4610" width="26.7109375" style="630" customWidth="1"/>
    <col min="4611" max="4611" width="7.7109375" style="630" customWidth="1"/>
    <col min="4612" max="4612" width="5" style="630" customWidth="1"/>
    <col min="4613" max="4613" width="27.7109375" style="630" customWidth="1"/>
    <col min="4614" max="4614" width="14.42578125" style="630" customWidth="1"/>
    <col min="4615" max="4864" width="11.5703125" style="630"/>
    <col min="4865" max="4865" width="3.7109375" style="630" customWidth="1"/>
    <col min="4866" max="4866" width="26.7109375" style="630" customWidth="1"/>
    <col min="4867" max="4867" width="7.7109375" style="630" customWidth="1"/>
    <col min="4868" max="4868" width="5" style="630" customWidth="1"/>
    <col min="4869" max="4869" width="27.7109375" style="630" customWidth="1"/>
    <col min="4870" max="4870" width="14.42578125" style="630" customWidth="1"/>
    <col min="4871" max="5120" width="11.5703125" style="630"/>
    <col min="5121" max="5121" width="3.7109375" style="630" customWidth="1"/>
    <col min="5122" max="5122" width="26.7109375" style="630" customWidth="1"/>
    <col min="5123" max="5123" width="7.7109375" style="630" customWidth="1"/>
    <col min="5124" max="5124" width="5" style="630" customWidth="1"/>
    <col min="5125" max="5125" width="27.7109375" style="630" customWidth="1"/>
    <col min="5126" max="5126" width="14.42578125" style="630" customWidth="1"/>
    <col min="5127" max="5376" width="11.5703125" style="630"/>
    <col min="5377" max="5377" width="3.7109375" style="630" customWidth="1"/>
    <col min="5378" max="5378" width="26.7109375" style="630" customWidth="1"/>
    <col min="5379" max="5379" width="7.7109375" style="630" customWidth="1"/>
    <col min="5380" max="5380" width="5" style="630" customWidth="1"/>
    <col min="5381" max="5381" width="27.7109375" style="630" customWidth="1"/>
    <col min="5382" max="5382" width="14.42578125" style="630" customWidth="1"/>
    <col min="5383" max="5632" width="11.5703125" style="630"/>
    <col min="5633" max="5633" width="3.7109375" style="630" customWidth="1"/>
    <col min="5634" max="5634" width="26.7109375" style="630" customWidth="1"/>
    <col min="5635" max="5635" width="7.7109375" style="630" customWidth="1"/>
    <col min="5636" max="5636" width="5" style="630" customWidth="1"/>
    <col min="5637" max="5637" width="27.7109375" style="630" customWidth="1"/>
    <col min="5638" max="5638" width="14.42578125" style="630" customWidth="1"/>
    <col min="5639" max="5888" width="11.5703125" style="630"/>
    <col min="5889" max="5889" width="3.7109375" style="630" customWidth="1"/>
    <col min="5890" max="5890" width="26.7109375" style="630" customWidth="1"/>
    <col min="5891" max="5891" width="7.7109375" style="630" customWidth="1"/>
    <col min="5892" max="5892" width="5" style="630" customWidth="1"/>
    <col min="5893" max="5893" width="27.7109375" style="630" customWidth="1"/>
    <col min="5894" max="5894" width="14.42578125" style="630" customWidth="1"/>
    <col min="5895" max="6144" width="11.5703125" style="630"/>
    <col min="6145" max="6145" width="3.7109375" style="630" customWidth="1"/>
    <col min="6146" max="6146" width="26.7109375" style="630" customWidth="1"/>
    <col min="6147" max="6147" width="7.7109375" style="630" customWidth="1"/>
    <col min="6148" max="6148" width="5" style="630" customWidth="1"/>
    <col min="6149" max="6149" width="27.7109375" style="630" customWidth="1"/>
    <col min="6150" max="6150" width="14.42578125" style="630" customWidth="1"/>
    <col min="6151" max="6400" width="11.5703125" style="630"/>
    <col min="6401" max="6401" width="3.7109375" style="630" customWidth="1"/>
    <col min="6402" max="6402" width="26.7109375" style="630" customWidth="1"/>
    <col min="6403" max="6403" width="7.7109375" style="630" customWidth="1"/>
    <col min="6404" max="6404" width="5" style="630" customWidth="1"/>
    <col min="6405" max="6405" width="27.7109375" style="630" customWidth="1"/>
    <col min="6406" max="6406" width="14.42578125" style="630" customWidth="1"/>
    <col min="6407" max="6656" width="11.5703125" style="630"/>
    <col min="6657" max="6657" width="3.7109375" style="630" customWidth="1"/>
    <col min="6658" max="6658" width="26.7109375" style="630" customWidth="1"/>
    <col min="6659" max="6659" width="7.7109375" style="630" customWidth="1"/>
    <col min="6660" max="6660" width="5" style="630" customWidth="1"/>
    <col min="6661" max="6661" width="27.7109375" style="630" customWidth="1"/>
    <col min="6662" max="6662" width="14.42578125" style="630" customWidth="1"/>
    <col min="6663" max="6912" width="11.5703125" style="630"/>
    <col min="6913" max="6913" width="3.7109375" style="630" customWidth="1"/>
    <col min="6914" max="6914" width="26.7109375" style="630" customWidth="1"/>
    <col min="6915" max="6915" width="7.7109375" style="630" customWidth="1"/>
    <col min="6916" max="6916" width="5" style="630" customWidth="1"/>
    <col min="6917" max="6917" width="27.7109375" style="630" customWidth="1"/>
    <col min="6918" max="6918" width="14.42578125" style="630" customWidth="1"/>
    <col min="6919" max="7168" width="11.5703125" style="630"/>
    <col min="7169" max="7169" width="3.7109375" style="630" customWidth="1"/>
    <col min="7170" max="7170" width="26.7109375" style="630" customWidth="1"/>
    <col min="7171" max="7171" width="7.7109375" style="630" customWidth="1"/>
    <col min="7172" max="7172" width="5" style="630" customWidth="1"/>
    <col min="7173" max="7173" width="27.7109375" style="630" customWidth="1"/>
    <col min="7174" max="7174" width="14.42578125" style="630" customWidth="1"/>
    <col min="7175" max="7424" width="11.5703125" style="630"/>
    <col min="7425" max="7425" width="3.7109375" style="630" customWidth="1"/>
    <col min="7426" max="7426" width="26.7109375" style="630" customWidth="1"/>
    <col min="7427" max="7427" width="7.7109375" style="630" customWidth="1"/>
    <col min="7428" max="7428" width="5" style="630" customWidth="1"/>
    <col min="7429" max="7429" width="27.7109375" style="630" customWidth="1"/>
    <col min="7430" max="7430" width="14.42578125" style="630" customWidth="1"/>
    <col min="7431" max="7680" width="11.5703125" style="630"/>
    <col min="7681" max="7681" width="3.7109375" style="630" customWidth="1"/>
    <col min="7682" max="7682" width="26.7109375" style="630" customWidth="1"/>
    <col min="7683" max="7683" width="7.7109375" style="630" customWidth="1"/>
    <col min="7684" max="7684" width="5" style="630" customWidth="1"/>
    <col min="7685" max="7685" width="27.7109375" style="630" customWidth="1"/>
    <col min="7686" max="7686" width="14.42578125" style="630" customWidth="1"/>
    <col min="7687" max="7936" width="11.5703125" style="630"/>
    <col min="7937" max="7937" width="3.7109375" style="630" customWidth="1"/>
    <col min="7938" max="7938" width="26.7109375" style="630" customWidth="1"/>
    <col min="7939" max="7939" width="7.7109375" style="630" customWidth="1"/>
    <col min="7940" max="7940" width="5" style="630" customWidth="1"/>
    <col min="7941" max="7941" width="27.7109375" style="630" customWidth="1"/>
    <col min="7942" max="7942" width="14.42578125" style="630" customWidth="1"/>
    <col min="7943" max="8192" width="11.5703125" style="630"/>
    <col min="8193" max="8193" width="3.7109375" style="630" customWidth="1"/>
    <col min="8194" max="8194" width="26.7109375" style="630" customWidth="1"/>
    <col min="8195" max="8195" width="7.7109375" style="630" customWidth="1"/>
    <col min="8196" max="8196" width="5" style="630" customWidth="1"/>
    <col min="8197" max="8197" width="27.7109375" style="630" customWidth="1"/>
    <col min="8198" max="8198" width="14.42578125" style="630" customWidth="1"/>
    <col min="8199" max="8448" width="11.5703125" style="630"/>
    <col min="8449" max="8449" width="3.7109375" style="630" customWidth="1"/>
    <col min="8450" max="8450" width="26.7109375" style="630" customWidth="1"/>
    <col min="8451" max="8451" width="7.7109375" style="630" customWidth="1"/>
    <col min="8452" max="8452" width="5" style="630" customWidth="1"/>
    <col min="8453" max="8453" width="27.7109375" style="630" customWidth="1"/>
    <col min="8454" max="8454" width="14.42578125" style="630" customWidth="1"/>
    <col min="8455" max="8704" width="11.5703125" style="630"/>
    <col min="8705" max="8705" width="3.7109375" style="630" customWidth="1"/>
    <col min="8706" max="8706" width="26.7109375" style="630" customWidth="1"/>
    <col min="8707" max="8707" width="7.7109375" style="630" customWidth="1"/>
    <col min="8708" max="8708" width="5" style="630" customWidth="1"/>
    <col min="8709" max="8709" width="27.7109375" style="630" customWidth="1"/>
    <col min="8710" max="8710" width="14.42578125" style="630" customWidth="1"/>
    <col min="8711" max="8960" width="11.5703125" style="630"/>
    <col min="8961" max="8961" width="3.7109375" style="630" customWidth="1"/>
    <col min="8962" max="8962" width="26.7109375" style="630" customWidth="1"/>
    <col min="8963" max="8963" width="7.7109375" style="630" customWidth="1"/>
    <col min="8964" max="8964" width="5" style="630" customWidth="1"/>
    <col min="8965" max="8965" width="27.7109375" style="630" customWidth="1"/>
    <col min="8966" max="8966" width="14.42578125" style="630" customWidth="1"/>
    <col min="8967" max="9216" width="11.5703125" style="630"/>
    <col min="9217" max="9217" width="3.7109375" style="630" customWidth="1"/>
    <col min="9218" max="9218" width="26.7109375" style="630" customWidth="1"/>
    <col min="9219" max="9219" width="7.7109375" style="630" customWidth="1"/>
    <col min="9220" max="9220" width="5" style="630" customWidth="1"/>
    <col min="9221" max="9221" width="27.7109375" style="630" customWidth="1"/>
    <col min="9222" max="9222" width="14.42578125" style="630" customWidth="1"/>
    <col min="9223" max="9472" width="11.5703125" style="630"/>
    <col min="9473" max="9473" width="3.7109375" style="630" customWidth="1"/>
    <col min="9474" max="9474" width="26.7109375" style="630" customWidth="1"/>
    <col min="9475" max="9475" width="7.7109375" style="630" customWidth="1"/>
    <col min="9476" max="9476" width="5" style="630" customWidth="1"/>
    <col min="9477" max="9477" width="27.7109375" style="630" customWidth="1"/>
    <col min="9478" max="9478" width="14.42578125" style="630" customWidth="1"/>
    <col min="9479" max="9728" width="11.5703125" style="630"/>
    <col min="9729" max="9729" width="3.7109375" style="630" customWidth="1"/>
    <col min="9730" max="9730" width="26.7109375" style="630" customWidth="1"/>
    <col min="9731" max="9731" width="7.7109375" style="630" customWidth="1"/>
    <col min="9732" max="9732" width="5" style="630" customWidth="1"/>
    <col min="9733" max="9733" width="27.7109375" style="630" customWidth="1"/>
    <col min="9734" max="9734" width="14.42578125" style="630" customWidth="1"/>
    <col min="9735" max="9984" width="11.5703125" style="630"/>
    <col min="9985" max="9985" width="3.7109375" style="630" customWidth="1"/>
    <col min="9986" max="9986" width="26.7109375" style="630" customWidth="1"/>
    <col min="9987" max="9987" width="7.7109375" style="630" customWidth="1"/>
    <col min="9988" max="9988" width="5" style="630" customWidth="1"/>
    <col min="9989" max="9989" width="27.7109375" style="630" customWidth="1"/>
    <col min="9990" max="9990" width="14.42578125" style="630" customWidth="1"/>
    <col min="9991" max="10240" width="11.5703125" style="630"/>
    <col min="10241" max="10241" width="3.7109375" style="630" customWidth="1"/>
    <col min="10242" max="10242" width="26.7109375" style="630" customWidth="1"/>
    <col min="10243" max="10243" width="7.7109375" style="630" customWidth="1"/>
    <col min="10244" max="10244" width="5" style="630" customWidth="1"/>
    <col min="10245" max="10245" width="27.7109375" style="630" customWidth="1"/>
    <col min="10246" max="10246" width="14.42578125" style="630" customWidth="1"/>
    <col min="10247" max="10496" width="11.5703125" style="630"/>
    <col min="10497" max="10497" width="3.7109375" style="630" customWidth="1"/>
    <col min="10498" max="10498" width="26.7109375" style="630" customWidth="1"/>
    <col min="10499" max="10499" width="7.7109375" style="630" customWidth="1"/>
    <col min="10500" max="10500" width="5" style="630" customWidth="1"/>
    <col min="10501" max="10501" width="27.7109375" style="630" customWidth="1"/>
    <col min="10502" max="10502" width="14.42578125" style="630" customWidth="1"/>
    <col min="10503" max="10752" width="11.5703125" style="630"/>
    <col min="10753" max="10753" width="3.7109375" style="630" customWidth="1"/>
    <col min="10754" max="10754" width="26.7109375" style="630" customWidth="1"/>
    <col min="10755" max="10755" width="7.7109375" style="630" customWidth="1"/>
    <col min="10756" max="10756" width="5" style="630" customWidth="1"/>
    <col min="10757" max="10757" width="27.7109375" style="630" customWidth="1"/>
    <col min="10758" max="10758" width="14.42578125" style="630" customWidth="1"/>
    <col min="10759" max="11008" width="11.5703125" style="630"/>
    <col min="11009" max="11009" width="3.7109375" style="630" customWidth="1"/>
    <col min="11010" max="11010" width="26.7109375" style="630" customWidth="1"/>
    <col min="11011" max="11011" width="7.7109375" style="630" customWidth="1"/>
    <col min="11012" max="11012" width="5" style="630" customWidth="1"/>
    <col min="11013" max="11013" width="27.7109375" style="630" customWidth="1"/>
    <col min="11014" max="11014" width="14.42578125" style="630" customWidth="1"/>
    <col min="11015" max="11264" width="11.5703125" style="630"/>
    <col min="11265" max="11265" width="3.7109375" style="630" customWidth="1"/>
    <col min="11266" max="11266" width="26.7109375" style="630" customWidth="1"/>
    <col min="11267" max="11267" width="7.7109375" style="630" customWidth="1"/>
    <col min="11268" max="11268" width="5" style="630" customWidth="1"/>
    <col min="11269" max="11269" width="27.7109375" style="630" customWidth="1"/>
    <col min="11270" max="11270" width="14.42578125" style="630" customWidth="1"/>
    <col min="11271" max="11520" width="11.5703125" style="630"/>
    <col min="11521" max="11521" width="3.7109375" style="630" customWidth="1"/>
    <col min="11522" max="11522" width="26.7109375" style="630" customWidth="1"/>
    <col min="11523" max="11523" width="7.7109375" style="630" customWidth="1"/>
    <col min="11524" max="11524" width="5" style="630" customWidth="1"/>
    <col min="11525" max="11525" width="27.7109375" style="630" customWidth="1"/>
    <col min="11526" max="11526" width="14.42578125" style="630" customWidth="1"/>
    <col min="11527" max="11776" width="11.5703125" style="630"/>
    <col min="11777" max="11777" width="3.7109375" style="630" customWidth="1"/>
    <col min="11778" max="11778" width="26.7109375" style="630" customWidth="1"/>
    <col min="11779" max="11779" width="7.7109375" style="630" customWidth="1"/>
    <col min="11780" max="11780" width="5" style="630" customWidth="1"/>
    <col min="11781" max="11781" width="27.7109375" style="630" customWidth="1"/>
    <col min="11782" max="11782" width="14.42578125" style="630" customWidth="1"/>
    <col min="11783" max="12032" width="11.5703125" style="630"/>
    <col min="12033" max="12033" width="3.7109375" style="630" customWidth="1"/>
    <col min="12034" max="12034" width="26.7109375" style="630" customWidth="1"/>
    <col min="12035" max="12035" width="7.7109375" style="630" customWidth="1"/>
    <col min="12036" max="12036" width="5" style="630" customWidth="1"/>
    <col min="12037" max="12037" width="27.7109375" style="630" customWidth="1"/>
    <col min="12038" max="12038" width="14.42578125" style="630" customWidth="1"/>
    <col min="12039" max="12288" width="11.5703125" style="630"/>
    <col min="12289" max="12289" width="3.7109375" style="630" customWidth="1"/>
    <col min="12290" max="12290" width="26.7109375" style="630" customWidth="1"/>
    <col min="12291" max="12291" width="7.7109375" style="630" customWidth="1"/>
    <col min="12292" max="12292" width="5" style="630" customWidth="1"/>
    <col min="12293" max="12293" width="27.7109375" style="630" customWidth="1"/>
    <col min="12294" max="12294" width="14.42578125" style="630" customWidth="1"/>
    <col min="12295" max="12544" width="11.5703125" style="630"/>
    <col min="12545" max="12545" width="3.7109375" style="630" customWidth="1"/>
    <col min="12546" max="12546" width="26.7109375" style="630" customWidth="1"/>
    <col min="12547" max="12547" width="7.7109375" style="630" customWidth="1"/>
    <col min="12548" max="12548" width="5" style="630" customWidth="1"/>
    <col min="12549" max="12549" width="27.7109375" style="630" customWidth="1"/>
    <col min="12550" max="12550" width="14.42578125" style="630" customWidth="1"/>
    <col min="12551" max="12800" width="11.5703125" style="630"/>
    <col min="12801" max="12801" width="3.7109375" style="630" customWidth="1"/>
    <col min="12802" max="12802" width="26.7109375" style="630" customWidth="1"/>
    <col min="12803" max="12803" width="7.7109375" style="630" customWidth="1"/>
    <col min="12804" max="12804" width="5" style="630" customWidth="1"/>
    <col min="12805" max="12805" width="27.7109375" style="630" customWidth="1"/>
    <col min="12806" max="12806" width="14.42578125" style="630" customWidth="1"/>
    <col min="12807" max="13056" width="11.5703125" style="630"/>
    <col min="13057" max="13057" width="3.7109375" style="630" customWidth="1"/>
    <col min="13058" max="13058" width="26.7109375" style="630" customWidth="1"/>
    <col min="13059" max="13059" width="7.7109375" style="630" customWidth="1"/>
    <col min="13060" max="13060" width="5" style="630" customWidth="1"/>
    <col min="13061" max="13061" width="27.7109375" style="630" customWidth="1"/>
    <col min="13062" max="13062" width="14.42578125" style="630" customWidth="1"/>
    <col min="13063" max="13312" width="11.5703125" style="630"/>
    <col min="13313" max="13313" width="3.7109375" style="630" customWidth="1"/>
    <col min="13314" max="13314" width="26.7109375" style="630" customWidth="1"/>
    <col min="13315" max="13315" width="7.7109375" style="630" customWidth="1"/>
    <col min="13316" max="13316" width="5" style="630" customWidth="1"/>
    <col min="13317" max="13317" width="27.7109375" style="630" customWidth="1"/>
    <col min="13318" max="13318" width="14.42578125" style="630" customWidth="1"/>
    <col min="13319" max="13568" width="11.5703125" style="630"/>
    <col min="13569" max="13569" width="3.7109375" style="630" customWidth="1"/>
    <col min="13570" max="13570" width="26.7109375" style="630" customWidth="1"/>
    <col min="13571" max="13571" width="7.7109375" style="630" customWidth="1"/>
    <col min="13572" max="13572" width="5" style="630" customWidth="1"/>
    <col min="13573" max="13573" width="27.7109375" style="630" customWidth="1"/>
    <col min="13574" max="13574" width="14.42578125" style="630" customWidth="1"/>
    <col min="13575" max="13824" width="11.5703125" style="630"/>
    <col min="13825" max="13825" width="3.7109375" style="630" customWidth="1"/>
    <col min="13826" max="13826" width="26.7109375" style="630" customWidth="1"/>
    <col min="13827" max="13827" width="7.7109375" style="630" customWidth="1"/>
    <col min="13828" max="13828" width="5" style="630" customWidth="1"/>
    <col min="13829" max="13829" width="27.7109375" style="630" customWidth="1"/>
    <col min="13830" max="13830" width="14.42578125" style="630" customWidth="1"/>
    <col min="13831" max="14080" width="11.5703125" style="630"/>
    <col min="14081" max="14081" width="3.7109375" style="630" customWidth="1"/>
    <col min="14082" max="14082" width="26.7109375" style="630" customWidth="1"/>
    <col min="14083" max="14083" width="7.7109375" style="630" customWidth="1"/>
    <col min="14084" max="14084" width="5" style="630" customWidth="1"/>
    <col min="14085" max="14085" width="27.7109375" style="630" customWidth="1"/>
    <col min="14086" max="14086" width="14.42578125" style="630" customWidth="1"/>
    <col min="14087" max="14336" width="11.5703125" style="630"/>
    <col min="14337" max="14337" width="3.7109375" style="630" customWidth="1"/>
    <col min="14338" max="14338" width="26.7109375" style="630" customWidth="1"/>
    <col min="14339" max="14339" width="7.7109375" style="630" customWidth="1"/>
    <col min="14340" max="14340" width="5" style="630" customWidth="1"/>
    <col min="14341" max="14341" width="27.7109375" style="630" customWidth="1"/>
    <col min="14342" max="14342" width="14.42578125" style="630" customWidth="1"/>
    <col min="14343" max="14592" width="11.5703125" style="630"/>
    <col min="14593" max="14593" width="3.7109375" style="630" customWidth="1"/>
    <col min="14594" max="14594" width="26.7109375" style="630" customWidth="1"/>
    <col min="14595" max="14595" width="7.7109375" style="630" customWidth="1"/>
    <col min="14596" max="14596" width="5" style="630" customWidth="1"/>
    <col min="14597" max="14597" width="27.7109375" style="630" customWidth="1"/>
    <col min="14598" max="14598" width="14.42578125" style="630" customWidth="1"/>
    <col min="14599" max="14848" width="11.5703125" style="630"/>
    <col min="14849" max="14849" width="3.7109375" style="630" customWidth="1"/>
    <col min="14850" max="14850" width="26.7109375" style="630" customWidth="1"/>
    <col min="14851" max="14851" width="7.7109375" style="630" customWidth="1"/>
    <col min="14852" max="14852" width="5" style="630" customWidth="1"/>
    <col min="14853" max="14853" width="27.7109375" style="630" customWidth="1"/>
    <col min="14854" max="14854" width="14.42578125" style="630" customWidth="1"/>
    <col min="14855" max="15104" width="11.5703125" style="630"/>
    <col min="15105" max="15105" width="3.7109375" style="630" customWidth="1"/>
    <col min="15106" max="15106" width="26.7109375" style="630" customWidth="1"/>
    <col min="15107" max="15107" width="7.7109375" style="630" customWidth="1"/>
    <col min="15108" max="15108" width="5" style="630" customWidth="1"/>
    <col min="15109" max="15109" width="27.7109375" style="630" customWidth="1"/>
    <col min="15110" max="15110" width="14.42578125" style="630" customWidth="1"/>
    <col min="15111" max="15360" width="11.5703125" style="630"/>
    <col min="15361" max="15361" width="3.7109375" style="630" customWidth="1"/>
    <col min="15362" max="15362" width="26.7109375" style="630" customWidth="1"/>
    <col min="15363" max="15363" width="7.7109375" style="630" customWidth="1"/>
    <col min="15364" max="15364" width="5" style="630" customWidth="1"/>
    <col min="15365" max="15365" width="27.7109375" style="630" customWidth="1"/>
    <col min="15366" max="15366" width="14.42578125" style="630" customWidth="1"/>
    <col min="15367" max="15616" width="11.5703125" style="630"/>
    <col min="15617" max="15617" width="3.7109375" style="630" customWidth="1"/>
    <col min="15618" max="15618" width="26.7109375" style="630" customWidth="1"/>
    <col min="15619" max="15619" width="7.7109375" style="630" customWidth="1"/>
    <col min="15620" max="15620" width="5" style="630" customWidth="1"/>
    <col min="15621" max="15621" width="27.7109375" style="630" customWidth="1"/>
    <col min="15622" max="15622" width="14.42578125" style="630" customWidth="1"/>
    <col min="15623" max="15872" width="11.5703125" style="630"/>
    <col min="15873" max="15873" width="3.7109375" style="630" customWidth="1"/>
    <col min="15874" max="15874" width="26.7109375" style="630" customWidth="1"/>
    <col min="15875" max="15875" width="7.7109375" style="630" customWidth="1"/>
    <col min="15876" max="15876" width="5" style="630" customWidth="1"/>
    <col min="15877" max="15877" width="27.7109375" style="630" customWidth="1"/>
    <col min="15878" max="15878" width="14.42578125" style="630" customWidth="1"/>
    <col min="15879" max="16128" width="11.5703125" style="630"/>
    <col min="16129" max="16129" width="3.7109375" style="630" customWidth="1"/>
    <col min="16130" max="16130" width="26.7109375" style="630" customWidth="1"/>
    <col min="16131" max="16131" width="7.7109375" style="630" customWidth="1"/>
    <col min="16132" max="16132" width="5" style="630" customWidth="1"/>
    <col min="16133" max="16133" width="27.7109375" style="630" customWidth="1"/>
    <col min="16134" max="16134" width="14.42578125" style="630" customWidth="1"/>
    <col min="16135" max="16384" width="11.5703125" style="630"/>
  </cols>
  <sheetData>
    <row r="1" spans="1:7" x14ac:dyDescent="0.2">
      <c r="A1" s="1086" t="s">
        <v>1746</v>
      </c>
      <c r="B1" s="1086"/>
      <c r="C1" s="1087" t="s">
        <v>1747</v>
      </c>
      <c r="D1" s="1087"/>
      <c r="E1" s="1087"/>
      <c r="F1" s="1087"/>
      <c r="G1" s="1087"/>
    </row>
    <row r="2" spans="1:7" x14ac:dyDescent="0.2">
      <c r="A2" s="655"/>
      <c r="B2" s="655"/>
      <c r="C2" s="656"/>
      <c r="D2" s="656"/>
      <c r="E2" s="656"/>
      <c r="F2" s="656"/>
      <c r="G2" s="656"/>
    </row>
    <row r="3" spans="1:7" x14ac:dyDescent="0.2">
      <c r="A3" s="655"/>
      <c r="B3" s="655"/>
      <c r="C3" s="656"/>
      <c r="D3" s="656"/>
      <c r="E3" s="656"/>
      <c r="F3" s="656"/>
      <c r="G3" s="656"/>
    </row>
    <row r="4" spans="1:7" x14ac:dyDescent="0.2">
      <c r="B4" s="1088" t="str">
        <f>'Cводная смета ПИР'!D16</f>
        <v>Смета № 4-из</v>
      </c>
      <c r="C4" s="1089"/>
      <c r="D4" s="1089"/>
      <c r="E4" s="1089"/>
      <c r="F4" s="1089"/>
    </row>
    <row r="5" spans="1:7" x14ac:dyDescent="0.2">
      <c r="B5" s="1090" t="s">
        <v>1748</v>
      </c>
      <c r="C5" s="1090"/>
      <c r="D5" s="1090"/>
      <c r="E5" s="1090"/>
      <c r="F5" s="1090"/>
    </row>
    <row r="6" spans="1:7" x14ac:dyDescent="0.2">
      <c r="C6" s="659"/>
      <c r="D6" s="659"/>
      <c r="E6" s="659"/>
    </row>
    <row r="7" spans="1:7" ht="25.5" customHeight="1" x14ac:dyDescent="0.2">
      <c r="A7" s="1091" t="s">
        <v>1642</v>
      </c>
      <c r="B7" s="1091"/>
      <c r="C7" s="1091"/>
      <c r="D7" s="1096" t="s">
        <v>2139</v>
      </c>
      <c r="E7" s="1096"/>
      <c r="F7" s="1096"/>
      <c r="G7" s="1096"/>
    </row>
    <row r="8" spans="1:7" x14ac:dyDescent="0.2">
      <c r="A8" s="660"/>
      <c r="B8" s="660"/>
      <c r="C8" s="661"/>
      <c r="D8" s="662"/>
      <c r="E8" s="662"/>
      <c r="F8" s="662"/>
      <c r="G8" s="662"/>
    </row>
    <row r="9" spans="1:7" ht="12.75" customHeight="1" x14ac:dyDescent="0.2">
      <c r="A9" s="1091" t="s">
        <v>1643</v>
      </c>
      <c r="B9" s="1091"/>
      <c r="C9" s="1091"/>
      <c r="D9" s="1096" t="s">
        <v>1644</v>
      </c>
      <c r="E9" s="1096"/>
      <c r="F9" s="1096"/>
      <c r="G9" s="1096"/>
    </row>
    <row r="10" spans="1:7" x14ac:dyDescent="0.2">
      <c r="D10" s="1096"/>
      <c r="E10" s="1096"/>
      <c r="F10" s="1096"/>
      <c r="G10" s="1096"/>
    </row>
    <row r="11" spans="1:7" ht="13.5" customHeight="1" x14ac:dyDescent="0.2">
      <c r="A11" s="1091" t="s">
        <v>1645</v>
      </c>
      <c r="B11" s="1091"/>
      <c r="C11" s="1091"/>
      <c r="D11" s="1096"/>
      <c r="E11" s="1096"/>
      <c r="F11" s="1096"/>
      <c r="G11" s="1096"/>
    </row>
    <row r="12" spans="1:7" ht="12" customHeight="1" x14ac:dyDescent="0.2">
      <c r="A12" s="661"/>
      <c r="B12" s="661"/>
      <c r="D12" s="1096"/>
      <c r="E12" s="1096"/>
      <c r="F12" s="1096"/>
      <c r="G12" s="1096"/>
    </row>
    <row r="13" spans="1:7" ht="38.25" customHeight="1" x14ac:dyDescent="0.2">
      <c r="A13" s="1091" t="s">
        <v>1749</v>
      </c>
      <c r="B13" s="1097"/>
      <c r="C13" s="1097"/>
      <c r="D13" s="1097"/>
      <c r="E13" s="1097"/>
      <c r="F13" s="1097"/>
      <c r="G13" s="1097"/>
    </row>
    <row r="15" spans="1:7" ht="32.25" customHeight="1" x14ac:dyDescent="0.2">
      <c r="A15" s="665" t="s">
        <v>1468</v>
      </c>
      <c r="B15" s="665" t="s">
        <v>1523</v>
      </c>
      <c r="C15" s="665" t="s">
        <v>1750</v>
      </c>
      <c r="D15" s="665" t="s">
        <v>1751</v>
      </c>
      <c r="E15" s="665" t="s">
        <v>1456</v>
      </c>
      <c r="F15" s="665" t="s">
        <v>1648</v>
      </c>
      <c r="G15" s="665" t="s">
        <v>525</v>
      </c>
    </row>
    <row r="16" spans="1:7" x14ac:dyDescent="0.2">
      <c r="A16" s="666">
        <v>1</v>
      </c>
      <c r="B16" s="667">
        <v>2</v>
      </c>
      <c r="C16" s="667">
        <v>3</v>
      </c>
      <c r="D16" s="667">
        <v>4</v>
      </c>
      <c r="E16" s="667">
        <v>5</v>
      </c>
      <c r="F16" s="667">
        <v>6</v>
      </c>
      <c r="G16" s="667">
        <v>7</v>
      </c>
    </row>
    <row r="17" spans="1:7" ht="12.75" customHeight="1" x14ac:dyDescent="0.2">
      <c r="A17" s="668" t="s">
        <v>365</v>
      </c>
      <c r="B17" s="669" t="s">
        <v>1649</v>
      </c>
      <c r="C17" s="669"/>
      <c r="D17" s="669"/>
      <c r="E17" s="669" t="s">
        <v>1650</v>
      </c>
      <c r="F17" s="669"/>
      <c r="G17" s="670"/>
    </row>
    <row r="18" spans="1:7" ht="165.75" customHeight="1" x14ac:dyDescent="0.2">
      <c r="A18" s="693" t="s">
        <v>366</v>
      </c>
      <c r="B18" s="694" t="s">
        <v>1752</v>
      </c>
      <c r="C18" s="695" t="s">
        <v>1753</v>
      </c>
      <c r="D18" s="695">
        <v>2</v>
      </c>
      <c r="E18" s="695" t="s">
        <v>1754</v>
      </c>
      <c r="F18" s="695" t="s">
        <v>1755</v>
      </c>
      <c r="G18" s="696">
        <f>ROUND(30  * 2 * 1.2,0)</f>
        <v>72</v>
      </c>
    </row>
    <row r="19" spans="1:7" ht="15.75" customHeight="1" x14ac:dyDescent="0.2">
      <c r="A19" s="674" t="s">
        <v>1654</v>
      </c>
      <c r="B19" s="675" t="s">
        <v>1655</v>
      </c>
      <c r="C19" s="675"/>
      <c r="D19" s="675"/>
      <c r="E19" s="675"/>
      <c r="F19" s="675"/>
      <c r="G19" s="676"/>
    </row>
    <row r="20" spans="1:7" ht="12.75" customHeight="1" x14ac:dyDescent="0.2">
      <c r="A20" s="677" t="s">
        <v>1654</v>
      </c>
      <c r="B20" s="678" t="s">
        <v>1656</v>
      </c>
      <c r="C20" s="678"/>
      <c r="D20" s="678"/>
      <c r="E20" s="678"/>
      <c r="F20" s="678"/>
      <c r="G20" s="679"/>
    </row>
    <row r="21" spans="1:7" ht="102" customHeight="1" x14ac:dyDescent="0.2">
      <c r="A21" s="682" t="s">
        <v>1654</v>
      </c>
      <c r="B21" s="684" t="s">
        <v>1756</v>
      </c>
      <c r="C21" s="684"/>
      <c r="D21" s="684"/>
      <c r="E21" s="684" t="s">
        <v>1757</v>
      </c>
      <c r="F21" s="684"/>
      <c r="G21" s="685"/>
    </row>
    <row r="22" spans="1:7" ht="178.5" customHeight="1" x14ac:dyDescent="0.2">
      <c r="A22" s="697" t="s">
        <v>367</v>
      </c>
      <c r="B22" s="698" t="s">
        <v>1758</v>
      </c>
      <c r="C22" s="699" t="s">
        <v>1457</v>
      </c>
      <c r="D22" s="699">
        <v>4</v>
      </c>
      <c r="E22" s="699" t="s">
        <v>1759</v>
      </c>
      <c r="F22" s="699" t="s">
        <v>1760</v>
      </c>
      <c r="G22" s="700">
        <f>ROUND(20  * 4 * 1.2,0)</f>
        <v>96</v>
      </c>
    </row>
    <row r="23" spans="1:7" ht="15.75" customHeight="1" x14ac:dyDescent="0.2">
      <c r="A23" s="674" t="s">
        <v>1654</v>
      </c>
      <c r="B23" s="675" t="s">
        <v>1655</v>
      </c>
      <c r="C23" s="675"/>
      <c r="D23" s="675"/>
      <c r="E23" s="675"/>
      <c r="F23" s="675"/>
      <c r="G23" s="676"/>
    </row>
    <row r="24" spans="1:7" ht="12.75" customHeight="1" x14ac:dyDescent="0.2">
      <c r="A24" s="677" t="s">
        <v>1654</v>
      </c>
      <c r="B24" s="678" t="s">
        <v>1656</v>
      </c>
      <c r="C24" s="678"/>
      <c r="D24" s="678"/>
      <c r="E24" s="678"/>
      <c r="F24" s="678"/>
      <c r="G24" s="679"/>
    </row>
    <row r="25" spans="1:7" ht="102" customHeight="1" x14ac:dyDescent="0.2">
      <c r="A25" s="682" t="s">
        <v>1654</v>
      </c>
      <c r="B25" s="684" t="s">
        <v>1756</v>
      </c>
      <c r="C25" s="684"/>
      <c r="D25" s="684"/>
      <c r="E25" s="684" t="s">
        <v>1757</v>
      </c>
      <c r="F25" s="684"/>
      <c r="G25" s="685"/>
    </row>
    <row r="26" spans="1:7" ht="165.75" customHeight="1" x14ac:dyDescent="0.2">
      <c r="A26" s="697" t="s">
        <v>1130</v>
      </c>
      <c r="B26" s="698" t="s">
        <v>1761</v>
      </c>
      <c r="C26" s="699" t="s">
        <v>1762</v>
      </c>
      <c r="D26" s="699">
        <v>5</v>
      </c>
      <c r="E26" s="699" t="s">
        <v>1763</v>
      </c>
      <c r="F26" s="699" t="s">
        <v>1764</v>
      </c>
      <c r="G26" s="700">
        <f>ROUND(34  * 5 * 1.2,0)</f>
        <v>204</v>
      </c>
    </row>
    <row r="27" spans="1:7" ht="15.75" customHeight="1" x14ac:dyDescent="0.2">
      <c r="A27" s="674" t="s">
        <v>1654</v>
      </c>
      <c r="B27" s="675" t="s">
        <v>1655</v>
      </c>
      <c r="C27" s="675"/>
      <c r="D27" s="675"/>
      <c r="E27" s="675"/>
      <c r="F27" s="675"/>
      <c r="G27" s="676"/>
    </row>
    <row r="28" spans="1:7" ht="12.75" customHeight="1" x14ac:dyDescent="0.2">
      <c r="A28" s="677" t="s">
        <v>1654</v>
      </c>
      <c r="B28" s="678" t="s">
        <v>1656</v>
      </c>
      <c r="C28" s="678"/>
      <c r="D28" s="678"/>
      <c r="E28" s="678"/>
      <c r="F28" s="678"/>
      <c r="G28" s="679"/>
    </row>
    <row r="29" spans="1:7" ht="102" customHeight="1" x14ac:dyDescent="0.2">
      <c r="A29" s="682" t="s">
        <v>1654</v>
      </c>
      <c r="B29" s="684" t="s">
        <v>1756</v>
      </c>
      <c r="C29" s="684"/>
      <c r="D29" s="684"/>
      <c r="E29" s="684" t="s">
        <v>1757</v>
      </c>
      <c r="F29" s="684"/>
      <c r="G29" s="685"/>
    </row>
    <row r="30" spans="1:7" ht="165.75" customHeight="1" x14ac:dyDescent="0.2">
      <c r="A30" s="697" t="s">
        <v>1133</v>
      </c>
      <c r="B30" s="698" t="s">
        <v>1765</v>
      </c>
      <c r="C30" s="699" t="s">
        <v>1762</v>
      </c>
      <c r="D30" s="699">
        <v>1</v>
      </c>
      <c r="E30" s="699" t="s">
        <v>1766</v>
      </c>
      <c r="F30" s="699" t="s">
        <v>1767</v>
      </c>
      <c r="G30" s="700">
        <f>ROUND(84  * 1 * 1.2,0)</f>
        <v>101</v>
      </c>
    </row>
    <row r="31" spans="1:7" ht="15.75" customHeight="1" x14ac:dyDescent="0.2">
      <c r="A31" s="674" t="s">
        <v>1654</v>
      </c>
      <c r="B31" s="675" t="s">
        <v>1655</v>
      </c>
      <c r="C31" s="675"/>
      <c r="D31" s="675"/>
      <c r="E31" s="675"/>
      <c r="F31" s="675"/>
      <c r="G31" s="676"/>
    </row>
    <row r="32" spans="1:7" ht="12.75" customHeight="1" x14ac:dyDescent="0.2">
      <c r="A32" s="677" t="s">
        <v>1654</v>
      </c>
      <c r="B32" s="678" t="s">
        <v>1656</v>
      </c>
      <c r="C32" s="678"/>
      <c r="D32" s="678"/>
      <c r="E32" s="678"/>
      <c r="F32" s="678"/>
      <c r="G32" s="679"/>
    </row>
    <row r="33" spans="1:7" ht="102" customHeight="1" x14ac:dyDescent="0.2">
      <c r="A33" s="682" t="s">
        <v>1654</v>
      </c>
      <c r="B33" s="684" t="s">
        <v>1756</v>
      </c>
      <c r="C33" s="684"/>
      <c r="D33" s="684"/>
      <c r="E33" s="684" t="s">
        <v>1757</v>
      </c>
      <c r="F33" s="684"/>
      <c r="G33" s="685"/>
    </row>
    <row r="34" spans="1:7" ht="165.75" customHeight="1" x14ac:dyDescent="0.2">
      <c r="A34" s="697" t="s">
        <v>1136</v>
      </c>
      <c r="B34" s="698" t="s">
        <v>1768</v>
      </c>
      <c r="C34" s="699" t="s">
        <v>1762</v>
      </c>
      <c r="D34" s="699">
        <v>1</v>
      </c>
      <c r="E34" s="699" t="s">
        <v>1769</v>
      </c>
      <c r="F34" s="699" t="s">
        <v>1770</v>
      </c>
      <c r="G34" s="700">
        <f>ROUND(118  * 1 * 1.2,0)</f>
        <v>142</v>
      </c>
    </row>
    <row r="35" spans="1:7" ht="15.75" customHeight="1" x14ac:dyDescent="0.2">
      <c r="A35" s="674" t="s">
        <v>1654</v>
      </c>
      <c r="B35" s="675" t="s">
        <v>1655</v>
      </c>
      <c r="C35" s="675"/>
      <c r="D35" s="675"/>
      <c r="E35" s="675"/>
      <c r="F35" s="675"/>
      <c r="G35" s="676"/>
    </row>
    <row r="36" spans="1:7" ht="12.75" customHeight="1" x14ac:dyDescent="0.2">
      <c r="A36" s="677" t="s">
        <v>1654</v>
      </c>
      <c r="B36" s="678" t="s">
        <v>1656</v>
      </c>
      <c r="C36" s="678"/>
      <c r="D36" s="678"/>
      <c r="E36" s="678"/>
      <c r="F36" s="678"/>
      <c r="G36" s="679"/>
    </row>
    <row r="37" spans="1:7" ht="102" customHeight="1" x14ac:dyDescent="0.2">
      <c r="A37" s="682" t="s">
        <v>1654</v>
      </c>
      <c r="B37" s="684" t="s">
        <v>1756</v>
      </c>
      <c r="C37" s="684"/>
      <c r="D37" s="684"/>
      <c r="E37" s="684" t="s">
        <v>1757</v>
      </c>
      <c r="F37" s="684"/>
      <c r="G37" s="685"/>
    </row>
    <row r="38" spans="1:7" ht="191.25" customHeight="1" x14ac:dyDescent="0.2">
      <c r="A38" s="697" t="s">
        <v>1310</v>
      </c>
      <c r="B38" s="698" t="s">
        <v>1771</v>
      </c>
      <c r="C38" s="699" t="s">
        <v>1772</v>
      </c>
      <c r="D38" s="699">
        <v>1</v>
      </c>
      <c r="E38" s="699" t="s">
        <v>1773</v>
      </c>
      <c r="F38" s="699" t="s">
        <v>1774</v>
      </c>
      <c r="G38" s="700">
        <f>ROUND(264  * 1 * 1.2,0)</f>
        <v>317</v>
      </c>
    </row>
    <row r="39" spans="1:7" ht="15.75" customHeight="1" x14ac:dyDescent="0.2">
      <c r="A39" s="674" t="s">
        <v>1654</v>
      </c>
      <c r="B39" s="675" t="s">
        <v>1655</v>
      </c>
      <c r="C39" s="675"/>
      <c r="D39" s="675"/>
      <c r="E39" s="675"/>
      <c r="F39" s="675"/>
      <c r="G39" s="676"/>
    </row>
    <row r="40" spans="1:7" ht="12.75" customHeight="1" x14ac:dyDescent="0.2">
      <c r="A40" s="677" t="s">
        <v>1654</v>
      </c>
      <c r="B40" s="678" t="s">
        <v>1656</v>
      </c>
      <c r="C40" s="678"/>
      <c r="D40" s="678"/>
      <c r="E40" s="678"/>
      <c r="F40" s="678"/>
      <c r="G40" s="679"/>
    </row>
    <row r="41" spans="1:7" ht="102" customHeight="1" x14ac:dyDescent="0.2">
      <c r="A41" s="682" t="s">
        <v>1654</v>
      </c>
      <c r="B41" s="684" t="s">
        <v>1756</v>
      </c>
      <c r="C41" s="684"/>
      <c r="D41" s="684"/>
      <c r="E41" s="684" t="s">
        <v>1757</v>
      </c>
      <c r="F41" s="684"/>
      <c r="G41" s="685"/>
    </row>
    <row r="42" spans="1:7" ht="178.5" customHeight="1" x14ac:dyDescent="0.2">
      <c r="A42" s="697" t="s">
        <v>1311</v>
      </c>
      <c r="B42" s="698" t="s">
        <v>1775</v>
      </c>
      <c r="C42" s="699" t="s">
        <v>1776</v>
      </c>
      <c r="D42" s="699">
        <v>14</v>
      </c>
      <c r="E42" s="699" t="s">
        <v>1777</v>
      </c>
      <c r="F42" s="699" t="s">
        <v>1778</v>
      </c>
      <c r="G42" s="700">
        <f>ROUND(19  * 14 * 1.2,0)</f>
        <v>319</v>
      </c>
    </row>
    <row r="43" spans="1:7" ht="15.75" customHeight="1" x14ac:dyDescent="0.2">
      <c r="A43" s="674" t="s">
        <v>1654</v>
      </c>
      <c r="B43" s="675" t="s">
        <v>1655</v>
      </c>
      <c r="C43" s="675"/>
      <c r="D43" s="675"/>
      <c r="E43" s="675"/>
      <c r="F43" s="675"/>
      <c r="G43" s="676"/>
    </row>
    <row r="44" spans="1:7" ht="12.75" customHeight="1" x14ac:dyDescent="0.2">
      <c r="A44" s="677" t="s">
        <v>1654</v>
      </c>
      <c r="B44" s="678" t="s">
        <v>1656</v>
      </c>
      <c r="C44" s="678"/>
      <c r="D44" s="678"/>
      <c r="E44" s="678"/>
      <c r="F44" s="678"/>
      <c r="G44" s="679"/>
    </row>
    <row r="45" spans="1:7" ht="102" customHeight="1" x14ac:dyDescent="0.2">
      <c r="A45" s="682" t="s">
        <v>1654</v>
      </c>
      <c r="B45" s="684" t="s">
        <v>1756</v>
      </c>
      <c r="C45" s="684"/>
      <c r="D45" s="684"/>
      <c r="E45" s="684" t="s">
        <v>1757</v>
      </c>
      <c r="F45" s="684"/>
      <c r="G45" s="685"/>
    </row>
    <row r="46" spans="1:7" ht="204" customHeight="1" x14ac:dyDescent="0.2">
      <c r="A46" s="697" t="s">
        <v>1312</v>
      </c>
      <c r="B46" s="698" t="s">
        <v>1779</v>
      </c>
      <c r="C46" s="699" t="s">
        <v>1780</v>
      </c>
      <c r="D46" s="699">
        <v>3</v>
      </c>
      <c r="E46" s="699" t="s">
        <v>1781</v>
      </c>
      <c r="F46" s="699" t="s">
        <v>1782</v>
      </c>
      <c r="G46" s="700">
        <f>ROUND(136  * 3 * 1.2,0)</f>
        <v>490</v>
      </c>
    </row>
    <row r="47" spans="1:7" ht="15.75" customHeight="1" x14ac:dyDescent="0.2">
      <c r="A47" s="674" t="s">
        <v>1654</v>
      </c>
      <c r="B47" s="675" t="s">
        <v>1655</v>
      </c>
      <c r="C47" s="675"/>
      <c r="D47" s="675"/>
      <c r="E47" s="675"/>
      <c r="F47" s="675"/>
      <c r="G47" s="676"/>
    </row>
    <row r="48" spans="1:7" ht="12.75" customHeight="1" x14ac:dyDescent="0.2">
      <c r="A48" s="677" t="s">
        <v>1654</v>
      </c>
      <c r="B48" s="678" t="s">
        <v>1656</v>
      </c>
      <c r="C48" s="678"/>
      <c r="D48" s="678"/>
      <c r="E48" s="678"/>
      <c r="F48" s="678"/>
      <c r="G48" s="679"/>
    </row>
    <row r="49" spans="1:7" ht="102" customHeight="1" x14ac:dyDescent="0.2">
      <c r="A49" s="682" t="s">
        <v>1654</v>
      </c>
      <c r="B49" s="684" t="s">
        <v>1756</v>
      </c>
      <c r="C49" s="684"/>
      <c r="D49" s="684"/>
      <c r="E49" s="684" t="s">
        <v>1757</v>
      </c>
      <c r="F49" s="684"/>
      <c r="G49" s="685"/>
    </row>
    <row r="50" spans="1:7" ht="178.5" customHeight="1" x14ac:dyDescent="0.2">
      <c r="A50" s="697" t="s">
        <v>1313</v>
      </c>
      <c r="B50" s="698" t="s">
        <v>1783</v>
      </c>
      <c r="C50" s="699" t="s">
        <v>1784</v>
      </c>
      <c r="D50" s="699">
        <v>3</v>
      </c>
      <c r="E50" s="699" t="s">
        <v>1785</v>
      </c>
      <c r="F50" s="699" t="s">
        <v>1786</v>
      </c>
      <c r="G50" s="700">
        <f>ROUND(78  * 3 * 1.2,0)</f>
        <v>281</v>
      </c>
    </row>
    <row r="51" spans="1:7" ht="15.75" customHeight="1" x14ac:dyDescent="0.2">
      <c r="A51" s="674" t="s">
        <v>1654</v>
      </c>
      <c r="B51" s="675" t="s">
        <v>1655</v>
      </c>
      <c r="C51" s="675"/>
      <c r="D51" s="675"/>
      <c r="E51" s="675"/>
      <c r="F51" s="675"/>
      <c r="G51" s="676"/>
    </row>
    <row r="52" spans="1:7" ht="12.75" customHeight="1" x14ac:dyDescent="0.2">
      <c r="A52" s="677" t="s">
        <v>1654</v>
      </c>
      <c r="B52" s="678" t="s">
        <v>1656</v>
      </c>
      <c r="C52" s="678"/>
      <c r="D52" s="678"/>
      <c r="E52" s="678"/>
      <c r="F52" s="678"/>
      <c r="G52" s="679"/>
    </row>
    <row r="53" spans="1:7" ht="102" customHeight="1" x14ac:dyDescent="0.2">
      <c r="A53" s="682" t="s">
        <v>1654</v>
      </c>
      <c r="B53" s="684" t="s">
        <v>1756</v>
      </c>
      <c r="C53" s="684"/>
      <c r="D53" s="684"/>
      <c r="E53" s="684" t="s">
        <v>1757</v>
      </c>
      <c r="F53" s="684"/>
      <c r="G53" s="685"/>
    </row>
    <row r="54" spans="1:7" ht="178.5" customHeight="1" x14ac:dyDescent="0.2">
      <c r="A54" s="697" t="s">
        <v>797</v>
      </c>
      <c r="B54" s="698" t="s">
        <v>1787</v>
      </c>
      <c r="C54" s="699" t="s">
        <v>1459</v>
      </c>
      <c r="D54" s="699">
        <v>30</v>
      </c>
      <c r="E54" s="699" t="s">
        <v>1788</v>
      </c>
      <c r="F54" s="699" t="s">
        <v>1789</v>
      </c>
      <c r="G54" s="700">
        <f>ROUND(7  * 30 * 1.2,0)</f>
        <v>252</v>
      </c>
    </row>
    <row r="55" spans="1:7" ht="15.75" customHeight="1" x14ac:dyDescent="0.2">
      <c r="A55" s="674" t="s">
        <v>1654</v>
      </c>
      <c r="B55" s="675" t="s">
        <v>1655</v>
      </c>
      <c r="C55" s="675"/>
      <c r="D55" s="675"/>
      <c r="E55" s="675"/>
      <c r="F55" s="675"/>
      <c r="G55" s="676"/>
    </row>
    <row r="56" spans="1:7" ht="12.75" customHeight="1" x14ac:dyDescent="0.2">
      <c r="A56" s="677" t="s">
        <v>1654</v>
      </c>
      <c r="B56" s="678" t="s">
        <v>1656</v>
      </c>
      <c r="C56" s="678"/>
      <c r="D56" s="678"/>
      <c r="E56" s="678"/>
      <c r="F56" s="678"/>
      <c r="G56" s="679"/>
    </row>
    <row r="57" spans="1:7" ht="102" customHeight="1" x14ac:dyDescent="0.2">
      <c r="A57" s="682" t="s">
        <v>1654</v>
      </c>
      <c r="B57" s="684" t="s">
        <v>1756</v>
      </c>
      <c r="C57" s="684"/>
      <c r="D57" s="684"/>
      <c r="E57" s="684" t="s">
        <v>1757</v>
      </c>
      <c r="F57" s="684"/>
      <c r="G57" s="685"/>
    </row>
    <row r="58" spans="1:7" ht="25.5" customHeight="1" x14ac:dyDescent="0.2">
      <c r="A58" s="682" t="s">
        <v>803</v>
      </c>
      <c r="B58" s="701" t="s">
        <v>1677</v>
      </c>
      <c r="C58" s="701"/>
      <c r="D58" s="701"/>
      <c r="E58" s="701"/>
      <c r="F58" s="701"/>
      <c r="G58" s="702">
        <f>ROUND((SUM($G$18:$G$54)),0)</f>
        <v>2274</v>
      </c>
    </row>
    <row r="59" spans="1:7" ht="25.5" customHeight="1" x14ac:dyDescent="0.2">
      <c r="A59" s="668" t="s">
        <v>1314</v>
      </c>
      <c r="B59" s="669" t="s">
        <v>1681</v>
      </c>
      <c r="C59" s="669"/>
      <c r="D59" s="669"/>
      <c r="E59" s="669"/>
      <c r="F59" s="669"/>
      <c r="G59" s="703">
        <f>ROUND(($G$58),0)</f>
        <v>2274</v>
      </c>
    </row>
    <row r="60" spans="1:7" ht="12.75" customHeight="1" x14ac:dyDescent="0.2">
      <c r="A60" s="668" t="s">
        <v>479</v>
      </c>
      <c r="B60" s="669" t="s">
        <v>1649</v>
      </c>
      <c r="C60" s="669"/>
      <c r="D60" s="669"/>
      <c r="E60" s="669" t="s">
        <v>1682</v>
      </c>
      <c r="F60" s="669"/>
      <c r="G60" s="670"/>
    </row>
    <row r="61" spans="1:7" ht="25.5" customHeight="1" x14ac:dyDescent="0.2">
      <c r="A61" s="668" t="s">
        <v>372</v>
      </c>
      <c r="B61" s="669" t="s">
        <v>1683</v>
      </c>
      <c r="C61" s="669"/>
      <c r="D61" s="669"/>
      <c r="E61" s="669"/>
      <c r="F61" s="669"/>
      <c r="G61" s="703">
        <f>ROUND(0,0)</f>
        <v>0</v>
      </c>
    </row>
    <row r="62" spans="1:7" ht="25.5" customHeight="1" x14ac:dyDescent="0.2">
      <c r="A62" s="668" t="s">
        <v>375</v>
      </c>
      <c r="B62" s="669" t="s">
        <v>1684</v>
      </c>
      <c r="C62" s="669"/>
      <c r="D62" s="669"/>
      <c r="E62" s="669"/>
      <c r="F62" s="669"/>
      <c r="G62" s="703">
        <f>ROUND(($G$61),0)</f>
        <v>0</v>
      </c>
    </row>
    <row r="63" spans="1:7" ht="12.75" customHeight="1" x14ac:dyDescent="0.2">
      <c r="A63" s="668" t="s">
        <v>481</v>
      </c>
      <c r="B63" s="669" t="s">
        <v>1649</v>
      </c>
      <c r="C63" s="669"/>
      <c r="D63" s="669"/>
      <c r="E63" s="669" t="s">
        <v>1685</v>
      </c>
      <c r="F63" s="669"/>
      <c r="G63" s="670"/>
    </row>
    <row r="64" spans="1:7" ht="165.75" customHeight="1" x14ac:dyDescent="0.2">
      <c r="A64" s="693" t="s">
        <v>556</v>
      </c>
      <c r="B64" s="694" t="s">
        <v>1752</v>
      </c>
      <c r="C64" s="695" t="s">
        <v>1753</v>
      </c>
      <c r="D64" s="695">
        <v>2</v>
      </c>
      <c r="E64" s="695" t="s">
        <v>1790</v>
      </c>
      <c r="F64" s="695" t="s">
        <v>1791</v>
      </c>
      <c r="G64" s="696">
        <f>ROUND(10  * 2,0)</f>
        <v>20</v>
      </c>
    </row>
    <row r="65" spans="1:7" ht="15.75" customHeight="1" x14ac:dyDescent="0.2">
      <c r="A65" s="674" t="s">
        <v>1654</v>
      </c>
      <c r="B65" s="675" t="s">
        <v>1655</v>
      </c>
      <c r="C65" s="675"/>
      <c r="D65" s="675"/>
      <c r="E65" s="675"/>
      <c r="F65" s="675"/>
      <c r="G65" s="676"/>
    </row>
    <row r="66" spans="1:7" ht="12.75" customHeight="1" x14ac:dyDescent="0.2">
      <c r="A66" s="682" t="s">
        <v>1654</v>
      </c>
      <c r="B66" s="684" t="s">
        <v>1656</v>
      </c>
      <c r="C66" s="684"/>
      <c r="D66" s="684"/>
      <c r="E66" s="684"/>
      <c r="F66" s="684"/>
      <c r="G66" s="685"/>
    </row>
    <row r="67" spans="1:7" ht="178.5" customHeight="1" x14ac:dyDescent="0.2">
      <c r="A67" s="697" t="s">
        <v>1336</v>
      </c>
      <c r="B67" s="698" t="s">
        <v>1758</v>
      </c>
      <c r="C67" s="699" t="s">
        <v>1457</v>
      </c>
      <c r="D67" s="699">
        <v>4</v>
      </c>
      <c r="E67" s="699" t="s">
        <v>1792</v>
      </c>
      <c r="F67" s="699" t="s">
        <v>1793</v>
      </c>
      <c r="G67" s="700">
        <f>ROUND(7  * 4,0)</f>
        <v>28</v>
      </c>
    </row>
    <row r="68" spans="1:7" ht="15.75" customHeight="1" x14ac:dyDescent="0.2">
      <c r="A68" s="674" t="s">
        <v>1654</v>
      </c>
      <c r="B68" s="675" t="s">
        <v>1655</v>
      </c>
      <c r="C68" s="675"/>
      <c r="D68" s="675"/>
      <c r="E68" s="675"/>
      <c r="F68" s="675"/>
      <c r="G68" s="676"/>
    </row>
    <row r="69" spans="1:7" ht="12.75" customHeight="1" x14ac:dyDescent="0.2">
      <c r="A69" s="682" t="s">
        <v>1654</v>
      </c>
      <c r="B69" s="684" t="s">
        <v>1656</v>
      </c>
      <c r="C69" s="684"/>
      <c r="D69" s="684"/>
      <c r="E69" s="684"/>
      <c r="F69" s="684"/>
      <c r="G69" s="685"/>
    </row>
    <row r="70" spans="1:7" ht="165.75" customHeight="1" x14ac:dyDescent="0.2">
      <c r="A70" s="697" t="s">
        <v>1337</v>
      </c>
      <c r="B70" s="698" t="s">
        <v>1761</v>
      </c>
      <c r="C70" s="699" t="s">
        <v>1762</v>
      </c>
      <c r="D70" s="699">
        <v>5</v>
      </c>
      <c r="E70" s="699" t="s">
        <v>1794</v>
      </c>
      <c r="F70" s="699" t="s">
        <v>1795</v>
      </c>
      <c r="G70" s="700">
        <f>ROUND(16  * 5,0)</f>
        <v>80</v>
      </c>
    </row>
    <row r="71" spans="1:7" ht="15.75" customHeight="1" x14ac:dyDescent="0.2">
      <c r="A71" s="674" t="s">
        <v>1654</v>
      </c>
      <c r="B71" s="675" t="s">
        <v>1655</v>
      </c>
      <c r="C71" s="675"/>
      <c r="D71" s="675"/>
      <c r="E71" s="675"/>
      <c r="F71" s="675"/>
      <c r="G71" s="676"/>
    </row>
    <row r="72" spans="1:7" ht="12.75" customHeight="1" x14ac:dyDescent="0.2">
      <c r="A72" s="682" t="s">
        <v>1654</v>
      </c>
      <c r="B72" s="684" t="s">
        <v>1656</v>
      </c>
      <c r="C72" s="684"/>
      <c r="D72" s="684"/>
      <c r="E72" s="684"/>
      <c r="F72" s="684"/>
      <c r="G72" s="685"/>
    </row>
    <row r="73" spans="1:7" ht="165.75" customHeight="1" x14ac:dyDescent="0.2">
      <c r="A73" s="697" t="s">
        <v>1338</v>
      </c>
      <c r="B73" s="698" t="s">
        <v>1765</v>
      </c>
      <c r="C73" s="699" t="s">
        <v>1762</v>
      </c>
      <c r="D73" s="699">
        <v>1</v>
      </c>
      <c r="E73" s="699" t="s">
        <v>1796</v>
      </c>
      <c r="F73" s="699" t="s">
        <v>1797</v>
      </c>
      <c r="G73" s="700">
        <f>ROUND(55  * 1,0)</f>
        <v>55</v>
      </c>
    </row>
    <row r="74" spans="1:7" ht="15.75" customHeight="1" x14ac:dyDescent="0.2">
      <c r="A74" s="674" t="s">
        <v>1654</v>
      </c>
      <c r="B74" s="675" t="s">
        <v>1655</v>
      </c>
      <c r="C74" s="675"/>
      <c r="D74" s="675"/>
      <c r="E74" s="675"/>
      <c r="F74" s="675"/>
      <c r="G74" s="676"/>
    </row>
    <row r="75" spans="1:7" ht="12.75" customHeight="1" x14ac:dyDescent="0.2">
      <c r="A75" s="682" t="s">
        <v>1654</v>
      </c>
      <c r="B75" s="684" t="s">
        <v>1656</v>
      </c>
      <c r="C75" s="684"/>
      <c r="D75" s="684"/>
      <c r="E75" s="684"/>
      <c r="F75" s="684"/>
      <c r="G75" s="685"/>
    </row>
    <row r="76" spans="1:7" ht="165.75" customHeight="1" x14ac:dyDescent="0.2">
      <c r="A76" s="697" t="s">
        <v>1339</v>
      </c>
      <c r="B76" s="698" t="s">
        <v>1768</v>
      </c>
      <c r="C76" s="699" t="s">
        <v>1762</v>
      </c>
      <c r="D76" s="699">
        <v>1</v>
      </c>
      <c r="E76" s="699" t="s">
        <v>1798</v>
      </c>
      <c r="F76" s="699" t="s">
        <v>1799</v>
      </c>
      <c r="G76" s="700">
        <f>ROUND(53  * 1,0)</f>
        <v>53</v>
      </c>
    </row>
    <row r="77" spans="1:7" ht="15.75" customHeight="1" x14ac:dyDescent="0.2">
      <c r="A77" s="674" t="s">
        <v>1654</v>
      </c>
      <c r="B77" s="675" t="s">
        <v>1655</v>
      </c>
      <c r="C77" s="675"/>
      <c r="D77" s="675"/>
      <c r="E77" s="675"/>
      <c r="F77" s="675"/>
      <c r="G77" s="676"/>
    </row>
    <row r="78" spans="1:7" ht="12.75" customHeight="1" x14ac:dyDescent="0.2">
      <c r="A78" s="682" t="s">
        <v>1654</v>
      </c>
      <c r="B78" s="684" t="s">
        <v>1656</v>
      </c>
      <c r="C78" s="684"/>
      <c r="D78" s="684"/>
      <c r="E78" s="684"/>
      <c r="F78" s="684"/>
      <c r="G78" s="685"/>
    </row>
    <row r="79" spans="1:7" ht="191.25" customHeight="1" x14ac:dyDescent="0.2">
      <c r="A79" s="697" t="s">
        <v>1340</v>
      </c>
      <c r="B79" s="698" t="s">
        <v>1771</v>
      </c>
      <c r="C79" s="699" t="s">
        <v>1772</v>
      </c>
      <c r="D79" s="699">
        <v>1</v>
      </c>
      <c r="E79" s="699" t="s">
        <v>1800</v>
      </c>
      <c r="F79" s="699" t="s">
        <v>1801</v>
      </c>
      <c r="G79" s="700">
        <f>ROUND(21  * 1,0)</f>
        <v>21</v>
      </c>
    </row>
    <row r="80" spans="1:7" ht="15.75" customHeight="1" x14ac:dyDescent="0.2">
      <c r="A80" s="674" t="s">
        <v>1654</v>
      </c>
      <c r="B80" s="675" t="s">
        <v>1655</v>
      </c>
      <c r="C80" s="675"/>
      <c r="D80" s="675"/>
      <c r="E80" s="675"/>
      <c r="F80" s="675"/>
      <c r="G80" s="676"/>
    </row>
    <row r="81" spans="1:7" ht="12.75" customHeight="1" x14ac:dyDescent="0.2">
      <c r="A81" s="682" t="s">
        <v>1654</v>
      </c>
      <c r="B81" s="684" t="s">
        <v>1656</v>
      </c>
      <c r="C81" s="684"/>
      <c r="D81" s="684"/>
      <c r="E81" s="684"/>
      <c r="F81" s="684"/>
      <c r="G81" s="685"/>
    </row>
    <row r="82" spans="1:7" ht="152.25" customHeight="1" x14ac:dyDescent="0.2">
      <c r="A82" s="697" t="s">
        <v>1341</v>
      </c>
      <c r="B82" s="698" t="s">
        <v>1783</v>
      </c>
      <c r="C82" s="699" t="s">
        <v>1784</v>
      </c>
      <c r="D82" s="699">
        <v>3</v>
      </c>
      <c r="E82" s="699" t="s">
        <v>1802</v>
      </c>
      <c r="F82" s="699" t="s">
        <v>1803</v>
      </c>
      <c r="G82" s="700">
        <f>ROUND(17  * 3,0)</f>
        <v>51</v>
      </c>
    </row>
    <row r="83" spans="1:7" ht="15.75" customHeight="1" x14ac:dyDescent="0.2">
      <c r="A83" s="674" t="s">
        <v>1654</v>
      </c>
      <c r="B83" s="675" t="s">
        <v>1655</v>
      </c>
      <c r="C83" s="675"/>
      <c r="D83" s="675"/>
      <c r="E83" s="675"/>
      <c r="F83" s="675"/>
      <c r="G83" s="676"/>
    </row>
    <row r="84" spans="1:7" ht="12.75" customHeight="1" x14ac:dyDescent="0.2">
      <c r="A84" s="682" t="s">
        <v>1654</v>
      </c>
      <c r="B84" s="684" t="s">
        <v>1656</v>
      </c>
      <c r="C84" s="684"/>
      <c r="D84" s="684"/>
      <c r="E84" s="684"/>
      <c r="F84" s="684"/>
      <c r="G84" s="685"/>
    </row>
    <row r="85" spans="1:7" ht="156" customHeight="1" x14ac:dyDescent="0.2">
      <c r="A85" s="697" t="s">
        <v>1342</v>
      </c>
      <c r="B85" s="698" t="s">
        <v>1804</v>
      </c>
      <c r="C85" s="699" t="s">
        <v>1461</v>
      </c>
      <c r="D85" s="699">
        <v>1</v>
      </c>
      <c r="E85" s="699" t="s">
        <v>1805</v>
      </c>
      <c r="F85" s="699" t="s">
        <v>1806</v>
      </c>
      <c r="G85" s="700">
        <f>ROUND(61  * 1,0)</f>
        <v>61</v>
      </c>
    </row>
    <row r="86" spans="1:7" ht="15.75" customHeight="1" x14ac:dyDescent="0.2">
      <c r="A86" s="674" t="s">
        <v>1654</v>
      </c>
      <c r="B86" s="675" t="s">
        <v>1655</v>
      </c>
      <c r="C86" s="675"/>
      <c r="D86" s="675"/>
      <c r="E86" s="675"/>
      <c r="F86" s="675"/>
      <c r="G86" s="676"/>
    </row>
    <row r="87" spans="1:7" ht="12.75" customHeight="1" x14ac:dyDescent="0.2">
      <c r="A87" s="682" t="s">
        <v>1654</v>
      </c>
      <c r="B87" s="684" t="s">
        <v>1656</v>
      </c>
      <c r="C87" s="684"/>
      <c r="D87" s="684"/>
      <c r="E87" s="684"/>
      <c r="F87" s="684"/>
      <c r="G87" s="685"/>
    </row>
    <row r="88" spans="1:7" ht="178.5" customHeight="1" x14ac:dyDescent="0.2">
      <c r="A88" s="697" t="s">
        <v>1343</v>
      </c>
      <c r="B88" s="698" t="s">
        <v>1807</v>
      </c>
      <c r="C88" s="699" t="s">
        <v>1460</v>
      </c>
      <c r="D88" s="699">
        <v>1</v>
      </c>
      <c r="E88" s="699" t="s">
        <v>1808</v>
      </c>
      <c r="F88" s="699" t="s">
        <v>1809</v>
      </c>
      <c r="G88" s="700">
        <f>ROUND(105  * 1,0)</f>
        <v>105</v>
      </c>
    </row>
    <row r="89" spans="1:7" ht="15.75" customHeight="1" x14ac:dyDescent="0.2">
      <c r="A89" s="674" t="s">
        <v>1654</v>
      </c>
      <c r="B89" s="675" t="s">
        <v>1655</v>
      </c>
      <c r="C89" s="675"/>
      <c r="D89" s="675"/>
      <c r="E89" s="675"/>
      <c r="F89" s="675"/>
      <c r="G89" s="676"/>
    </row>
    <row r="90" spans="1:7" ht="12.75" customHeight="1" x14ac:dyDescent="0.2">
      <c r="A90" s="682" t="s">
        <v>1654</v>
      </c>
      <c r="B90" s="684" t="s">
        <v>1656</v>
      </c>
      <c r="C90" s="684"/>
      <c r="D90" s="684"/>
      <c r="E90" s="684"/>
      <c r="F90" s="684"/>
      <c r="G90" s="685"/>
    </row>
    <row r="91" spans="1:7" ht="178.5" customHeight="1" x14ac:dyDescent="0.2">
      <c r="A91" s="697" t="s">
        <v>730</v>
      </c>
      <c r="B91" s="698" t="s">
        <v>1810</v>
      </c>
      <c r="C91" s="699" t="s">
        <v>1811</v>
      </c>
      <c r="D91" s="699">
        <v>7</v>
      </c>
      <c r="E91" s="699" t="s">
        <v>1812</v>
      </c>
      <c r="F91" s="699" t="s">
        <v>1813</v>
      </c>
      <c r="G91" s="700">
        <f>ROUND(41  * 7,0)</f>
        <v>287</v>
      </c>
    </row>
    <row r="92" spans="1:7" ht="15.75" customHeight="1" x14ac:dyDescent="0.2">
      <c r="A92" s="674" t="s">
        <v>1654</v>
      </c>
      <c r="B92" s="675" t="s">
        <v>1655</v>
      </c>
      <c r="C92" s="675"/>
      <c r="D92" s="675"/>
      <c r="E92" s="675"/>
      <c r="F92" s="675"/>
      <c r="G92" s="676"/>
    </row>
    <row r="93" spans="1:7" ht="12.75" customHeight="1" x14ac:dyDescent="0.2">
      <c r="A93" s="682" t="s">
        <v>1654</v>
      </c>
      <c r="B93" s="684" t="s">
        <v>1656</v>
      </c>
      <c r="C93" s="684"/>
      <c r="D93" s="684"/>
      <c r="E93" s="684"/>
      <c r="F93" s="684"/>
      <c r="G93" s="685"/>
    </row>
    <row r="94" spans="1:7" ht="178.5" customHeight="1" x14ac:dyDescent="0.2">
      <c r="A94" s="697" t="s">
        <v>733</v>
      </c>
      <c r="B94" s="698" t="s">
        <v>1814</v>
      </c>
      <c r="C94" s="699" t="s">
        <v>1811</v>
      </c>
      <c r="D94" s="699">
        <v>7</v>
      </c>
      <c r="E94" s="699" t="s">
        <v>1815</v>
      </c>
      <c r="F94" s="699" t="s">
        <v>1816</v>
      </c>
      <c r="G94" s="700">
        <f>ROUND(19  * 7,0)</f>
        <v>133</v>
      </c>
    </row>
    <row r="95" spans="1:7" ht="15.75" customHeight="1" x14ac:dyDescent="0.2">
      <c r="A95" s="674" t="s">
        <v>1654</v>
      </c>
      <c r="B95" s="675" t="s">
        <v>1655</v>
      </c>
      <c r="C95" s="675"/>
      <c r="D95" s="675"/>
      <c r="E95" s="675"/>
      <c r="F95" s="675"/>
      <c r="G95" s="676"/>
    </row>
    <row r="96" spans="1:7" ht="12.75" customHeight="1" x14ac:dyDescent="0.2">
      <c r="A96" s="682" t="s">
        <v>1654</v>
      </c>
      <c r="B96" s="684" t="s">
        <v>1656</v>
      </c>
      <c r="C96" s="684"/>
      <c r="D96" s="684"/>
      <c r="E96" s="684"/>
      <c r="F96" s="684"/>
      <c r="G96" s="685"/>
    </row>
    <row r="97" spans="1:7" ht="153" customHeight="1" x14ac:dyDescent="0.2">
      <c r="A97" s="697" t="s">
        <v>740</v>
      </c>
      <c r="B97" s="698" t="s">
        <v>1817</v>
      </c>
      <c r="C97" s="699" t="s">
        <v>1463</v>
      </c>
      <c r="D97" s="699">
        <v>7</v>
      </c>
      <c r="E97" s="699" t="s">
        <v>1818</v>
      </c>
      <c r="F97" s="699" t="s">
        <v>1819</v>
      </c>
      <c r="G97" s="700">
        <f>ROUND(77  * 7 * 0.5,0)</f>
        <v>270</v>
      </c>
    </row>
    <row r="98" spans="1:7" ht="15.75" customHeight="1" x14ac:dyDescent="0.2">
      <c r="A98" s="674" t="s">
        <v>1654</v>
      </c>
      <c r="B98" s="675" t="s">
        <v>1655</v>
      </c>
      <c r="C98" s="675"/>
      <c r="D98" s="675"/>
      <c r="E98" s="675"/>
      <c r="F98" s="675"/>
      <c r="G98" s="676"/>
    </row>
    <row r="99" spans="1:7" ht="12.75" customHeight="1" x14ac:dyDescent="0.2">
      <c r="A99" s="677" t="s">
        <v>1654</v>
      </c>
      <c r="B99" s="678" t="s">
        <v>1656</v>
      </c>
      <c r="C99" s="678"/>
      <c r="D99" s="678"/>
      <c r="E99" s="678"/>
      <c r="F99" s="678"/>
      <c r="G99" s="679"/>
    </row>
    <row r="100" spans="1:7" ht="63.75" customHeight="1" x14ac:dyDescent="0.2">
      <c r="A100" s="682" t="s">
        <v>1654</v>
      </c>
      <c r="B100" s="684" t="s">
        <v>1820</v>
      </c>
      <c r="C100" s="684"/>
      <c r="D100" s="684"/>
      <c r="E100" s="684" t="s">
        <v>1821</v>
      </c>
      <c r="F100" s="684"/>
      <c r="G100" s="685"/>
    </row>
    <row r="101" spans="1:7" ht="178.5" customHeight="1" x14ac:dyDescent="0.2">
      <c r="A101" s="697" t="s">
        <v>1344</v>
      </c>
      <c r="B101" s="698" t="s">
        <v>1822</v>
      </c>
      <c r="C101" s="699" t="s">
        <v>1823</v>
      </c>
      <c r="D101" s="699">
        <v>14</v>
      </c>
      <c r="E101" s="699" t="s">
        <v>1824</v>
      </c>
      <c r="F101" s="699" t="s">
        <v>1825</v>
      </c>
      <c r="G101" s="700">
        <f>ROUND(68  * 14,0)</f>
        <v>952</v>
      </c>
    </row>
    <row r="102" spans="1:7" ht="15.75" customHeight="1" x14ac:dyDescent="0.2">
      <c r="A102" s="674" t="s">
        <v>1654</v>
      </c>
      <c r="B102" s="675" t="s">
        <v>1655</v>
      </c>
      <c r="C102" s="675"/>
      <c r="D102" s="675"/>
      <c r="E102" s="675"/>
      <c r="F102" s="675"/>
      <c r="G102" s="676"/>
    </row>
    <row r="103" spans="1:7" ht="12.75" customHeight="1" x14ac:dyDescent="0.2">
      <c r="A103" s="682" t="s">
        <v>1654</v>
      </c>
      <c r="B103" s="684" t="s">
        <v>1656</v>
      </c>
      <c r="C103" s="684"/>
      <c r="D103" s="684"/>
      <c r="E103" s="684"/>
      <c r="F103" s="684"/>
      <c r="G103" s="685"/>
    </row>
    <row r="104" spans="1:7" ht="204" customHeight="1" x14ac:dyDescent="0.2">
      <c r="A104" s="697" t="s">
        <v>1345</v>
      </c>
      <c r="B104" s="698" t="s">
        <v>1826</v>
      </c>
      <c r="C104" s="699" t="s">
        <v>1827</v>
      </c>
      <c r="D104" s="699">
        <v>14</v>
      </c>
      <c r="E104" s="699" t="s">
        <v>1828</v>
      </c>
      <c r="F104" s="699" t="s">
        <v>1829</v>
      </c>
      <c r="G104" s="700">
        <f>ROUND(3.8  * 14,0)</f>
        <v>53</v>
      </c>
    </row>
    <row r="105" spans="1:7" ht="15.75" customHeight="1" x14ac:dyDescent="0.2">
      <c r="A105" s="674" t="s">
        <v>1654</v>
      </c>
      <c r="B105" s="675" t="s">
        <v>1655</v>
      </c>
      <c r="C105" s="675"/>
      <c r="D105" s="675"/>
      <c r="E105" s="675"/>
      <c r="F105" s="675"/>
      <c r="G105" s="676"/>
    </row>
    <row r="106" spans="1:7" ht="12.75" customHeight="1" x14ac:dyDescent="0.2">
      <c r="A106" s="682" t="s">
        <v>1654</v>
      </c>
      <c r="B106" s="684" t="s">
        <v>1656</v>
      </c>
      <c r="C106" s="684"/>
      <c r="D106" s="684"/>
      <c r="E106" s="684"/>
      <c r="F106" s="684"/>
      <c r="G106" s="685"/>
    </row>
    <row r="107" spans="1:7" ht="165.75" customHeight="1" x14ac:dyDescent="0.2">
      <c r="A107" s="697" t="s">
        <v>1346</v>
      </c>
      <c r="B107" s="698" t="s">
        <v>1830</v>
      </c>
      <c r="C107" s="699" t="s">
        <v>1831</v>
      </c>
      <c r="D107" s="699">
        <v>1</v>
      </c>
      <c r="E107" s="699" t="s">
        <v>1832</v>
      </c>
      <c r="F107" s="699" t="s">
        <v>1833</v>
      </c>
      <c r="G107" s="700">
        <f>ROUND(447  * 1,0)</f>
        <v>447</v>
      </c>
    </row>
    <row r="108" spans="1:7" ht="15.75" customHeight="1" x14ac:dyDescent="0.2">
      <c r="A108" s="674" t="s">
        <v>1654</v>
      </c>
      <c r="B108" s="675" t="s">
        <v>1655</v>
      </c>
      <c r="C108" s="675"/>
      <c r="D108" s="675"/>
      <c r="E108" s="675"/>
      <c r="F108" s="675"/>
      <c r="G108" s="676"/>
    </row>
    <row r="109" spans="1:7" ht="12.75" customHeight="1" x14ac:dyDescent="0.2">
      <c r="A109" s="682" t="s">
        <v>1654</v>
      </c>
      <c r="B109" s="684" t="s">
        <v>1656</v>
      </c>
      <c r="C109" s="684"/>
      <c r="D109" s="684"/>
      <c r="E109" s="684"/>
      <c r="F109" s="684"/>
      <c r="G109" s="685"/>
    </row>
    <row r="110" spans="1:7" ht="165.75" customHeight="1" x14ac:dyDescent="0.2">
      <c r="A110" s="697" t="s">
        <v>1347</v>
      </c>
      <c r="B110" s="698" t="s">
        <v>1834</v>
      </c>
      <c r="C110" s="699" t="s">
        <v>1831</v>
      </c>
      <c r="D110" s="699">
        <v>1</v>
      </c>
      <c r="E110" s="699" t="s">
        <v>1835</v>
      </c>
      <c r="F110" s="699" t="s">
        <v>1836</v>
      </c>
      <c r="G110" s="700">
        <f>ROUND(812  * 1,0)</f>
        <v>812</v>
      </c>
    </row>
    <row r="111" spans="1:7" ht="15.75" customHeight="1" x14ac:dyDescent="0.2">
      <c r="A111" s="674" t="s">
        <v>1654</v>
      </c>
      <c r="B111" s="675" t="s">
        <v>1655</v>
      </c>
      <c r="C111" s="675"/>
      <c r="D111" s="675"/>
      <c r="E111" s="675"/>
      <c r="F111" s="675"/>
      <c r="G111" s="676"/>
    </row>
    <row r="112" spans="1:7" ht="12.75" customHeight="1" x14ac:dyDescent="0.2">
      <c r="A112" s="682" t="s">
        <v>1654</v>
      </c>
      <c r="B112" s="684" t="s">
        <v>1656</v>
      </c>
      <c r="C112" s="684"/>
      <c r="D112" s="684"/>
      <c r="E112" s="684"/>
      <c r="F112" s="684"/>
      <c r="G112" s="685"/>
    </row>
    <row r="113" spans="1:7" ht="191.25" customHeight="1" x14ac:dyDescent="0.2">
      <c r="A113" s="697" t="s">
        <v>1348</v>
      </c>
      <c r="B113" s="698" t="s">
        <v>1837</v>
      </c>
      <c r="C113" s="699" t="s">
        <v>1462</v>
      </c>
      <c r="D113" s="699">
        <v>4</v>
      </c>
      <c r="E113" s="699" t="s">
        <v>1838</v>
      </c>
      <c r="F113" s="699" t="s">
        <v>1839</v>
      </c>
      <c r="G113" s="700">
        <f>ROUND(90  * 4,0)</f>
        <v>360</v>
      </c>
    </row>
    <row r="114" spans="1:7" ht="15.75" customHeight="1" x14ac:dyDescent="0.2">
      <c r="A114" s="674" t="s">
        <v>1654</v>
      </c>
      <c r="B114" s="675" t="s">
        <v>1655</v>
      </c>
      <c r="C114" s="675"/>
      <c r="D114" s="675"/>
      <c r="E114" s="675"/>
      <c r="F114" s="675"/>
      <c r="G114" s="676"/>
    </row>
    <row r="115" spans="1:7" ht="12.75" customHeight="1" x14ac:dyDescent="0.2">
      <c r="A115" s="682" t="s">
        <v>1654</v>
      </c>
      <c r="B115" s="684" t="s">
        <v>1656</v>
      </c>
      <c r="C115" s="684"/>
      <c r="D115" s="684"/>
      <c r="E115" s="684"/>
      <c r="F115" s="684"/>
      <c r="G115" s="685"/>
    </row>
    <row r="116" spans="1:7" ht="178.5" customHeight="1" x14ac:dyDescent="0.2">
      <c r="A116" s="697" t="s">
        <v>1349</v>
      </c>
      <c r="B116" s="698" t="s">
        <v>1840</v>
      </c>
      <c r="C116" s="699" t="s">
        <v>1464</v>
      </c>
      <c r="D116" s="699">
        <v>1</v>
      </c>
      <c r="E116" s="699" t="s">
        <v>1841</v>
      </c>
      <c r="F116" s="699" t="s">
        <v>1842</v>
      </c>
      <c r="G116" s="700">
        <f>ROUND(305  * 1,0)</f>
        <v>305</v>
      </c>
    </row>
    <row r="117" spans="1:7" ht="15.75" customHeight="1" x14ac:dyDescent="0.2">
      <c r="A117" s="674" t="s">
        <v>1654</v>
      </c>
      <c r="B117" s="675" t="s">
        <v>1655</v>
      </c>
      <c r="C117" s="675"/>
      <c r="D117" s="675"/>
      <c r="E117" s="675"/>
      <c r="F117" s="675"/>
      <c r="G117" s="676"/>
    </row>
    <row r="118" spans="1:7" ht="12.75" customHeight="1" x14ac:dyDescent="0.2">
      <c r="A118" s="682" t="s">
        <v>1654</v>
      </c>
      <c r="B118" s="684" t="s">
        <v>1656</v>
      </c>
      <c r="C118" s="684"/>
      <c r="D118" s="684"/>
      <c r="E118" s="684"/>
      <c r="F118" s="684"/>
      <c r="G118" s="685"/>
    </row>
    <row r="119" spans="1:7" ht="165.75" customHeight="1" x14ac:dyDescent="0.2">
      <c r="A119" s="697" t="s">
        <v>1350</v>
      </c>
      <c r="B119" s="698" t="s">
        <v>1843</v>
      </c>
      <c r="C119" s="699" t="s">
        <v>1465</v>
      </c>
      <c r="D119" s="699">
        <v>1</v>
      </c>
      <c r="E119" s="699" t="s">
        <v>1844</v>
      </c>
      <c r="F119" s="699" t="s">
        <v>1845</v>
      </c>
      <c r="G119" s="700">
        <f>ROUND(1700  * 1,0)</f>
        <v>1700</v>
      </c>
    </row>
    <row r="120" spans="1:7" ht="15.75" customHeight="1" x14ac:dyDescent="0.2">
      <c r="A120" s="674" t="s">
        <v>1654</v>
      </c>
      <c r="B120" s="675" t="s">
        <v>1655</v>
      </c>
      <c r="C120" s="675"/>
      <c r="D120" s="675"/>
      <c r="E120" s="675"/>
      <c r="F120" s="675"/>
      <c r="G120" s="676"/>
    </row>
    <row r="121" spans="1:7" ht="12.75" customHeight="1" x14ac:dyDescent="0.2">
      <c r="A121" s="682" t="s">
        <v>1654</v>
      </c>
      <c r="B121" s="684" t="s">
        <v>1656</v>
      </c>
      <c r="C121" s="684"/>
      <c r="D121" s="684"/>
      <c r="E121" s="684"/>
      <c r="F121" s="684"/>
      <c r="G121" s="685"/>
    </row>
    <row r="122" spans="1:7" ht="127.5" customHeight="1" x14ac:dyDescent="0.2">
      <c r="A122" s="697" t="s">
        <v>1351</v>
      </c>
      <c r="B122" s="698" t="s">
        <v>1846</v>
      </c>
      <c r="C122" s="699" t="s">
        <v>1847</v>
      </c>
      <c r="D122" s="699">
        <v>1</v>
      </c>
      <c r="E122" s="699" t="s">
        <v>1848</v>
      </c>
      <c r="F122" s="699" t="s">
        <v>1849</v>
      </c>
      <c r="G122" s="700">
        <f>ROUND(4345  * 1,0)</f>
        <v>4345</v>
      </c>
    </row>
    <row r="123" spans="1:7" ht="15.75" customHeight="1" x14ac:dyDescent="0.2">
      <c r="A123" s="674" t="s">
        <v>1654</v>
      </c>
      <c r="B123" s="675" t="s">
        <v>1655</v>
      </c>
      <c r="C123" s="675"/>
      <c r="D123" s="675"/>
      <c r="E123" s="675"/>
      <c r="F123" s="675"/>
      <c r="G123" s="676"/>
    </row>
    <row r="124" spans="1:7" ht="12.75" customHeight="1" x14ac:dyDescent="0.2">
      <c r="A124" s="682" t="s">
        <v>1654</v>
      </c>
      <c r="B124" s="684" t="s">
        <v>1656</v>
      </c>
      <c r="C124" s="684"/>
      <c r="D124" s="684"/>
      <c r="E124" s="684"/>
      <c r="F124" s="684"/>
      <c r="G124" s="685"/>
    </row>
    <row r="125" spans="1:7" ht="25.5" customHeight="1" x14ac:dyDescent="0.2">
      <c r="A125" s="682" t="s">
        <v>1352</v>
      </c>
      <c r="B125" s="701" t="s">
        <v>1705</v>
      </c>
      <c r="C125" s="701"/>
      <c r="D125" s="701"/>
      <c r="E125" s="701"/>
      <c r="F125" s="701"/>
      <c r="G125" s="702">
        <f>ROUND((SUM($G$64:$G$122)),0)</f>
        <v>10138</v>
      </c>
    </row>
    <row r="126" spans="1:7" ht="76.5" customHeight="1" x14ac:dyDescent="0.2">
      <c r="A126" s="668" t="s">
        <v>1353</v>
      </c>
      <c r="B126" s="704" t="s">
        <v>1717</v>
      </c>
      <c r="C126" s="704"/>
      <c r="D126" s="704"/>
      <c r="E126" s="704" t="s">
        <v>1850</v>
      </c>
      <c r="F126" s="704" t="s">
        <v>1851</v>
      </c>
      <c r="G126" s="705">
        <f>ROUND(($G$125) * 1 * 1 * 6 / 100 * 1,0)</f>
        <v>608</v>
      </c>
    </row>
    <row r="127" spans="1:7" ht="89.25" customHeight="1" x14ac:dyDescent="0.2">
      <c r="A127" s="668" t="s">
        <v>1852</v>
      </c>
      <c r="B127" s="704" t="s">
        <v>1745</v>
      </c>
      <c r="C127" s="704"/>
      <c r="D127" s="704"/>
      <c r="E127" s="704" t="s">
        <v>1853</v>
      </c>
      <c r="F127" s="704" t="s">
        <v>1854</v>
      </c>
      <c r="G127" s="705">
        <f>ROUND(($G$58) * 8.75 / 100 * 1,0)</f>
        <v>199</v>
      </c>
    </row>
    <row r="128" spans="1:7" ht="89.25" customHeight="1" x14ac:dyDescent="0.2">
      <c r="A128" s="668" t="s">
        <v>1855</v>
      </c>
      <c r="B128" s="704" t="s">
        <v>1856</v>
      </c>
      <c r="C128" s="704"/>
      <c r="D128" s="704"/>
      <c r="E128" s="704" t="s">
        <v>1857</v>
      </c>
      <c r="F128" s="704" t="s">
        <v>1858</v>
      </c>
      <c r="G128" s="705">
        <f>ROUND(($G$125 + $G$127) * 19.6 / 100 * 1,0)</f>
        <v>2026</v>
      </c>
    </row>
    <row r="129" spans="1:7" ht="25.5" customHeight="1" x14ac:dyDescent="0.2">
      <c r="A129" s="668" t="s">
        <v>1859</v>
      </c>
      <c r="B129" s="669" t="s">
        <v>1706</v>
      </c>
      <c r="C129" s="669"/>
      <c r="D129" s="669"/>
      <c r="E129" s="669"/>
      <c r="F129" s="669"/>
      <c r="G129" s="703">
        <f>ROUND((SUM($G$125:$G$128)),0)</f>
        <v>12971</v>
      </c>
    </row>
    <row r="130" spans="1:7" ht="12.75" customHeight="1" x14ac:dyDescent="0.2">
      <c r="A130" s="668" t="s">
        <v>483</v>
      </c>
      <c r="B130" s="669" t="s">
        <v>1649</v>
      </c>
      <c r="C130" s="669"/>
      <c r="D130" s="669"/>
      <c r="E130" s="669" t="s">
        <v>1707</v>
      </c>
      <c r="F130" s="669"/>
      <c r="G130" s="670"/>
    </row>
    <row r="131" spans="1:7" ht="12.75" customHeight="1" x14ac:dyDescent="0.2">
      <c r="A131" s="668" t="s">
        <v>515</v>
      </c>
      <c r="B131" s="669" t="s">
        <v>1720</v>
      </c>
      <c r="C131" s="669"/>
      <c r="D131" s="669"/>
      <c r="E131" s="669"/>
      <c r="F131" s="669"/>
      <c r="G131" s="703">
        <f>ROUND(0,0)</f>
        <v>0</v>
      </c>
    </row>
    <row r="132" spans="1:7" ht="12.75" customHeight="1" x14ac:dyDescent="0.2">
      <c r="A132" s="668" t="s">
        <v>485</v>
      </c>
      <c r="B132" s="669" t="s">
        <v>1721</v>
      </c>
      <c r="C132" s="669"/>
      <c r="D132" s="669"/>
      <c r="E132" s="669"/>
      <c r="F132" s="669"/>
      <c r="G132" s="703">
        <f>ROUND(($G$59 + $G$62 +SUM( $G$129:$G$131)),0)</f>
        <v>15245</v>
      </c>
    </row>
    <row r="133" spans="1:7" ht="51" customHeight="1" x14ac:dyDescent="0.2">
      <c r="A133" s="668" t="s">
        <v>523</v>
      </c>
      <c r="B133" s="704" t="s">
        <v>1740</v>
      </c>
      <c r="C133" s="704"/>
      <c r="D133" s="704"/>
      <c r="E133" s="689" t="s">
        <v>1723</v>
      </c>
      <c r="F133" s="704" t="s">
        <v>1741</v>
      </c>
      <c r="G133" s="705">
        <f>ROUND(($G$132) * 61.09 * 1,0)</f>
        <v>931317</v>
      </c>
    </row>
    <row r="134" spans="1:7" ht="12.75" customHeight="1" x14ac:dyDescent="0.2">
      <c r="A134" s="668" t="s">
        <v>573</v>
      </c>
      <c r="B134" s="669" t="s">
        <v>1728</v>
      </c>
      <c r="C134" s="669"/>
      <c r="D134" s="669"/>
      <c r="E134" s="669"/>
      <c r="F134" s="669"/>
      <c r="G134" s="703">
        <f>ROUND(($G$133),0)</f>
        <v>931317</v>
      </c>
    </row>
    <row r="135" spans="1:7" ht="39" customHeight="1" x14ac:dyDescent="0.2">
      <c r="A135" s="686"/>
      <c r="B135" s="1120" t="s">
        <v>1729</v>
      </c>
      <c r="C135" s="1121"/>
      <c r="D135" s="1122"/>
      <c r="E135" s="687" t="s">
        <v>1742</v>
      </c>
      <c r="F135" s="687"/>
      <c r="G135" s="688">
        <f>ROUND(G134*0.1,0)</f>
        <v>93132</v>
      </c>
    </row>
    <row r="137" spans="1:7" x14ac:dyDescent="0.2">
      <c r="B137" s="657" t="s">
        <v>1731</v>
      </c>
      <c r="E137" s="657" t="s">
        <v>1732</v>
      </c>
    </row>
    <row r="139" spans="1:7" x14ac:dyDescent="0.2">
      <c r="B139" s="657" t="s">
        <v>1733</v>
      </c>
      <c r="E139" s="657" t="s">
        <v>1734</v>
      </c>
    </row>
  </sheetData>
  <mergeCells count="12">
    <mergeCell ref="B135:D135"/>
    <mergeCell ref="A1:B1"/>
    <mergeCell ref="C1:G1"/>
    <mergeCell ref="B4:F4"/>
    <mergeCell ref="B5:F5"/>
    <mergeCell ref="A7:C7"/>
    <mergeCell ref="D7:G7"/>
    <mergeCell ref="A9:C9"/>
    <mergeCell ref="D9:G10"/>
    <mergeCell ref="A11:C11"/>
    <mergeCell ref="D11:G12"/>
    <mergeCell ref="A13:G13"/>
  </mergeCells>
  <pageMargins left="0.39374999999999999" right="0.39374999999999999" top="0.59027777777777779" bottom="0.82777777777777783" header="0.51180555555555562" footer="0.59027777777777779"/>
  <pageSetup paperSize="9" scale="99" orientation="portrait" useFirstPageNumber="1" horizontalDpi="300" verticalDpi="300" r:id="rId1"/>
  <headerFooter alignWithMargins="0"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zoomScaleNormal="100" workbookViewId="0">
      <selection activeCell="R19" sqref="R19"/>
    </sheetView>
  </sheetViews>
  <sheetFormatPr defaultRowHeight="15" x14ac:dyDescent="0.25"/>
  <cols>
    <col min="1" max="1" width="9.140625" style="706"/>
    <col min="2" max="2" width="39.85546875" style="706" customWidth="1"/>
    <col min="3" max="3" width="19.140625" style="706" customWidth="1"/>
    <col min="4" max="4" width="13.7109375" style="706" customWidth="1"/>
    <col min="5" max="8" width="9.140625" style="706"/>
    <col min="9" max="9" width="11.5703125" style="706" customWidth="1"/>
    <col min="10" max="10" width="18.42578125" style="706" customWidth="1"/>
    <col min="11" max="257" width="9.140625" style="706"/>
    <col min="258" max="258" width="39.85546875" style="706" customWidth="1"/>
    <col min="259" max="259" width="19.140625" style="706" customWidth="1"/>
    <col min="260" max="260" width="11" style="706" customWidth="1"/>
    <col min="261" max="264" width="9.140625" style="706"/>
    <col min="265" max="265" width="11.5703125" style="706" customWidth="1"/>
    <col min="266" max="266" width="18.42578125" style="706" customWidth="1"/>
    <col min="267" max="513" width="9.140625" style="706"/>
    <col min="514" max="514" width="39.85546875" style="706" customWidth="1"/>
    <col min="515" max="515" width="19.140625" style="706" customWidth="1"/>
    <col min="516" max="516" width="11" style="706" customWidth="1"/>
    <col min="517" max="520" width="9.140625" style="706"/>
    <col min="521" max="521" width="11.5703125" style="706" customWidth="1"/>
    <col min="522" max="522" width="18.42578125" style="706" customWidth="1"/>
    <col min="523" max="769" width="9.140625" style="706"/>
    <col min="770" max="770" width="39.85546875" style="706" customWidth="1"/>
    <col min="771" max="771" width="19.140625" style="706" customWidth="1"/>
    <col min="772" max="772" width="11" style="706" customWidth="1"/>
    <col min="773" max="776" width="9.140625" style="706"/>
    <col min="777" max="777" width="11.5703125" style="706" customWidth="1"/>
    <col min="778" max="778" width="18.42578125" style="706" customWidth="1"/>
    <col min="779" max="1025" width="9.140625" style="706"/>
    <col min="1026" max="1026" width="39.85546875" style="706" customWidth="1"/>
    <col min="1027" max="1027" width="19.140625" style="706" customWidth="1"/>
    <col min="1028" max="1028" width="11" style="706" customWidth="1"/>
    <col min="1029" max="1032" width="9.140625" style="706"/>
    <col min="1033" max="1033" width="11.5703125" style="706" customWidth="1"/>
    <col min="1034" max="1034" width="18.42578125" style="706" customWidth="1"/>
    <col min="1035" max="1281" width="9.140625" style="706"/>
    <col min="1282" max="1282" width="39.85546875" style="706" customWidth="1"/>
    <col min="1283" max="1283" width="19.140625" style="706" customWidth="1"/>
    <col min="1284" max="1284" width="11" style="706" customWidth="1"/>
    <col min="1285" max="1288" width="9.140625" style="706"/>
    <col min="1289" max="1289" width="11.5703125" style="706" customWidth="1"/>
    <col min="1290" max="1290" width="18.42578125" style="706" customWidth="1"/>
    <col min="1291" max="1537" width="9.140625" style="706"/>
    <col min="1538" max="1538" width="39.85546875" style="706" customWidth="1"/>
    <col min="1539" max="1539" width="19.140625" style="706" customWidth="1"/>
    <col min="1540" max="1540" width="11" style="706" customWidth="1"/>
    <col min="1541" max="1544" width="9.140625" style="706"/>
    <col min="1545" max="1545" width="11.5703125" style="706" customWidth="1"/>
    <col min="1546" max="1546" width="18.42578125" style="706" customWidth="1"/>
    <col min="1547" max="1793" width="9.140625" style="706"/>
    <col min="1794" max="1794" width="39.85546875" style="706" customWidth="1"/>
    <col min="1795" max="1795" width="19.140625" style="706" customWidth="1"/>
    <col min="1796" max="1796" width="11" style="706" customWidth="1"/>
    <col min="1797" max="1800" width="9.140625" style="706"/>
    <col min="1801" max="1801" width="11.5703125" style="706" customWidth="1"/>
    <col min="1802" max="1802" width="18.42578125" style="706" customWidth="1"/>
    <col min="1803" max="2049" width="9.140625" style="706"/>
    <col min="2050" max="2050" width="39.85546875" style="706" customWidth="1"/>
    <col min="2051" max="2051" width="19.140625" style="706" customWidth="1"/>
    <col min="2052" max="2052" width="11" style="706" customWidth="1"/>
    <col min="2053" max="2056" width="9.140625" style="706"/>
    <col min="2057" max="2057" width="11.5703125" style="706" customWidth="1"/>
    <col min="2058" max="2058" width="18.42578125" style="706" customWidth="1"/>
    <col min="2059" max="2305" width="9.140625" style="706"/>
    <col min="2306" max="2306" width="39.85546875" style="706" customWidth="1"/>
    <col min="2307" max="2307" width="19.140625" style="706" customWidth="1"/>
    <col min="2308" max="2308" width="11" style="706" customWidth="1"/>
    <col min="2309" max="2312" width="9.140625" style="706"/>
    <col min="2313" max="2313" width="11.5703125" style="706" customWidth="1"/>
    <col min="2314" max="2314" width="18.42578125" style="706" customWidth="1"/>
    <col min="2315" max="2561" width="9.140625" style="706"/>
    <col min="2562" max="2562" width="39.85546875" style="706" customWidth="1"/>
    <col min="2563" max="2563" width="19.140625" style="706" customWidth="1"/>
    <col min="2564" max="2564" width="11" style="706" customWidth="1"/>
    <col min="2565" max="2568" width="9.140625" style="706"/>
    <col min="2569" max="2569" width="11.5703125" style="706" customWidth="1"/>
    <col min="2570" max="2570" width="18.42578125" style="706" customWidth="1"/>
    <col min="2571" max="2817" width="9.140625" style="706"/>
    <col min="2818" max="2818" width="39.85546875" style="706" customWidth="1"/>
    <col min="2819" max="2819" width="19.140625" style="706" customWidth="1"/>
    <col min="2820" max="2820" width="11" style="706" customWidth="1"/>
    <col min="2821" max="2824" width="9.140625" style="706"/>
    <col min="2825" max="2825" width="11.5703125" style="706" customWidth="1"/>
    <col min="2826" max="2826" width="18.42578125" style="706" customWidth="1"/>
    <col min="2827" max="3073" width="9.140625" style="706"/>
    <col min="3074" max="3074" width="39.85546875" style="706" customWidth="1"/>
    <col min="3075" max="3075" width="19.140625" style="706" customWidth="1"/>
    <col min="3076" max="3076" width="11" style="706" customWidth="1"/>
    <col min="3077" max="3080" width="9.140625" style="706"/>
    <col min="3081" max="3081" width="11.5703125" style="706" customWidth="1"/>
    <col min="3082" max="3082" width="18.42578125" style="706" customWidth="1"/>
    <col min="3083" max="3329" width="9.140625" style="706"/>
    <col min="3330" max="3330" width="39.85546875" style="706" customWidth="1"/>
    <col min="3331" max="3331" width="19.140625" style="706" customWidth="1"/>
    <col min="3332" max="3332" width="11" style="706" customWidth="1"/>
    <col min="3333" max="3336" width="9.140625" style="706"/>
    <col min="3337" max="3337" width="11.5703125" style="706" customWidth="1"/>
    <col min="3338" max="3338" width="18.42578125" style="706" customWidth="1"/>
    <col min="3339" max="3585" width="9.140625" style="706"/>
    <col min="3586" max="3586" width="39.85546875" style="706" customWidth="1"/>
    <col min="3587" max="3587" width="19.140625" style="706" customWidth="1"/>
    <col min="3588" max="3588" width="11" style="706" customWidth="1"/>
    <col min="3589" max="3592" width="9.140625" style="706"/>
    <col min="3593" max="3593" width="11.5703125" style="706" customWidth="1"/>
    <col min="3594" max="3594" width="18.42578125" style="706" customWidth="1"/>
    <col min="3595" max="3841" width="9.140625" style="706"/>
    <col min="3842" max="3842" width="39.85546875" style="706" customWidth="1"/>
    <col min="3843" max="3843" width="19.140625" style="706" customWidth="1"/>
    <col min="3844" max="3844" width="11" style="706" customWidth="1"/>
    <col min="3845" max="3848" width="9.140625" style="706"/>
    <col min="3849" max="3849" width="11.5703125" style="706" customWidth="1"/>
    <col min="3850" max="3850" width="18.42578125" style="706" customWidth="1"/>
    <col min="3851" max="4097" width="9.140625" style="706"/>
    <col min="4098" max="4098" width="39.85546875" style="706" customWidth="1"/>
    <col min="4099" max="4099" width="19.140625" style="706" customWidth="1"/>
    <col min="4100" max="4100" width="11" style="706" customWidth="1"/>
    <col min="4101" max="4104" width="9.140625" style="706"/>
    <col min="4105" max="4105" width="11.5703125" style="706" customWidth="1"/>
    <col min="4106" max="4106" width="18.42578125" style="706" customWidth="1"/>
    <col min="4107" max="4353" width="9.140625" style="706"/>
    <col min="4354" max="4354" width="39.85546875" style="706" customWidth="1"/>
    <col min="4355" max="4355" width="19.140625" style="706" customWidth="1"/>
    <col min="4356" max="4356" width="11" style="706" customWidth="1"/>
    <col min="4357" max="4360" width="9.140625" style="706"/>
    <col min="4361" max="4361" width="11.5703125" style="706" customWidth="1"/>
    <col min="4362" max="4362" width="18.42578125" style="706" customWidth="1"/>
    <col min="4363" max="4609" width="9.140625" style="706"/>
    <col min="4610" max="4610" width="39.85546875" style="706" customWidth="1"/>
    <col min="4611" max="4611" width="19.140625" style="706" customWidth="1"/>
    <col min="4612" max="4612" width="11" style="706" customWidth="1"/>
    <col min="4613" max="4616" width="9.140625" style="706"/>
    <col min="4617" max="4617" width="11.5703125" style="706" customWidth="1"/>
    <col min="4618" max="4618" width="18.42578125" style="706" customWidth="1"/>
    <col min="4619" max="4865" width="9.140625" style="706"/>
    <col min="4866" max="4866" width="39.85546875" style="706" customWidth="1"/>
    <col min="4867" max="4867" width="19.140625" style="706" customWidth="1"/>
    <col min="4868" max="4868" width="11" style="706" customWidth="1"/>
    <col min="4869" max="4872" width="9.140625" style="706"/>
    <col min="4873" max="4873" width="11.5703125" style="706" customWidth="1"/>
    <col min="4874" max="4874" width="18.42578125" style="706" customWidth="1"/>
    <col min="4875" max="5121" width="9.140625" style="706"/>
    <col min="5122" max="5122" width="39.85546875" style="706" customWidth="1"/>
    <col min="5123" max="5123" width="19.140625" style="706" customWidth="1"/>
    <col min="5124" max="5124" width="11" style="706" customWidth="1"/>
    <col min="5125" max="5128" width="9.140625" style="706"/>
    <col min="5129" max="5129" width="11.5703125" style="706" customWidth="1"/>
    <col min="5130" max="5130" width="18.42578125" style="706" customWidth="1"/>
    <col min="5131" max="5377" width="9.140625" style="706"/>
    <col min="5378" max="5378" width="39.85546875" style="706" customWidth="1"/>
    <col min="5379" max="5379" width="19.140625" style="706" customWidth="1"/>
    <col min="5380" max="5380" width="11" style="706" customWidth="1"/>
    <col min="5381" max="5384" width="9.140625" style="706"/>
    <col min="5385" max="5385" width="11.5703125" style="706" customWidth="1"/>
    <col min="5386" max="5386" width="18.42578125" style="706" customWidth="1"/>
    <col min="5387" max="5633" width="9.140625" style="706"/>
    <col min="5634" max="5634" width="39.85546875" style="706" customWidth="1"/>
    <col min="5635" max="5635" width="19.140625" style="706" customWidth="1"/>
    <col min="5636" max="5636" width="11" style="706" customWidth="1"/>
    <col min="5637" max="5640" width="9.140625" style="706"/>
    <col min="5641" max="5641" width="11.5703125" style="706" customWidth="1"/>
    <col min="5642" max="5642" width="18.42578125" style="706" customWidth="1"/>
    <col min="5643" max="5889" width="9.140625" style="706"/>
    <col min="5890" max="5890" width="39.85546875" style="706" customWidth="1"/>
    <col min="5891" max="5891" width="19.140625" style="706" customWidth="1"/>
    <col min="5892" max="5892" width="11" style="706" customWidth="1"/>
    <col min="5893" max="5896" width="9.140625" style="706"/>
    <col min="5897" max="5897" width="11.5703125" style="706" customWidth="1"/>
    <col min="5898" max="5898" width="18.42578125" style="706" customWidth="1"/>
    <col min="5899" max="6145" width="9.140625" style="706"/>
    <col min="6146" max="6146" width="39.85546875" style="706" customWidth="1"/>
    <col min="6147" max="6147" width="19.140625" style="706" customWidth="1"/>
    <col min="6148" max="6148" width="11" style="706" customWidth="1"/>
    <col min="6149" max="6152" width="9.140625" style="706"/>
    <col min="6153" max="6153" width="11.5703125" style="706" customWidth="1"/>
    <col min="6154" max="6154" width="18.42578125" style="706" customWidth="1"/>
    <col min="6155" max="6401" width="9.140625" style="706"/>
    <col min="6402" max="6402" width="39.85546875" style="706" customWidth="1"/>
    <col min="6403" max="6403" width="19.140625" style="706" customWidth="1"/>
    <col min="6404" max="6404" width="11" style="706" customWidth="1"/>
    <col min="6405" max="6408" width="9.140625" style="706"/>
    <col min="6409" max="6409" width="11.5703125" style="706" customWidth="1"/>
    <col min="6410" max="6410" width="18.42578125" style="706" customWidth="1"/>
    <col min="6411" max="6657" width="9.140625" style="706"/>
    <col min="6658" max="6658" width="39.85546875" style="706" customWidth="1"/>
    <col min="6659" max="6659" width="19.140625" style="706" customWidth="1"/>
    <col min="6660" max="6660" width="11" style="706" customWidth="1"/>
    <col min="6661" max="6664" width="9.140625" style="706"/>
    <col min="6665" max="6665" width="11.5703125" style="706" customWidth="1"/>
    <col min="6666" max="6666" width="18.42578125" style="706" customWidth="1"/>
    <col min="6667" max="6913" width="9.140625" style="706"/>
    <col min="6914" max="6914" width="39.85546875" style="706" customWidth="1"/>
    <col min="6915" max="6915" width="19.140625" style="706" customWidth="1"/>
    <col min="6916" max="6916" width="11" style="706" customWidth="1"/>
    <col min="6917" max="6920" width="9.140625" style="706"/>
    <col min="6921" max="6921" width="11.5703125" style="706" customWidth="1"/>
    <col min="6922" max="6922" width="18.42578125" style="706" customWidth="1"/>
    <col min="6923" max="7169" width="9.140625" style="706"/>
    <col min="7170" max="7170" width="39.85546875" style="706" customWidth="1"/>
    <col min="7171" max="7171" width="19.140625" style="706" customWidth="1"/>
    <col min="7172" max="7172" width="11" style="706" customWidth="1"/>
    <col min="7173" max="7176" width="9.140625" style="706"/>
    <col min="7177" max="7177" width="11.5703125" style="706" customWidth="1"/>
    <col min="7178" max="7178" width="18.42578125" style="706" customWidth="1"/>
    <col min="7179" max="7425" width="9.140625" style="706"/>
    <col min="7426" max="7426" width="39.85546875" style="706" customWidth="1"/>
    <col min="7427" max="7427" width="19.140625" style="706" customWidth="1"/>
    <col min="7428" max="7428" width="11" style="706" customWidth="1"/>
    <col min="7429" max="7432" width="9.140625" style="706"/>
    <col min="7433" max="7433" width="11.5703125" style="706" customWidth="1"/>
    <col min="7434" max="7434" width="18.42578125" style="706" customWidth="1"/>
    <col min="7435" max="7681" width="9.140625" style="706"/>
    <col min="7682" max="7682" width="39.85546875" style="706" customWidth="1"/>
    <col min="7683" max="7683" width="19.140625" style="706" customWidth="1"/>
    <col min="7684" max="7684" width="11" style="706" customWidth="1"/>
    <col min="7685" max="7688" width="9.140625" style="706"/>
    <col min="7689" max="7689" width="11.5703125" style="706" customWidth="1"/>
    <col min="7690" max="7690" width="18.42578125" style="706" customWidth="1"/>
    <col min="7691" max="7937" width="9.140625" style="706"/>
    <col min="7938" max="7938" width="39.85546875" style="706" customWidth="1"/>
    <col min="7939" max="7939" width="19.140625" style="706" customWidth="1"/>
    <col min="7940" max="7940" width="11" style="706" customWidth="1"/>
    <col min="7941" max="7944" width="9.140625" style="706"/>
    <col min="7945" max="7945" width="11.5703125" style="706" customWidth="1"/>
    <col min="7946" max="7946" width="18.42578125" style="706" customWidth="1"/>
    <col min="7947" max="8193" width="9.140625" style="706"/>
    <col min="8194" max="8194" width="39.85546875" style="706" customWidth="1"/>
    <col min="8195" max="8195" width="19.140625" style="706" customWidth="1"/>
    <col min="8196" max="8196" width="11" style="706" customWidth="1"/>
    <col min="8197" max="8200" width="9.140625" style="706"/>
    <col min="8201" max="8201" width="11.5703125" style="706" customWidth="1"/>
    <col min="8202" max="8202" width="18.42578125" style="706" customWidth="1"/>
    <col min="8203" max="8449" width="9.140625" style="706"/>
    <col min="8450" max="8450" width="39.85546875" style="706" customWidth="1"/>
    <col min="8451" max="8451" width="19.140625" style="706" customWidth="1"/>
    <col min="8452" max="8452" width="11" style="706" customWidth="1"/>
    <col min="8453" max="8456" width="9.140625" style="706"/>
    <col min="8457" max="8457" width="11.5703125" style="706" customWidth="1"/>
    <col min="8458" max="8458" width="18.42578125" style="706" customWidth="1"/>
    <col min="8459" max="8705" width="9.140625" style="706"/>
    <col min="8706" max="8706" width="39.85546875" style="706" customWidth="1"/>
    <col min="8707" max="8707" width="19.140625" style="706" customWidth="1"/>
    <col min="8708" max="8708" width="11" style="706" customWidth="1"/>
    <col min="8709" max="8712" width="9.140625" style="706"/>
    <col min="8713" max="8713" width="11.5703125" style="706" customWidth="1"/>
    <col min="8714" max="8714" width="18.42578125" style="706" customWidth="1"/>
    <col min="8715" max="8961" width="9.140625" style="706"/>
    <col min="8962" max="8962" width="39.85546875" style="706" customWidth="1"/>
    <col min="8963" max="8963" width="19.140625" style="706" customWidth="1"/>
    <col min="8964" max="8964" width="11" style="706" customWidth="1"/>
    <col min="8965" max="8968" width="9.140625" style="706"/>
    <col min="8969" max="8969" width="11.5703125" style="706" customWidth="1"/>
    <col min="8970" max="8970" width="18.42578125" style="706" customWidth="1"/>
    <col min="8971" max="9217" width="9.140625" style="706"/>
    <col min="9218" max="9218" width="39.85546875" style="706" customWidth="1"/>
    <col min="9219" max="9219" width="19.140625" style="706" customWidth="1"/>
    <col min="9220" max="9220" width="11" style="706" customWidth="1"/>
    <col min="9221" max="9224" width="9.140625" style="706"/>
    <col min="9225" max="9225" width="11.5703125" style="706" customWidth="1"/>
    <col min="9226" max="9226" width="18.42578125" style="706" customWidth="1"/>
    <col min="9227" max="9473" width="9.140625" style="706"/>
    <col min="9474" max="9474" width="39.85546875" style="706" customWidth="1"/>
    <col min="9475" max="9475" width="19.140625" style="706" customWidth="1"/>
    <col min="9476" max="9476" width="11" style="706" customWidth="1"/>
    <col min="9477" max="9480" width="9.140625" style="706"/>
    <col min="9481" max="9481" width="11.5703125" style="706" customWidth="1"/>
    <col min="9482" max="9482" width="18.42578125" style="706" customWidth="1"/>
    <col min="9483" max="9729" width="9.140625" style="706"/>
    <col min="9730" max="9730" width="39.85546875" style="706" customWidth="1"/>
    <col min="9731" max="9731" width="19.140625" style="706" customWidth="1"/>
    <col min="9732" max="9732" width="11" style="706" customWidth="1"/>
    <col min="9733" max="9736" width="9.140625" style="706"/>
    <col min="9737" max="9737" width="11.5703125" style="706" customWidth="1"/>
    <col min="9738" max="9738" width="18.42578125" style="706" customWidth="1"/>
    <col min="9739" max="9985" width="9.140625" style="706"/>
    <col min="9986" max="9986" width="39.85546875" style="706" customWidth="1"/>
    <col min="9987" max="9987" width="19.140625" style="706" customWidth="1"/>
    <col min="9988" max="9988" width="11" style="706" customWidth="1"/>
    <col min="9989" max="9992" width="9.140625" style="706"/>
    <col min="9993" max="9993" width="11.5703125" style="706" customWidth="1"/>
    <col min="9994" max="9994" width="18.42578125" style="706" customWidth="1"/>
    <col min="9995" max="10241" width="9.140625" style="706"/>
    <col min="10242" max="10242" width="39.85546875" style="706" customWidth="1"/>
    <col min="10243" max="10243" width="19.140625" style="706" customWidth="1"/>
    <col min="10244" max="10244" width="11" style="706" customWidth="1"/>
    <col min="10245" max="10248" width="9.140625" style="706"/>
    <col min="10249" max="10249" width="11.5703125" style="706" customWidth="1"/>
    <col min="10250" max="10250" width="18.42578125" style="706" customWidth="1"/>
    <col min="10251" max="10497" width="9.140625" style="706"/>
    <col min="10498" max="10498" width="39.85546875" style="706" customWidth="1"/>
    <col min="10499" max="10499" width="19.140625" style="706" customWidth="1"/>
    <col min="10500" max="10500" width="11" style="706" customWidth="1"/>
    <col min="10501" max="10504" width="9.140625" style="706"/>
    <col min="10505" max="10505" width="11.5703125" style="706" customWidth="1"/>
    <col min="10506" max="10506" width="18.42578125" style="706" customWidth="1"/>
    <col min="10507" max="10753" width="9.140625" style="706"/>
    <col min="10754" max="10754" width="39.85546875" style="706" customWidth="1"/>
    <col min="10755" max="10755" width="19.140625" style="706" customWidth="1"/>
    <col min="10756" max="10756" width="11" style="706" customWidth="1"/>
    <col min="10757" max="10760" width="9.140625" style="706"/>
    <col min="10761" max="10761" width="11.5703125" style="706" customWidth="1"/>
    <col min="10762" max="10762" width="18.42578125" style="706" customWidth="1"/>
    <col min="10763" max="11009" width="9.140625" style="706"/>
    <col min="11010" max="11010" width="39.85546875" style="706" customWidth="1"/>
    <col min="11011" max="11011" width="19.140625" style="706" customWidth="1"/>
    <col min="11012" max="11012" width="11" style="706" customWidth="1"/>
    <col min="11013" max="11016" width="9.140625" style="706"/>
    <col min="11017" max="11017" width="11.5703125" style="706" customWidth="1"/>
    <col min="11018" max="11018" width="18.42578125" style="706" customWidth="1"/>
    <col min="11019" max="11265" width="9.140625" style="706"/>
    <col min="11266" max="11266" width="39.85546875" style="706" customWidth="1"/>
    <col min="11267" max="11267" width="19.140625" style="706" customWidth="1"/>
    <col min="11268" max="11268" width="11" style="706" customWidth="1"/>
    <col min="11269" max="11272" width="9.140625" style="706"/>
    <col min="11273" max="11273" width="11.5703125" style="706" customWidth="1"/>
    <col min="11274" max="11274" width="18.42578125" style="706" customWidth="1"/>
    <col min="11275" max="11521" width="9.140625" style="706"/>
    <col min="11522" max="11522" width="39.85546875" style="706" customWidth="1"/>
    <col min="11523" max="11523" width="19.140625" style="706" customWidth="1"/>
    <col min="11524" max="11524" width="11" style="706" customWidth="1"/>
    <col min="11525" max="11528" width="9.140625" style="706"/>
    <col min="11529" max="11529" width="11.5703125" style="706" customWidth="1"/>
    <col min="11530" max="11530" width="18.42578125" style="706" customWidth="1"/>
    <col min="11531" max="11777" width="9.140625" style="706"/>
    <col min="11778" max="11778" width="39.85546875" style="706" customWidth="1"/>
    <col min="11779" max="11779" width="19.140625" style="706" customWidth="1"/>
    <col min="11780" max="11780" width="11" style="706" customWidth="1"/>
    <col min="11781" max="11784" width="9.140625" style="706"/>
    <col min="11785" max="11785" width="11.5703125" style="706" customWidth="1"/>
    <col min="11786" max="11786" width="18.42578125" style="706" customWidth="1"/>
    <col min="11787" max="12033" width="9.140625" style="706"/>
    <col min="12034" max="12034" width="39.85546875" style="706" customWidth="1"/>
    <col min="12035" max="12035" width="19.140625" style="706" customWidth="1"/>
    <col min="12036" max="12036" width="11" style="706" customWidth="1"/>
    <col min="12037" max="12040" width="9.140625" style="706"/>
    <col min="12041" max="12041" width="11.5703125" style="706" customWidth="1"/>
    <col min="12042" max="12042" width="18.42578125" style="706" customWidth="1"/>
    <col min="12043" max="12289" width="9.140625" style="706"/>
    <col min="12290" max="12290" width="39.85546875" style="706" customWidth="1"/>
    <col min="12291" max="12291" width="19.140625" style="706" customWidth="1"/>
    <col min="12292" max="12292" width="11" style="706" customWidth="1"/>
    <col min="12293" max="12296" width="9.140625" style="706"/>
    <col min="12297" max="12297" width="11.5703125" style="706" customWidth="1"/>
    <col min="12298" max="12298" width="18.42578125" style="706" customWidth="1"/>
    <col min="12299" max="12545" width="9.140625" style="706"/>
    <col min="12546" max="12546" width="39.85546875" style="706" customWidth="1"/>
    <col min="12547" max="12547" width="19.140625" style="706" customWidth="1"/>
    <col min="12548" max="12548" width="11" style="706" customWidth="1"/>
    <col min="12549" max="12552" width="9.140625" style="706"/>
    <col min="12553" max="12553" width="11.5703125" style="706" customWidth="1"/>
    <col min="12554" max="12554" width="18.42578125" style="706" customWidth="1"/>
    <col min="12555" max="12801" width="9.140625" style="706"/>
    <col min="12802" max="12802" width="39.85546875" style="706" customWidth="1"/>
    <col min="12803" max="12803" width="19.140625" style="706" customWidth="1"/>
    <col min="12804" max="12804" width="11" style="706" customWidth="1"/>
    <col min="12805" max="12808" width="9.140625" style="706"/>
    <col min="12809" max="12809" width="11.5703125" style="706" customWidth="1"/>
    <col min="12810" max="12810" width="18.42578125" style="706" customWidth="1"/>
    <col min="12811" max="13057" width="9.140625" style="706"/>
    <col min="13058" max="13058" width="39.85546875" style="706" customWidth="1"/>
    <col min="13059" max="13059" width="19.140625" style="706" customWidth="1"/>
    <col min="13060" max="13060" width="11" style="706" customWidth="1"/>
    <col min="13061" max="13064" width="9.140625" style="706"/>
    <col min="13065" max="13065" width="11.5703125" style="706" customWidth="1"/>
    <col min="13066" max="13066" width="18.42578125" style="706" customWidth="1"/>
    <col min="13067" max="13313" width="9.140625" style="706"/>
    <col min="13314" max="13314" width="39.85546875" style="706" customWidth="1"/>
    <col min="13315" max="13315" width="19.140625" style="706" customWidth="1"/>
    <col min="13316" max="13316" width="11" style="706" customWidth="1"/>
    <col min="13317" max="13320" width="9.140625" style="706"/>
    <col min="13321" max="13321" width="11.5703125" style="706" customWidth="1"/>
    <col min="13322" max="13322" width="18.42578125" style="706" customWidth="1"/>
    <col min="13323" max="13569" width="9.140625" style="706"/>
    <col min="13570" max="13570" width="39.85546875" style="706" customWidth="1"/>
    <col min="13571" max="13571" width="19.140625" style="706" customWidth="1"/>
    <col min="13572" max="13572" width="11" style="706" customWidth="1"/>
    <col min="13573" max="13576" width="9.140625" style="706"/>
    <col min="13577" max="13577" width="11.5703125" style="706" customWidth="1"/>
    <col min="13578" max="13578" width="18.42578125" style="706" customWidth="1"/>
    <col min="13579" max="13825" width="9.140625" style="706"/>
    <col min="13826" max="13826" width="39.85546875" style="706" customWidth="1"/>
    <col min="13827" max="13827" width="19.140625" style="706" customWidth="1"/>
    <col min="13828" max="13828" width="11" style="706" customWidth="1"/>
    <col min="13829" max="13832" width="9.140625" style="706"/>
    <col min="13833" max="13833" width="11.5703125" style="706" customWidth="1"/>
    <col min="13834" max="13834" width="18.42578125" style="706" customWidth="1"/>
    <col min="13835" max="14081" width="9.140625" style="706"/>
    <col min="14082" max="14082" width="39.85546875" style="706" customWidth="1"/>
    <col min="14083" max="14083" width="19.140625" style="706" customWidth="1"/>
    <col min="14084" max="14084" width="11" style="706" customWidth="1"/>
    <col min="14085" max="14088" width="9.140625" style="706"/>
    <col min="14089" max="14089" width="11.5703125" style="706" customWidth="1"/>
    <col min="14090" max="14090" width="18.42578125" style="706" customWidth="1"/>
    <col min="14091" max="14337" width="9.140625" style="706"/>
    <col min="14338" max="14338" width="39.85546875" style="706" customWidth="1"/>
    <col min="14339" max="14339" width="19.140625" style="706" customWidth="1"/>
    <col min="14340" max="14340" width="11" style="706" customWidth="1"/>
    <col min="14341" max="14344" width="9.140625" style="706"/>
    <col min="14345" max="14345" width="11.5703125" style="706" customWidth="1"/>
    <col min="14346" max="14346" width="18.42578125" style="706" customWidth="1"/>
    <col min="14347" max="14593" width="9.140625" style="706"/>
    <col min="14594" max="14594" width="39.85546875" style="706" customWidth="1"/>
    <col min="14595" max="14595" width="19.140625" style="706" customWidth="1"/>
    <col min="14596" max="14596" width="11" style="706" customWidth="1"/>
    <col min="14597" max="14600" width="9.140625" style="706"/>
    <col min="14601" max="14601" width="11.5703125" style="706" customWidth="1"/>
    <col min="14602" max="14602" width="18.42578125" style="706" customWidth="1"/>
    <col min="14603" max="14849" width="9.140625" style="706"/>
    <col min="14850" max="14850" width="39.85546875" style="706" customWidth="1"/>
    <col min="14851" max="14851" width="19.140625" style="706" customWidth="1"/>
    <col min="14852" max="14852" width="11" style="706" customWidth="1"/>
    <col min="14853" max="14856" width="9.140625" style="706"/>
    <col min="14857" max="14857" width="11.5703125" style="706" customWidth="1"/>
    <col min="14858" max="14858" width="18.42578125" style="706" customWidth="1"/>
    <col min="14859" max="15105" width="9.140625" style="706"/>
    <col min="15106" max="15106" width="39.85546875" style="706" customWidth="1"/>
    <col min="15107" max="15107" width="19.140625" style="706" customWidth="1"/>
    <col min="15108" max="15108" width="11" style="706" customWidth="1"/>
    <col min="15109" max="15112" width="9.140625" style="706"/>
    <col min="15113" max="15113" width="11.5703125" style="706" customWidth="1"/>
    <col min="15114" max="15114" width="18.42578125" style="706" customWidth="1"/>
    <col min="15115" max="15361" width="9.140625" style="706"/>
    <col min="15362" max="15362" width="39.85546875" style="706" customWidth="1"/>
    <col min="15363" max="15363" width="19.140625" style="706" customWidth="1"/>
    <col min="15364" max="15364" width="11" style="706" customWidth="1"/>
    <col min="15365" max="15368" width="9.140625" style="706"/>
    <col min="15369" max="15369" width="11.5703125" style="706" customWidth="1"/>
    <col min="15370" max="15370" width="18.42578125" style="706" customWidth="1"/>
    <col min="15371" max="15617" width="9.140625" style="706"/>
    <col min="15618" max="15618" width="39.85546875" style="706" customWidth="1"/>
    <col min="15619" max="15619" width="19.140625" style="706" customWidth="1"/>
    <col min="15620" max="15620" width="11" style="706" customWidth="1"/>
    <col min="15621" max="15624" width="9.140625" style="706"/>
    <col min="15625" max="15625" width="11.5703125" style="706" customWidth="1"/>
    <col min="15626" max="15626" width="18.42578125" style="706" customWidth="1"/>
    <col min="15627" max="15873" width="9.140625" style="706"/>
    <col min="15874" max="15874" width="39.85546875" style="706" customWidth="1"/>
    <col min="15875" max="15875" width="19.140625" style="706" customWidth="1"/>
    <col min="15876" max="15876" width="11" style="706" customWidth="1"/>
    <col min="15877" max="15880" width="9.140625" style="706"/>
    <col min="15881" max="15881" width="11.5703125" style="706" customWidth="1"/>
    <col min="15882" max="15882" width="18.42578125" style="706" customWidth="1"/>
    <col min="15883" max="16129" width="9.140625" style="706"/>
    <col min="16130" max="16130" width="39.85546875" style="706" customWidth="1"/>
    <col min="16131" max="16131" width="19.140625" style="706" customWidth="1"/>
    <col min="16132" max="16132" width="11" style="706" customWidth="1"/>
    <col min="16133" max="16136" width="9.140625" style="706"/>
    <col min="16137" max="16137" width="11.5703125" style="706" customWidth="1"/>
    <col min="16138" max="16138" width="18.42578125" style="706" customWidth="1"/>
    <col min="16139" max="16384" width="9.140625" style="706"/>
  </cols>
  <sheetData>
    <row r="1" spans="1:11" x14ac:dyDescent="0.25">
      <c r="I1" s="1139"/>
      <c r="J1" s="1139"/>
    </row>
    <row r="3" spans="1:11" x14ac:dyDescent="0.25">
      <c r="A3" s="1140" t="str">
        <f>'Cводная смета ПИР'!D17</f>
        <v>Смета № 5-из</v>
      </c>
      <c r="B3" s="1141"/>
      <c r="C3" s="1141"/>
      <c r="D3" s="1141"/>
      <c r="E3" s="1141"/>
      <c r="F3" s="1141"/>
      <c r="G3" s="1141"/>
      <c r="H3" s="1141"/>
      <c r="I3" s="1141"/>
      <c r="J3" s="1141"/>
    </row>
    <row r="4" spans="1:11" ht="14.25" customHeight="1" x14ac:dyDescent="0.25">
      <c r="A4" s="1142" t="s">
        <v>1467</v>
      </c>
      <c r="B4" s="1143"/>
      <c r="C4" s="1143"/>
      <c r="D4" s="1143"/>
      <c r="E4" s="1143"/>
      <c r="F4" s="1143"/>
      <c r="G4" s="1143"/>
      <c r="H4" s="1143"/>
      <c r="I4" s="1143"/>
      <c r="J4" s="1143"/>
    </row>
    <row r="5" spans="1:11" ht="48" customHeight="1" x14ac:dyDescent="0.25">
      <c r="A5" s="1144" t="s">
        <v>1642</v>
      </c>
      <c r="B5" s="1144"/>
      <c r="C5" s="1144"/>
      <c r="D5" s="1145" t="s">
        <v>2139</v>
      </c>
      <c r="E5" s="1145"/>
      <c r="F5" s="1145"/>
      <c r="G5" s="1145"/>
      <c r="H5" s="1145"/>
      <c r="I5" s="1145"/>
      <c r="J5" s="1145"/>
    </row>
    <row r="6" spans="1:11" ht="15.75" x14ac:dyDescent="0.25">
      <c r="A6" s="1146" t="s">
        <v>1860</v>
      </c>
      <c r="B6" s="1146"/>
      <c r="C6" s="1146"/>
      <c r="D6" s="1146"/>
      <c r="E6" s="1146"/>
      <c r="F6" s="1146"/>
      <c r="G6" s="1146"/>
      <c r="H6" s="1146"/>
      <c r="I6" s="1146"/>
      <c r="J6" s="1146"/>
      <c r="K6" s="1147"/>
    </row>
    <row r="7" spans="1:11" ht="15.75" x14ac:dyDescent="0.25">
      <c r="A7" s="1148" t="s">
        <v>2137</v>
      </c>
      <c r="B7" s="1148"/>
      <c r="C7" s="1148"/>
      <c r="D7" s="1148"/>
      <c r="E7" s="1148"/>
      <c r="F7" s="1148"/>
      <c r="G7" s="1148"/>
      <c r="H7" s="1148"/>
      <c r="I7" s="1148"/>
      <c r="J7" s="1148"/>
      <c r="K7" s="1147"/>
    </row>
    <row r="8" spans="1:11" ht="15.75" x14ac:dyDescent="0.25">
      <c r="A8" s="707"/>
      <c r="B8" s="707"/>
      <c r="C8" s="707"/>
      <c r="D8" s="707"/>
      <c r="E8" s="707"/>
      <c r="F8" s="707"/>
      <c r="G8" s="707"/>
      <c r="H8" s="707"/>
    </row>
    <row r="9" spans="1:11" x14ac:dyDescent="0.25">
      <c r="I9" s="708"/>
      <c r="J9" s="709"/>
    </row>
    <row r="11" spans="1:11" ht="25.5" x14ac:dyDescent="0.25">
      <c r="A11" s="710" t="s">
        <v>1468</v>
      </c>
      <c r="B11" s="710" t="s">
        <v>360</v>
      </c>
      <c r="C11" s="710" t="s">
        <v>1469</v>
      </c>
      <c r="D11" s="710" t="s">
        <v>362</v>
      </c>
      <c r="E11" s="710" t="s">
        <v>1470</v>
      </c>
      <c r="F11" s="710" t="s">
        <v>1471</v>
      </c>
      <c r="G11" s="710" t="s">
        <v>1472</v>
      </c>
      <c r="H11" s="710" t="s">
        <v>1472</v>
      </c>
      <c r="I11" s="710" t="s">
        <v>1472</v>
      </c>
      <c r="J11" s="710" t="s">
        <v>1473</v>
      </c>
    </row>
    <row r="12" spans="1:11" x14ac:dyDescent="0.25">
      <c r="A12" s="1149" t="s">
        <v>1467</v>
      </c>
      <c r="B12" s="1149"/>
      <c r="C12" s="1149"/>
      <c r="D12" s="1149"/>
      <c r="E12" s="1149"/>
      <c r="F12" s="1149"/>
      <c r="G12" s="1149"/>
      <c r="H12" s="1149"/>
      <c r="I12" s="1149"/>
      <c r="J12" s="1149"/>
    </row>
    <row r="13" spans="1:11" ht="24.75" customHeight="1" x14ac:dyDescent="0.25">
      <c r="A13" s="1149" t="s">
        <v>1474</v>
      </c>
      <c r="B13" s="1149"/>
      <c r="C13" s="1149"/>
      <c r="D13" s="1149"/>
      <c r="E13" s="1149"/>
      <c r="F13" s="1149"/>
      <c r="G13" s="1149"/>
      <c r="H13" s="1149"/>
      <c r="I13" s="1149"/>
      <c r="J13" s="1149"/>
    </row>
    <row r="14" spans="1:11" x14ac:dyDescent="0.25">
      <c r="A14" s="711"/>
      <c r="B14" s="1150" t="s">
        <v>1475</v>
      </c>
      <c r="C14" s="1151"/>
      <c r="D14" s="1151"/>
      <c r="E14" s="1151"/>
      <c r="F14" s="1151"/>
      <c r="G14" s="1151"/>
      <c r="H14" s="1151"/>
      <c r="I14" s="1151"/>
      <c r="J14" s="1152"/>
    </row>
    <row r="15" spans="1:11" ht="33.6" customHeight="1" x14ac:dyDescent="0.25">
      <c r="A15" s="712">
        <v>1</v>
      </c>
      <c r="B15" s="713" t="s">
        <v>1476</v>
      </c>
      <c r="C15" s="712" t="s">
        <v>1477</v>
      </c>
      <c r="D15" s="712" t="s">
        <v>1457</v>
      </c>
      <c r="E15" s="714">
        <v>2</v>
      </c>
      <c r="F15" s="710">
        <v>42</v>
      </c>
      <c r="G15" s="714">
        <v>1</v>
      </c>
      <c r="H15" s="714">
        <v>1</v>
      </c>
      <c r="I15" s="714">
        <v>1</v>
      </c>
      <c r="J15" s="715">
        <f>E15*F15*G15*H15*I15</f>
        <v>84</v>
      </c>
      <c r="K15" s="716"/>
    </row>
    <row r="16" spans="1:11" ht="33.6" customHeight="1" x14ac:dyDescent="0.25">
      <c r="A16" s="712">
        <v>2</v>
      </c>
      <c r="B16" s="713" t="s">
        <v>1478</v>
      </c>
      <c r="C16" s="712" t="s">
        <v>1479</v>
      </c>
      <c r="D16" s="712" t="s">
        <v>1457</v>
      </c>
      <c r="E16" s="714">
        <v>10</v>
      </c>
      <c r="F16" s="710">
        <v>24</v>
      </c>
      <c r="G16" s="714">
        <v>1</v>
      </c>
      <c r="H16" s="714">
        <v>1</v>
      </c>
      <c r="I16" s="714">
        <v>1</v>
      </c>
      <c r="J16" s="715">
        <f>E16*F16*G16*H16*I16</f>
        <v>240</v>
      </c>
      <c r="K16" s="716"/>
    </row>
    <row r="17" spans="1:14" x14ac:dyDescent="0.25">
      <c r="A17" s="710">
        <v>3</v>
      </c>
      <c r="B17" s="717" t="s">
        <v>1458</v>
      </c>
      <c r="C17" s="710" t="s">
        <v>1480</v>
      </c>
      <c r="D17" s="710" t="s">
        <v>1459</v>
      </c>
      <c r="E17" s="710">
        <v>34</v>
      </c>
      <c r="F17" s="710">
        <v>7</v>
      </c>
      <c r="G17" s="714">
        <v>1</v>
      </c>
      <c r="H17" s="714">
        <v>1</v>
      </c>
      <c r="I17" s="714">
        <v>1</v>
      </c>
      <c r="J17" s="715">
        <f t="shared" ref="J17" si="0">E17*F17*G17*H17*I17</f>
        <v>238</v>
      </c>
    </row>
    <row r="18" spans="1:14" x14ac:dyDescent="0.25">
      <c r="A18" s="1136" t="s">
        <v>1861</v>
      </c>
      <c r="B18" s="1137"/>
      <c r="C18" s="1137"/>
      <c r="D18" s="1137"/>
      <c r="E18" s="1137"/>
      <c r="F18" s="1137"/>
      <c r="G18" s="1138"/>
      <c r="H18" s="718"/>
      <c r="I18" s="718"/>
      <c r="J18" s="719">
        <f>SUM(J15:J17)*1.2</f>
        <v>674.4</v>
      </c>
    </row>
    <row r="19" spans="1:14" x14ac:dyDescent="0.25">
      <c r="A19" s="720"/>
      <c r="B19" s="1150" t="s">
        <v>1481</v>
      </c>
      <c r="C19" s="1151"/>
      <c r="D19" s="1151"/>
      <c r="E19" s="1151"/>
      <c r="F19" s="1151"/>
      <c r="G19" s="1151"/>
      <c r="H19" s="1151"/>
      <c r="I19" s="1151"/>
      <c r="J19" s="1152"/>
    </row>
    <row r="20" spans="1:14" ht="33.75" customHeight="1" x14ac:dyDescent="0.25">
      <c r="A20" s="714">
        <v>4</v>
      </c>
      <c r="B20" s="721" t="s">
        <v>1862</v>
      </c>
      <c r="C20" s="1154" t="s">
        <v>1863</v>
      </c>
      <c r="D20" s="1155"/>
      <c r="E20" s="1156"/>
      <c r="F20" s="722">
        <f>J18</f>
        <v>674.4</v>
      </c>
      <c r="G20" s="723">
        <v>8.7499999999999994E-2</v>
      </c>
      <c r="H20" s="714">
        <v>1</v>
      </c>
      <c r="I20" s="714">
        <v>1</v>
      </c>
      <c r="J20" s="724">
        <f>F20*G20</f>
        <v>59.009999999999991</v>
      </c>
    </row>
    <row r="21" spans="1:14" ht="36" customHeight="1" x14ac:dyDescent="0.25">
      <c r="A21" s="714">
        <v>5</v>
      </c>
      <c r="B21" s="721" t="s">
        <v>1482</v>
      </c>
      <c r="C21" s="1157" t="s">
        <v>1483</v>
      </c>
      <c r="D21" s="1158"/>
      <c r="E21" s="1159"/>
      <c r="F21" s="724">
        <f>J18+J20</f>
        <v>733.41</v>
      </c>
      <c r="G21" s="714">
        <v>0.06</v>
      </c>
      <c r="H21" s="714">
        <v>2.5</v>
      </c>
      <c r="I21" s="714">
        <v>1</v>
      </c>
      <c r="J21" s="724">
        <f>F21*G21*H21*I21</f>
        <v>110.01149999999998</v>
      </c>
    </row>
    <row r="22" spans="1:14" ht="37.5" customHeight="1" x14ac:dyDescent="0.25">
      <c r="A22" s="714">
        <v>6</v>
      </c>
      <c r="B22" s="721" t="s">
        <v>1864</v>
      </c>
      <c r="C22" s="1157" t="s">
        <v>1865</v>
      </c>
      <c r="D22" s="1158"/>
      <c r="E22" s="1159"/>
      <c r="F22" s="724">
        <f>F21</f>
        <v>733.41</v>
      </c>
      <c r="G22" s="714">
        <v>0.36399999999999999</v>
      </c>
      <c r="H22" s="714">
        <v>1</v>
      </c>
      <c r="I22" s="714">
        <v>1</v>
      </c>
      <c r="J22" s="724">
        <f>F22*G22*H22*I22</f>
        <v>266.96123999999998</v>
      </c>
    </row>
    <row r="23" spans="1:14" x14ac:dyDescent="0.25">
      <c r="A23" s="1136" t="s">
        <v>1484</v>
      </c>
      <c r="B23" s="1137"/>
      <c r="C23" s="1137"/>
      <c r="D23" s="1137"/>
      <c r="E23" s="1137"/>
      <c r="F23" s="1137"/>
      <c r="G23" s="1138"/>
      <c r="H23" s="718"/>
      <c r="I23" s="718"/>
      <c r="J23" s="725">
        <f>J20+J21+J22</f>
        <v>435.98273999999992</v>
      </c>
    </row>
    <row r="24" spans="1:14" x14ac:dyDescent="0.25">
      <c r="A24" s="720"/>
      <c r="B24" s="1150" t="s">
        <v>1485</v>
      </c>
      <c r="C24" s="1151"/>
      <c r="D24" s="1151"/>
      <c r="E24" s="1151"/>
      <c r="F24" s="1151"/>
      <c r="G24" s="1151"/>
      <c r="H24" s="1151"/>
      <c r="I24" s="1151"/>
      <c r="J24" s="1152"/>
    </row>
    <row r="25" spans="1:14" ht="38.450000000000003" customHeight="1" x14ac:dyDescent="0.25">
      <c r="A25" s="714">
        <v>7</v>
      </c>
      <c r="B25" s="721" t="s">
        <v>1476</v>
      </c>
      <c r="C25" s="710" t="s">
        <v>1486</v>
      </c>
      <c r="D25" s="710" t="s">
        <v>1487</v>
      </c>
      <c r="E25" s="710">
        <f>E15</f>
        <v>2</v>
      </c>
      <c r="F25" s="710">
        <v>14</v>
      </c>
      <c r="G25" s="714">
        <v>1</v>
      </c>
      <c r="H25" s="714">
        <v>1</v>
      </c>
      <c r="I25" s="714">
        <v>1</v>
      </c>
      <c r="J25" s="714">
        <f>E25*F25*G25</f>
        <v>28</v>
      </c>
    </row>
    <row r="26" spans="1:14" ht="38.450000000000003" customHeight="1" x14ac:dyDescent="0.25">
      <c r="A26" s="714">
        <v>8</v>
      </c>
      <c r="B26" s="726" t="s">
        <v>1478</v>
      </c>
      <c r="C26" s="710" t="s">
        <v>1479</v>
      </c>
      <c r="D26" s="710" t="s">
        <v>1487</v>
      </c>
      <c r="E26" s="710">
        <f>E16</f>
        <v>10</v>
      </c>
      <c r="F26" s="710">
        <v>8</v>
      </c>
      <c r="G26" s="714">
        <v>1</v>
      </c>
      <c r="H26" s="714">
        <v>1</v>
      </c>
      <c r="I26" s="714">
        <v>1</v>
      </c>
      <c r="J26" s="714">
        <f>E26*F26*G26</f>
        <v>80</v>
      </c>
    </row>
    <row r="27" spans="1:14" ht="34.5" customHeight="1" x14ac:dyDescent="0.25">
      <c r="A27" s="714">
        <v>10</v>
      </c>
      <c r="B27" s="721" t="s">
        <v>1866</v>
      </c>
      <c r="C27" s="710" t="s">
        <v>1867</v>
      </c>
      <c r="D27" s="710" t="s">
        <v>1463</v>
      </c>
      <c r="E27" s="710">
        <v>18</v>
      </c>
      <c r="F27" s="710">
        <v>6</v>
      </c>
      <c r="G27" s="714">
        <v>1</v>
      </c>
      <c r="H27" s="714">
        <v>1</v>
      </c>
      <c r="I27" s="714">
        <v>1</v>
      </c>
      <c r="J27" s="714">
        <f>PRODUCT(E27:G27)</f>
        <v>108</v>
      </c>
    </row>
    <row r="28" spans="1:14" ht="15.75" x14ac:dyDescent="0.25">
      <c r="A28" s="714">
        <v>11</v>
      </c>
      <c r="B28" s="721" t="s">
        <v>1868</v>
      </c>
      <c r="C28" s="710" t="s">
        <v>1867</v>
      </c>
      <c r="D28" s="710" t="s">
        <v>1463</v>
      </c>
      <c r="E28" s="710">
        <v>18</v>
      </c>
      <c r="F28" s="710">
        <v>6</v>
      </c>
      <c r="G28" s="714">
        <v>1</v>
      </c>
      <c r="H28" s="714">
        <v>1</v>
      </c>
      <c r="I28" s="714">
        <v>1</v>
      </c>
      <c r="J28" s="714">
        <f>PRODUCT(E28:G28)</f>
        <v>108</v>
      </c>
      <c r="N28" s="727"/>
    </row>
    <row r="29" spans="1:14" ht="47.25" customHeight="1" x14ac:dyDescent="0.25">
      <c r="A29" s="714">
        <v>12</v>
      </c>
      <c r="B29" s="721" t="s">
        <v>1869</v>
      </c>
      <c r="C29" s="710" t="s">
        <v>1870</v>
      </c>
      <c r="D29" s="710" t="s">
        <v>1463</v>
      </c>
      <c r="E29" s="710">
        <v>18</v>
      </c>
      <c r="F29" s="710">
        <v>19</v>
      </c>
      <c r="G29" s="714">
        <v>1</v>
      </c>
      <c r="H29" s="714">
        <v>1</v>
      </c>
      <c r="I29" s="714">
        <v>1</v>
      </c>
      <c r="J29" s="714">
        <f>PRODUCT(E29:G29)</f>
        <v>342</v>
      </c>
      <c r="N29" s="728"/>
    </row>
    <row r="30" spans="1:14" ht="42.75" customHeight="1" x14ac:dyDescent="0.25">
      <c r="A30" s="714">
        <v>13</v>
      </c>
      <c r="B30" s="721" t="s">
        <v>1871</v>
      </c>
      <c r="C30" s="710" t="s">
        <v>1872</v>
      </c>
      <c r="D30" s="710" t="s">
        <v>1776</v>
      </c>
      <c r="E30" s="710">
        <v>18</v>
      </c>
      <c r="F30" s="710">
        <v>7</v>
      </c>
      <c r="G30" s="714">
        <v>1</v>
      </c>
      <c r="H30" s="714">
        <v>1</v>
      </c>
      <c r="I30" s="714">
        <v>1</v>
      </c>
      <c r="J30" s="714">
        <f>PRODUCT(E30:G30)</f>
        <v>126</v>
      </c>
    </row>
    <row r="31" spans="1:14" ht="60.75" customHeight="1" x14ac:dyDescent="0.25">
      <c r="A31" s="714">
        <v>14</v>
      </c>
      <c r="B31" s="721" t="s">
        <v>1873</v>
      </c>
      <c r="C31" s="710" t="s">
        <v>1874</v>
      </c>
      <c r="D31" s="710" t="s">
        <v>1463</v>
      </c>
      <c r="E31" s="710">
        <v>18</v>
      </c>
      <c r="F31" s="710">
        <v>34</v>
      </c>
      <c r="G31" s="714">
        <v>1</v>
      </c>
      <c r="H31" s="714">
        <v>1</v>
      </c>
      <c r="I31" s="714">
        <v>1</v>
      </c>
      <c r="J31" s="729">
        <f>F31+0.3*(E31-1)*F31</f>
        <v>207.39999999999998</v>
      </c>
    </row>
    <row r="32" spans="1:14" ht="60.75" customHeight="1" x14ac:dyDescent="0.25">
      <c r="A32" s="714">
        <v>15</v>
      </c>
      <c r="B32" s="721" t="s">
        <v>1875</v>
      </c>
      <c r="C32" s="710" t="s">
        <v>1874</v>
      </c>
      <c r="D32" s="710" t="s">
        <v>1463</v>
      </c>
      <c r="E32" s="710">
        <v>5</v>
      </c>
      <c r="F32" s="710">
        <v>34</v>
      </c>
      <c r="G32" s="714">
        <v>1</v>
      </c>
      <c r="H32" s="714">
        <v>1</v>
      </c>
      <c r="I32" s="714">
        <v>1</v>
      </c>
      <c r="J32" s="729">
        <f>F32+0.3*(E32-1)*F32</f>
        <v>74.8</v>
      </c>
    </row>
    <row r="33" spans="1:15" ht="72.75" customHeight="1" x14ac:dyDescent="0.25">
      <c r="A33" s="714">
        <v>16</v>
      </c>
      <c r="B33" s="721" t="s">
        <v>1876</v>
      </c>
      <c r="C33" s="710" t="s">
        <v>1874</v>
      </c>
      <c r="D33" s="710" t="s">
        <v>1463</v>
      </c>
      <c r="E33" s="710">
        <v>18</v>
      </c>
      <c r="F33" s="710">
        <v>34</v>
      </c>
      <c r="G33" s="714">
        <v>1</v>
      </c>
      <c r="H33" s="714">
        <v>1</v>
      </c>
      <c r="I33" s="714">
        <v>1</v>
      </c>
      <c r="J33" s="729">
        <f>F33+0.3*(E33-1)*F33</f>
        <v>207.39999999999998</v>
      </c>
      <c r="O33" s="728"/>
    </row>
    <row r="34" spans="1:15" ht="57" customHeight="1" x14ac:dyDescent="0.25">
      <c r="A34" s="714">
        <v>18</v>
      </c>
      <c r="B34" s="730" t="s">
        <v>1877</v>
      </c>
      <c r="C34" s="712" t="s">
        <v>1878</v>
      </c>
      <c r="D34" s="731" t="s">
        <v>1463</v>
      </c>
      <c r="E34" s="712">
        <v>11</v>
      </c>
      <c r="F34" s="712">
        <v>64</v>
      </c>
      <c r="G34" s="731">
        <v>1</v>
      </c>
      <c r="H34" s="714">
        <v>1</v>
      </c>
      <c r="I34" s="714">
        <v>1</v>
      </c>
      <c r="J34" s="731">
        <f t="shared" ref="J34:J35" si="1">PRODUCT(E34,F34,G34)</f>
        <v>704</v>
      </c>
    </row>
    <row r="35" spans="1:15" ht="57" customHeight="1" x14ac:dyDescent="0.25">
      <c r="A35" s="714">
        <v>19</v>
      </c>
      <c r="B35" s="730" t="s">
        <v>1879</v>
      </c>
      <c r="C35" s="712" t="s">
        <v>1880</v>
      </c>
      <c r="D35" s="731" t="s">
        <v>1463</v>
      </c>
      <c r="E35" s="712">
        <v>5</v>
      </c>
      <c r="F35" s="712">
        <v>34</v>
      </c>
      <c r="G35" s="731">
        <v>1</v>
      </c>
      <c r="H35" s="714">
        <v>1</v>
      </c>
      <c r="I35" s="714">
        <v>1</v>
      </c>
      <c r="J35" s="731">
        <f t="shared" si="1"/>
        <v>170</v>
      </c>
    </row>
    <row r="36" spans="1:15" ht="58.5" customHeight="1" x14ac:dyDescent="0.25">
      <c r="A36" s="714">
        <v>20</v>
      </c>
      <c r="B36" s="721" t="s">
        <v>1489</v>
      </c>
      <c r="C36" s="710" t="s">
        <v>1488</v>
      </c>
      <c r="D36" s="714" t="s">
        <v>1464</v>
      </c>
      <c r="E36" s="710">
        <v>1</v>
      </c>
      <c r="F36" s="714">
        <v>262</v>
      </c>
      <c r="G36" s="714">
        <v>1</v>
      </c>
      <c r="H36" s="714">
        <v>1</v>
      </c>
      <c r="I36" s="714">
        <v>1</v>
      </c>
      <c r="J36" s="714">
        <f>E36*F36*G36</f>
        <v>262</v>
      </c>
    </row>
    <row r="37" spans="1:15" ht="58.5" customHeight="1" x14ac:dyDescent="0.25">
      <c r="A37" s="714">
        <v>21</v>
      </c>
      <c r="B37" s="721" t="s">
        <v>1490</v>
      </c>
      <c r="C37" s="710" t="s">
        <v>1491</v>
      </c>
      <c r="D37" s="714" t="s">
        <v>1492</v>
      </c>
      <c r="E37" s="710">
        <v>1</v>
      </c>
      <c r="F37" s="714">
        <v>108</v>
      </c>
      <c r="G37" s="714">
        <v>1</v>
      </c>
      <c r="H37" s="714">
        <v>1</v>
      </c>
      <c r="I37" s="714">
        <v>1</v>
      </c>
      <c r="J37" s="714">
        <f>E37*F37*G37</f>
        <v>108</v>
      </c>
    </row>
    <row r="38" spans="1:15" x14ac:dyDescent="0.25">
      <c r="A38" s="1160" t="s">
        <v>1881</v>
      </c>
      <c r="B38" s="1161"/>
      <c r="C38" s="1161"/>
      <c r="D38" s="1161"/>
      <c r="E38" s="1161"/>
      <c r="F38" s="1162"/>
      <c r="G38" s="732"/>
      <c r="H38" s="732"/>
      <c r="I38" s="732"/>
      <c r="J38" s="733">
        <f>SUM(J25:J37)</f>
        <v>2525.6</v>
      </c>
    </row>
    <row r="39" spans="1:15" ht="37.5" customHeight="1" x14ac:dyDescent="0.25">
      <c r="A39" s="714">
        <v>22</v>
      </c>
      <c r="B39" s="721" t="s">
        <v>1882</v>
      </c>
      <c r="C39" s="714" t="s">
        <v>1493</v>
      </c>
      <c r="D39" s="714" t="s">
        <v>1465</v>
      </c>
      <c r="E39" s="714">
        <v>1</v>
      </c>
      <c r="F39" s="714">
        <v>800</v>
      </c>
      <c r="G39" s="714">
        <v>1</v>
      </c>
      <c r="H39" s="714">
        <v>1</v>
      </c>
      <c r="I39" s="714">
        <v>1</v>
      </c>
      <c r="J39" s="714">
        <f>E39*F39*G39*H39</f>
        <v>800</v>
      </c>
    </row>
    <row r="40" spans="1:15" ht="50.25" customHeight="1" x14ac:dyDescent="0.25">
      <c r="A40" s="710">
        <v>23</v>
      </c>
      <c r="B40" s="721" t="s">
        <v>1883</v>
      </c>
      <c r="C40" s="714" t="s">
        <v>1494</v>
      </c>
      <c r="D40" s="710" t="s">
        <v>1495</v>
      </c>
      <c r="E40" s="714">
        <v>1</v>
      </c>
      <c r="F40" s="734">
        <v>0.7</v>
      </c>
      <c r="G40" s="714">
        <v>1</v>
      </c>
      <c r="H40" s="714">
        <v>1.25</v>
      </c>
      <c r="I40" s="714">
        <v>1.2</v>
      </c>
      <c r="J40" s="735">
        <f>(J38+J39)*F40*G40*H40*I40</f>
        <v>3491.8799999999997</v>
      </c>
    </row>
    <row r="41" spans="1:15" x14ac:dyDescent="0.25">
      <c r="A41" s="1163" t="s">
        <v>1496</v>
      </c>
      <c r="B41" s="1164"/>
      <c r="C41" s="1164"/>
      <c r="D41" s="1164"/>
      <c r="E41" s="1164"/>
      <c r="F41" s="1164"/>
      <c r="G41" s="1165"/>
      <c r="H41" s="736"/>
      <c r="I41" s="736"/>
      <c r="J41" s="725">
        <f>J40+J39+J38</f>
        <v>6817.48</v>
      </c>
    </row>
    <row r="42" spans="1:15" x14ac:dyDescent="0.25">
      <c r="A42" s="1166" t="s">
        <v>1497</v>
      </c>
      <c r="B42" s="1166"/>
      <c r="C42" s="1166"/>
      <c r="D42" s="1166"/>
      <c r="E42" s="1166"/>
      <c r="F42" s="1166"/>
      <c r="G42" s="1166"/>
      <c r="H42" s="737"/>
      <c r="I42" s="737"/>
      <c r="J42" s="725">
        <f>J41+J18+J23</f>
        <v>7927.8627399999987</v>
      </c>
    </row>
    <row r="43" spans="1:15" x14ac:dyDescent="0.25">
      <c r="A43" s="1167" t="s">
        <v>1884</v>
      </c>
      <c r="B43" s="1168"/>
      <c r="C43" s="1168"/>
      <c r="D43" s="1168"/>
      <c r="E43" s="1168"/>
      <c r="F43" s="1168"/>
      <c r="G43" s="1168"/>
      <c r="H43" s="1169"/>
      <c r="I43" s="738">
        <v>0</v>
      </c>
      <c r="J43" s="725">
        <f>J42*I43</f>
        <v>0</v>
      </c>
    </row>
    <row r="44" spans="1:15" ht="34.35" customHeight="1" x14ac:dyDescent="0.25">
      <c r="A44" s="1170" t="s">
        <v>1885</v>
      </c>
      <c r="B44" s="1170"/>
      <c r="C44" s="1170"/>
      <c r="D44" s="1170"/>
      <c r="E44" s="1170"/>
      <c r="F44" s="1170"/>
      <c r="G44" s="720">
        <v>61.09</v>
      </c>
      <c r="H44" s="720"/>
      <c r="I44" s="720"/>
      <c r="J44" s="739">
        <f>(J42+J43)*G44</f>
        <v>484313.13478659996</v>
      </c>
    </row>
    <row r="45" spans="1:15" s="744" customFormat="1" ht="39" customHeight="1" x14ac:dyDescent="0.25">
      <c r="A45" s="1153" t="s">
        <v>1729</v>
      </c>
      <c r="B45" s="1153"/>
      <c r="C45" s="1153"/>
      <c r="D45" s="740" t="s">
        <v>1742</v>
      </c>
      <c r="E45" s="741"/>
      <c r="F45" s="734">
        <v>0.1</v>
      </c>
      <c r="G45" s="742"/>
      <c r="H45" s="742"/>
      <c r="I45" s="742"/>
      <c r="J45" s="743">
        <f>ROUND(J44*F45,0)</f>
        <v>48431</v>
      </c>
    </row>
    <row r="46" spans="1:15" x14ac:dyDescent="0.25">
      <c r="K46" s="551"/>
    </row>
    <row r="47" spans="1:15" s="745" customFormat="1" ht="27" customHeight="1" x14ac:dyDescent="0.25">
      <c r="B47" s="746" t="s">
        <v>1731</v>
      </c>
      <c r="C47" s="746"/>
      <c r="D47" s="746" t="s">
        <v>1886</v>
      </c>
      <c r="E47" s="746"/>
      <c r="F47" s="747"/>
    </row>
    <row r="48" spans="1:15" s="751" customFormat="1" x14ac:dyDescent="0.2">
      <c r="A48" s="748"/>
      <c r="B48" s="749"/>
      <c r="C48" s="750"/>
      <c r="F48" s="752"/>
    </row>
    <row r="49" spans="2:6" s="751" customFormat="1" x14ac:dyDescent="0.2">
      <c r="B49" s="746" t="s">
        <v>1887</v>
      </c>
      <c r="D49" s="746" t="s">
        <v>1888</v>
      </c>
      <c r="F49" s="752"/>
    </row>
  </sheetData>
  <mergeCells count="24">
    <mergeCell ref="A45:C45"/>
    <mergeCell ref="B19:J19"/>
    <mergeCell ref="C20:E20"/>
    <mergeCell ref="C21:E21"/>
    <mergeCell ref="C22:E22"/>
    <mergeCell ref="A23:G23"/>
    <mergeCell ref="B24:J24"/>
    <mergeCell ref="A38:F38"/>
    <mergeCell ref="A41:G41"/>
    <mergeCell ref="A42:G42"/>
    <mergeCell ref="A43:H43"/>
    <mergeCell ref="A44:F44"/>
    <mergeCell ref="K6:K7"/>
    <mergeCell ref="A7:J7"/>
    <mergeCell ref="A12:J12"/>
    <mergeCell ref="A13:J13"/>
    <mergeCell ref="B14:J14"/>
    <mergeCell ref="A18:G18"/>
    <mergeCell ref="I1:J1"/>
    <mergeCell ref="A3:J3"/>
    <mergeCell ref="A4:J4"/>
    <mergeCell ref="A5:C5"/>
    <mergeCell ref="D5:J5"/>
    <mergeCell ref="A6:J6"/>
  </mergeCells>
  <pageMargins left="0.51181102362204722" right="0.51181102362204722" top="0.74803149606299213" bottom="0.74803149606299213" header="0.31496062992125984" footer="0.31496062992125984"/>
  <pageSetup paperSize="9" scale="60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5"/>
  <sheetViews>
    <sheetView topLeftCell="A400" workbookViewId="0">
      <selection activeCell="H422" sqref="H422"/>
    </sheetView>
  </sheetViews>
  <sheetFormatPr defaultColWidth="11.5703125" defaultRowHeight="12.75" x14ac:dyDescent="0.2"/>
  <cols>
    <col min="1" max="1" width="3.7109375" style="657" customWidth="1"/>
    <col min="2" max="2" width="26.7109375" style="657" customWidth="1"/>
    <col min="3" max="3" width="7.7109375" style="657" customWidth="1"/>
    <col min="4" max="4" width="5" style="657" customWidth="1"/>
    <col min="5" max="5" width="33.7109375" style="657" customWidth="1"/>
    <col min="6" max="6" width="26.28515625" style="657" customWidth="1"/>
    <col min="7" max="7" width="11.5703125" style="657" customWidth="1"/>
    <col min="8" max="256" width="11.5703125" style="630"/>
    <col min="257" max="257" width="3.7109375" style="630" customWidth="1"/>
    <col min="258" max="258" width="26.7109375" style="630" customWidth="1"/>
    <col min="259" max="259" width="7.7109375" style="630" customWidth="1"/>
    <col min="260" max="260" width="5" style="630" customWidth="1"/>
    <col min="261" max="261" width="27.7109375" style="630" customWidth="1"/>
    <col min="262" max="262" width="14.42578125" style="630" customWidth="1"/>
    <col min="263" max="512" width="11.5703125" style="630"/>
    <col min="513" max="513" width="3.7109375" style="630" customWidth="1"/>
    <col min="514" max="514" width="26.7109375" style="630" customWidth="1"/>
    <col min="515" max="515" width="7.7109375" style="630" customWidth="1"/>
    <col min="516" max="516" width="5" style="630" customWidth="1"/>
    <col min="517" max="517" width="27.7109375" style="630" customWidth="1"/>
    <col min="518" max="518" width="14.42578125" style="630" customWidth="1"/>
    <col min="519" max="768" width="11.5703125" style="630"/>
    <col min="769" max="769" width="3.7109375" style="630" customWidth="1"/>
    <col min="770" max="770" width="26.7109375" style="630" customWidth="1"/>
    <col min="771" max="771" width="7.7109375" style="630" customWidth="1"/>
    <col min="772" max="772" width="5" style="630" customWidth="1"/>
    <col min="773" max="773" width="27.7109375" style="630" customWidth="1"/>
    <col min="774" max="774" width="14.42578125" style="630" customWidth="1"/>
    <col min="775" max="1024" width="11.5703125" style="630"/>
    <col min="1025" max="1025" width="3.7109375" style="630" customWidth="1"/>
    <col min="1026" max="1026" width="26.7109375" style="630" customWidth="1"/>
    <col min="1027" max="1027" width="7.7109375" style="630" customWidth="1"/>
    <col min="1028" max="1028" width="5" style="630" customWidth="1"/>
    <col min="1029" max="1029" width="27.7109375" style="630" customWidth="1"/>
    <col min="1030" max="1030" width="14.42578125" style="630" customWidth="1"/>
    <col min="1031" max="1280" width="11.5703125" style="630"/>
    <col min="1281" max="1281" width="3.7109375" style="630" customWidth="1"/>
    <col min="1282" max="1282" width="26.7109375" style="630" customWidth="1"/>
    <col min="1283" max="1283" width="7.7109375" style="630" customWidth="1"/>
    <col min="1284" max="1284" width="5" style="630" customWidth="1"/>
    <col min="1285" max="1285" width="27.7109375" style="630" customWidth="1"/>
    <col min="1286" max="1286" width="14.42578125" style="630" customWidth="1"/>
    <col min="1287" max="1536" width="11.5703125" style="630"/>
    <col min="1537" max="1537" width="3.7109375" style="630" customWidth="1"/>
    <col min="1538" max="1538" width="26.7109375" style="630" customWidth="1"/>
    <col min="1539" max="1539" width="7.7109375" style="630" customWidth="1"/>
    <col min="1540" max="1540" width="5" style="630" customWidth="1"/>
    <col min="1541" max="1541" width="27.7109375" style="630" customWidth="1"/>
    <col min="1542" max="1542" width="14.42578125" style="630" customWidth="1"/>
    <col min="1543" max="1792" width="11.5703125" style="630"/>
    <col min="1793" max="1793" width="3.7109375" style="630" customWidth="1"/>
    <col min="1794" max="1794" width="26.7109375" style="630" customWidth="1"/>
    <col min="1795" max="1795" width="7.7109375" style="630" customWidth="1"/>
    <col min="1796" max="1796" width="5" style="630" customWidth="1"/>
    <col min="1797" max="1797" width="27.7109375" style="630" customWidth="1"/>
    <col min="1798" max="1798" width="14.42578125" style="630" customWidth="1"/>
    <col min="1799" max="2048" width="11.5703125" style="630"/>
    <col min="2049" max="2049" width="3.7109375" style="630" customWidth="1"/>
    <col min="2050" max="2050" width="26.7109375" style="630" customWidth="1"/>
    <col min="2051" max="2051" width="7.7109375" style="630" customWidth="1"/>
    <col min="2052" max="2052" width="5" style="630" customWidth="1"/>
    <col min="2053" max="2053" width="27.7109375" style="630" customWidth="1"/>
    <col min="2054" max="2054" width="14.42578125" style="630" customWidth="1"/>
    <col min="2055" max="2304" width="11.5703125" style="630"/>
    <col min="2305" max="2305" width="3.7109375" style="630" customWidth="1"/>
    <col min="2306" max="2306" width="26.7109375" style="630" customWidth="1"/>
    <col min="2307" max="2307" width="7.7109375" style="630" customWidth="1"/>
    <col min="2308" max="2308" width="5" style="630" customWidth="1"/>
    <col min="2309" max="2309" width="27.7109375" style="630" customWidth="1"/>
    <col min="2310" max="2310" width="14.42578125" style="630" customWidth="1"/>
    <col min="2311" max="2560" width="11.5703125" style="630"/>
    <col min="2561" max="2561" width="3.7109375" style="630" customWidth="1"/>
    <col min="2562" max="2562" width="26.7109375" style="630" customWidth="1"/>
    <col min="2563" max="2563" width="7.7109375" style="630" customWidth="1"/>
    <col min="2564" max="2564" width="5" style="630" customWidth="1"/>
    <col min="2565" max="2565" width="27.7109375" style="630" customWidth="1"/>
    <col min="2566" max="2566" width="14.42578125" style="630" customWidth="1"/>
    <col min="2567" max="2816" width="11.5703125" style="630"/>
    <col min="2817" max="2817" width="3.7109375" style="630" customWidth="1"/>
    <col min="2818" max="2818" width="26.7109375" style="630" customWidth="1"/>
    <col min="2819" max="2819" width="7.7109375" style="630" customWidth="1"/>
    <col min="2820" max="2820" width="5" style="630" customWidth="1"/>
    <col min="2821" max="2821" width="27.7109375" style="630" customWidth="1"/>
    <col min="2822" max="2822" width="14.42578125" style="630" customWidth="1"/>
    <col min="2823" max="3072" width="11.5703125" style="630"/>
    <col min="3073" max="3073" width="3.7109375" style="630" customWidth="1"/>
    <col min="3074" max="3074" width="26.7109375" style="630" customWidth="1"/>
    <col min="3075" max="3075" width="7.7109375" style="630" customWidth="1"/>
    <col min="3076" max="3076" width="5" style="630" customWidth="1"/>
    <col min="3077" max="3077" width="27.7109375" style="630" customWidth="1"/>
    <col min="3078" max="3078" width="14.42578125" style="630" customWidth="1"/>
    <col min="3079" max="3328" width="11.5703125" style="630"/>
    <col min="3329" max="3329" width="3.7109375" style="630" customWidth="1"/>
    <col min="3330" max="3330" width="26.7109375" style="630" customWidth="1"/>
    <col min="3331" max="3331" width="7.7109375" style="630" customWidth="1"/>
    <col min="3332" max="3332" width="5" style="630" customWidth="1"/>
    <col min="3333" max="3333" width="27.7109375" style="630" customWidth="1"/>
    <col min="3334" max="3334" width="14.42578125" style="630" customWidth="1"/>
    <col min="3335" max="3584" width="11.5703125" style="630"/>
    <col min="3585" max="3585" width="3.7109375" style="630" customWidth="1"/>
    <col min="3586" max="3586" width="26.7109375" style="630" customWidth="1"/>
    <col min="3587" max="3587" width="7.7109375" style="630" customWidth="1"/>
    <col min="3588" max="3588" width="5" style="630" customWidth="1"/>
    <col min="3589" max="3589" width="27.7109375" style="630" customWidth="1"/>
    <col min="3590" max="3590" width="14.42578125" style="630" customWidth="1"/>
    <col min="3591" max="3840" width="11.5703125" style="630"/>
    <col min="3841" max="3841" width="3.7109375" style="630" customWidth="1"/>
    <col min="3842" max="3842" width="26.7109375" style="630" customWidth="1"/>
    <col min="3843" max="3843" width="7.7109375" style="630" customWidth="1"/>
    <col min="3844" max="3844" width="5" style="630" customWidth="1"/>
    <col min="3845" max="3845" width="27.7109375" style="630" customWidth="1"/>
    <col min="3846" max="3846" width="14.42578125" style="630" customWidth="1"/>
    <col min="3847" max="4096" width="11.5703125" style="630"/>
    <col min="4097" max="4097" width="3.7109375" style="630" customWidth="1"/>
    <col min="4098" max="4098" width="26.7109375" style="630" customWidth="1"/>
    <col min="4099" max="4099" width="7.7109375" style="630" customWidth="1"/>
    <col min="4100" max="4100" width="5" style="630" customWidth="1"/>
    <col min="4101" max="4101" width="27.7109375" style="630" customWidth="1"/>
    <col min="4102" max="4102" width="14.42578125" style="630" customWidth="1"/>
    <col min="4103" max="4352" width="11.5703125" style="630"/>
    <col min="4353" max="4353" width="3.7109375" style="630" customWidth="1"/>
    <col min="4354" max="4354" width="26.7109375" style="630" customWidth="1"/>
    <col min="4355" max="4355" width="7.7109375" style="630" customWidth="1"/>
    <col min="4356" max="4356" width="5" style="630" customWidth="1"/>
    <col min="4357" max="4357" width="27.7109375" style="630" customWidth="1"/>
    <col min="4358" max="4358" width="14.42578125" style="630" customWidth="1"/>
    <col min="4359" max="4608" width="11.5703125" style="630"/>
    <col min="4609" max="4609" width="3.7109375" style="630" customWidth="1"/>
    <col min="4610" max="4610" width="26.7109375" style="630" customWidth="1"/>
    <col min="4611" max="4611" width="7.7109375" style="630" customWidth="1"/>
    <col min="4612" max="4612" width="5" style="630" customWidth="1"/>
    <col min="4613" max="4613" width="27.7109375" style="630" customWidth="1"/>
    <col min="4614" max="4614" width="14.42578125" style="630" customWidth="1"/>
    <col min="4615" max="4864" width="11.5703125" style="630"/>
    <col min="4865" max="4865" width="3.7109375" style="630" customWidth="1"/>
    <col min="4866" max="4866" width="26.7109375" style="630" customWidth="1"/>
    <col min="4867" max="4867" width="7.7109375" style="630" customWidth="1"/>
    <col min="4868" max="4868" width="5" style="630" customWidth="1"/>
    <col min="4869" max="4869" width="27.7109375" style="630" customWidth="1"/>
    <col min="4870" max="4870" width="14.42578125" style="630" customWidth="1"/>
    <col min="4871" max="5120" width="11.5703125" style="630"/>
    <col min="5121" max="5121" width="3.7109375" style="630" customWidth="1"/>
    <col min="5122" max="5122" width="26.7109375" style="630" customWidth="1"/>
    <col min="5123" max="5123" width="7.7109375" style="630" customWidth="1"/>
    <col min="5124" max="5124" width="5" style="630" customWidth="1"/>
    <col min="5125" max="5125" width="27.7109375" style="630" customWidth="1"/>
    <col min="5126" max="5126" width="14.42578125" style="630" customWidth="1"/>
    <col min="5127" max="5376" width="11.5703125" style="630"/>
    <col min="5377" max="5377" width="3.7109375" style="630" customWidth="1"/>
    <col min="5378" max="5378" width="26.7109375" style="630" customWidth="1"/>
    <col min="5379" max="5379" width="7.7109375" style="630" customWidth="1"/>
    <col min="5380" max="5380" width="5" style="630" customWidth="1"/>
    <col min="5381" max="5381" width="27.7109375" style="630" customWidth="1"/>
    <col min="5382" max="5382" width="14.42578125" style="630" customWidth="1"/>
    <col min="5383" max="5632" width="11.5703125" style="630"/>
    <col min="5633" max="5633" width="3.7109375" style="630" customWidth="1"/>
    <col min="5634" max="5634" width="26.7109375" style="630" customWidth="1"/>
    <col min="5635" max="5635" width="7.7109375" style="630" customWidth="1"/>
    <col min="5636" max="5636" width="5" style="630" customWidth="1"/>
    <col min="5637" max="5637" width="27.7109375" style="630" customWidth="1"/>
    <col min="5638" max="5638" width="14.42578125" style="630" customWidth="1"/>
    <col min="5639" max="5888" width="11.5703125" style="630"/>
    <col min="5889" max="5889" width="3.7109375" style="630" customWidth="1"/>
    <col min="5890" max="5890" width="26.7109375" style="630" customWidth="1"/>
    <col min="5891" max="5891" width="7.7109375" style="630" customWidth="1"/>
    <col min="5892" max="5892" width="5" style="630" customWidth="1"/>
    <col min="5893" max="5893" width="27.7109375" style="630" customWidth="1"/>
    <col min="5894" max="5894" width="14.42578125" style="630" customWidth="1"/>
    <col min="5895" max="6144" width="11.5703125" style="630"/>
    <col min="6145" max="6145" width="3.7109375" style="630" customWidth="1"/>
    <col min="6146" max="6146" width="26.7109375" style="630" customWidth="1"/>
    <col min="6147" max="6147" width="7.7109375" style="630" customWidth="1"/>
    <col min="6148" max="6148" width="5" style="630" customWidth="1"/>
    <col min="6149" max="6149" width="27.7109375" style="630" customWidth="1"/>
    <col min="6150" max="6150" width="14.42578125" style="630" customWidth="1"/>
    <col min="6151" max="6400" width="11.5703125" style="630"/>
    <col min="6401" max="6401" width="3.7109375" style="630" customWidth="1"/>
    <col min="6402" max="6402" width="26.7109375" style="630" customWidth="1"/>
    <col min="6403" max="6403" width="7.7109375" style="630" customWidth="1"/>
    <col min="6404" max="6404" width="5" style="630" customWidth="1"/>
    <col min="6405" max="6405" width="27.7109375" style="630" customWidth="1"/>
    <col min="6406" max="6406" width="14.42578125" style="630" customWidth="1"/>
    <col min="6407" max="6656" width="11.5703125" style="630"/>
    <col min="6657" max="6657" width="3.7109375" style="630" customWidth="1"/>
    <col min="6658" max="6658" width="26.7109375" style="630" customWidth="1"/>
    <col min="6659" max="6659" width="7.7109375" style="630" customWidth="1"/>
    <col min="6660" max="6660" width="5" style="630" customWidth="1"/>
    <col min="6661" max="6661" width="27.7109375" style="630" customWidth="1"/>
    <col min="6662" max="6662" width="14.42578125" style="630" customWidth="1"/>
    <col min="6663" max="6912" width="11.5703125" style="630"/>
    <col min="6913" max="6913" width="3.7109375" style="630" customWidth="1"/>
    <col min="6914" max="6914" width="26.7109375" style="630" customWidth="1"/>
    <col min="6915" max="6915" width="7.7109375" style="630" customWidth="1"/>
    <col min="6916" max="6916" width="5" style="630" customWidth="1"/>
    <col min="6917" max="6917" width="27.7109375" style="630" customWidth="1"/>
    <col min="6918" max="6918" width="14.42578125" style="630" customWidth="1"/>
    <col min="6919" max="7168" width="11.5703125" style="630"/>
    <col min="7169" max="7169" width="3.7109375" style="630" customWidth="1"/>
    <col min="7170" max="7170" width="26.7109375" style="630" customWidth="1"/>
    <col min="7171" max="7171" width="7.7109375" style="630" customWidth="1"/>
    <col min="7172" max="7172" width="5" style="630" customWidth="1"/>
    <col min="7173" max="7173" width="27.7109375" style="630" customWidth="1"/>
    <col min="7174" max="7174" width="14.42578125" style="630" customWidth="1"/>
    <col min="7175" max="7424" width="11.5703125" style="630"/>
    <col min="7425" max="7425" width="3.7109375" style="630" customWidth="1"/>
    <col min="7426" max="7426" width="26.7109375" style="630" customWidth="1"/>
    <col min="7427" max="7427" width="7.7109375" style="630" customWidth="1"/>
    <col min="7428" max="7428" width="5" style="630" customWidth="1"/>
    <col min="7429" max="7429" width="27.7109375" style="630" customWidth="1"/>
    <col min="7430" max="7430" width="14.42578125" style="630" customWidth="1"/>
    <col min="7431" max="7680" width="11.5703125" style="630"/>
    <col min="7681" max="7681" width="3.7109375" style="630" customWidth="1"/>
    <col min="7682" max="7682" width="26.7109375" style="630" customWidth="1"/>
    <col min="7683" max="7683" width="7.7109375" style="630" customWidth="1"/>
    <col min="7684" max="7684" width="5" style="630" customWidth="1"/>
    <col min="7685" max="7685" width="27.7109375" style="630" customWidth="1"/>
    <col min="7686" max="7686" width="14.42578125" style="630" customWidth="1"/>
    <col min="7687" max="7936" width="11.5703125" style="630"/>
    <col min="7937" max="7937" width="3.7109375" style="630" customWidth="1"/>
    <col min="7938" max="7938" width="26.7109375" style="630" customWidth="1"/>
    <col min="7939" max="7939" width="7.7109375" style="630" customWidth="1"/>
    <col min="7940" max="7940" width="5" style="630" customWidth="1"/>
    <col min="7941" max="7941" width="27.7109375" style="630" customWidth="1"/>
    <col min="7942" max="7942" width="14.42578125" style="630" customWidth="1"/>
    <col min="7943" max="8192" width="11.5703125" style="630"/>
    <col min="8193" max="8193" width="3.7109375" style="630" customWidth="1"/>
    <col min="8194" max="8194" width="26.7109375" style="630" customWidth="1"/>
    <col min="8195" max="8195" width="7.7109375" style="630" customWidth="1"/>
    <col min="8196" max="8196" width="5" style="630" customWidth="1"/>
    <col min="8197" max="8197" width="27.7109375" style="630" customWidth="1"/>
    <col min="8198" max="8198" width="14.42578125" style="630" customWidth="1"/>
    <col min="8199" max="8448" width="11.5703125" style="630"/>
    <col min="8449" max="8449" width="3.7109375" style="630" customWidth="1"/>
    <col min="8450" max="8450" width="26.7109375" style="630" customWidth="1"/>
    <col min="8451" max="8451" width="7.7109375" style="630" customWidth="1"/>
    <col min="8452" max="8452" width="5" style="630" customWidth="1"/>
    <col min="8453" max="8453" width="27.7109375" style="630" customWidth="1"/>
    <col min="8454" max="8454" width="14.42578125" style="630" customWidth="1"/>
    <col min="8455" max="8704" width="11.5703125" style="630"/>
    <col min="8705" max="8705" width="3.7109375" style="630" customWidth="1"/>
    <col min="8706" max="8706" width="26.7109375" style="630" customWidth="1"/>
    <col min="8707" max="8707" width="7.7109375" style="630" customWidth="1"/>
    <col min="8708" max="8708" width="5" style="630" customWidth="1"/>
    <col min="8709" max="8709" width="27.7109375" style="630" customWidth="1"/>
    <col min="8710" max="8710" width="14.42578125" style="630" customWidth="1"/>
    <col min="8711" max="8960" width="11.5703125" style="630"/>
    <col min="8961" max="8961" width="3.7109375" style="630" customWidth="1"/>
    <col min="8962" max="8962" width="26.7109375" style="630" customWidth="1"/>
    <col min="8963" max="8963" width="7.7109375" style="630" customWidth="1"/>
    <col min="8964" max="8964" width="5" style="630" customWidth="1"/>
    <col min="8965" max="8965" width="27.7109375" style="630" customWidth="1"/>
    <col min="8966" max="8966" width="14.42578125" style="630" customWidth="1"/>
    <col min="8967" max="9216" width="11.5703125" style="630"/>
    <col min="9217" max="9217" width="3.7109375" style="630" customWidth="1"/>
    <col min="9218" max="9218" width="26.7109375" style="630" customWidth="1"/>
    <col min="9219" max="9219" width="7.7109375" style="630" customWidth="1"/>
    <col min="9220" max="9220" width="5" style="630" customWidth="1"/>
    <col min="9221" max="9221" width="27.7109375" style="630" customWidth="1"/>
    <col min="9222" max="9222" width="14.42578125" style="630" customWidth="1"/>
    <col min="9223" max="9472" width="11.5703125" style="630"/>
    <col min="9473" max="9473" width="3.7109375" style="630" customWidth="1"/>
    <col min="9474" max="9474" width="26.7109375" style="630" customWidth="1"/>
    <col min="9475" max="9475" width="7.7109375" style="630" customWidth="1"/>
    <col min="9476" max="9476" width="5" style="630" customWidth="1"/>
    <col min="9477" max="9477" width="27.7109375" style="630" customWidth="1"/>
    <col min="9478" max="9478" width="14.42578125" style="630" customWidth="1"/>
    <col min="9479" max="9728" width="11.5703125" style="630"/>
    <col min="9729" max="9729" width="3.7109375" style="630" customWidth="1"/>
    <col min="9730" max="9730" width="26.7109375" style="630" customWidth="1"/>
    <col min="9731" max="9731" width="7.7109375" style="630" customWidth="1"/>
    <col min="9732" max="9732" width="5" style="630" customWidth="1"/>
    <col min="9733" max="9733" width="27.7109375" style="630" customWidth="1"/>
    <col min="9734" max="9734" width="14.42578125" style="630" customWidth="1"/>
    <col min="9735" max="9984" width="11.5703125" style="630"/>
    <col min="9985" max="9985" width="3.7109375" style="630" customWidth="1"/>
    <col min="9986" max="9986" width="26.7109375" style="630" customWidth="1"/>
    <col min="9987" max="9987" width="7.7109375" style="630" customWidth="1"/>
    <col min="9988" max="9988" width="5" style="630" customWidth="1"/>
    <col min="9989" max="9989" width="27.7109375" style="630" customWidth="1"/>
    <col min="9990" max="9990" width="14.42578125" style="630" customWidth="1"/>
    <col min="9991" max="10240" width="11.5703125" style="630"/>
    <col min="10241" max="10241" width="3.7109375" style="630" customWidth="1"/>
    <col min="10242" max="10242" width="26.7109375" style="630" customWidth="1"/>
    <col min="10243" max="10243" width="7.7109375" style="630" customWidth="1"/>
    <col min="10244" max="10244" width="5" style="630" customWidth="1"/>
    <col min="10245" max="10245" width="27.7109375" style="630" customWidth="1"/>
    <col min="10246" max="10246" width="14.42578125" style="630" customWidth="1"/>
    <col min="10247" max="10496" width="11.5703125" style="630"/>
    <col min="10497" max="10497" width="3.7109375" style="630" customWidth="1"/>
    <col min="10498" max="10498" width="26.7109375" style="630" customWidth="1"/>
    <col min="10499" max="10499" width="7.7109375" style="630" customWidth="1"/>
    <col min="10500" max="10500" width="5" style="630" customWidth="1"/>
    <col min="10501" max="10501" width="27.7109375" style="630" customWidth="1"/>
    <col min="10502" max="10502" width="14.42578125" style="630" customWidth="1"/>
    <col min="10503" max="10752" width="11.5703125" style="630"/>
    <col min="10753" max="10753" width="3.7109375" style="630" customWidth="1"/>
    <col min="10754" max="10754" width="26.7109375" style="630" customWidth="1"/>
    <col min="10755" max="10755" width="7.7109375" style="630" customWidth="1"/>
    <col min="10756" max="10756" width="5" style="630" customWidth="1"/>
    <col min="10757" max="10757" width="27.7109375" style="630" customWidth="1"/>
    <col min="10758" max="10758" width="14.42578125" style="630" customWidth="1"/>
    <col min="10759" max="11008" width="11.5703125" style="630"/>
    <col min="11009" max="11009" width="3.7109375" style="630" customWidth="1"/>
    <col min="11010" max="11010" width="26.7109375" style="630" customWidth="1"/>
    <col min="11011" max="11011" width="7.7109375" style="630" customWidth="1"/>
    <col min="11012" max="11012" width="5" style="630" customWidth="1"/>
    <col min="11013" max="11013" width="27.7109375" style="630" customWidth="1"/>
    <col min="11014" max="11014" width="14.42578125" style="630" customWidth="1"/>
    <col min="11015" max="11264" width="11.5703125" style="630"/>
    <col min="11265" max="11265" width="3.7109375" style="630" customWidth="1"/>
    <col min="11266" max="11266" width="26.7109375" style="630" customWidth="1"/>
    <col min="11267" max="11267" width="7.7109375" style="630" customWidth="1"/>
    <col min="11268" max="11268" width="5" style="630" customWidth="1"/>
    <col min="11269" max="11269" width="27.7109375" style="630" customWidth="1"/>
    <col min="11270" max="11270" width="14.42578125" style="630" customWidth="1"/>
    <col min="11271" max="11520" width="11.5703125" style="630"/>
    <col min="11521" max="11521" width="3.7109375" style="630" customWidth="1"/>
    <col min="11522" max="11522" width="26.7109375" style="630" customWidth="1"/>
    <col min="11523" max="11523" width="7.7109375" style="630" customWidth="1"/>
    <col min="11524" max="11524" width="5" style="630" customWidth="1"/>
    <col min="11525" max="11525" width="27.7109375" style="630" customWidth="1"/>
    <col min="11526" max="11526" width="14.42578125" style="630" customWidth="1"/>
    <col min="11527" max="11776" width="11.5703125" style="630"/>
    <col min="11777" max="11777" width="3.7109375" style="630" customWidth="1"/>
    <col min="11778" max="11778" width="26.7109375" style="630" customWidth="1"/>
    <col min="11779" max="11779" width="7.7109375" style="630" customWidth="1"/>
    <col min="11780" max="11780" width="5" style="630" customWidth="1"/>
    <col min="11781" max="11781" width="27.7109375" style="630" customWidth="1"/>
    <col min="11782" max="11782" width="14.42578125" style="630" customWidth="1"/>
    <col min="11783" max="12032" width="11.5703125" style="630"/>
    <col min="12033" max="12033" width="3.7109375" style="630" customWidth="1"/>
    <col min="12034" max="12034" width="26.7109375" style="630" customWidth="1"/>
    <col min="12035" max="12035" width="7.7109375" style="630" customWidth="1"/>
    <col min="12036" max="12036" width="5" style="630" customWidth="1"/>
    <col min="12037" max="12037" width="27.7109375" style="630" customWidth="1"/>
    <col min="12038" max="12038" width="14.42578125" style="630" customWidth="1"/>
    <col min="12039" max="12288" width="11.5703125" style="630"/>
    <col min="12289" max="12289" width="3.7109375" style="630" customWidth="1"/>
    <col min="12290" max="12290" width="26.7109375" style="630" customWidth="1"/>
    <col min="12291" max="12291" width="7.7109375" style="630" customWidth="1"/>
    <col min="12292" max="12292" width="5" style="630" customWidth="1"/>
    <col min="12293" max="12293" width="27.7109375" style="630" customWidth="1"/>
    <col min="12294" max="12294" width="14.42578125" style="630" customWidth="1"/>
    <col min="12295" max="12544" width="11.5703125" style="630"/>
    <col min="12545" max="12545" width="3.7109375" style="630" customWidth="1"/>
    <col min="12546" max="12546" width="26.7109375" style="630" customWidth="1"/>
    <col min="12547" max="12547" width="7.7109375" style="630" customWidth="1"/>
    <col min="12548" max="12548" width="5" style="630" customWidth="1"/>
    <col min="12549" max="12549" width="27.7109375" style="630" customWidth="1"/>
    <col min="12550" max="12550" width="14.42578125" style="630" customWidth="1"/>
    <col min="12551" max="12800" width="11.5703125" style="630"/>
    <col min="12801" max="12801" width="3.7109375" style="630" customWidth="1"/>
    <col min="12802" max="12802" width="26.7109375" style="630" customWidth="1"/>
    <col min="12803" max="12803" width="7.7109375" style="630" customWidth="1"/>
    <col min="12804" max="12804" width="5" style="630" customWidth="1"/>
    <col min="12805" max="12805" width="27.7109375" style="630" customWidth="1"/>
    <col min="12806" max="12806" width="14.42578125" style="630" customWidth="1"/>
    <col min="12807" max="13056" width="11.5703125" style="630"/>
    <col min="13057" max="13057" width="3.7109375" style="630" customWidth="1"/>
    <col min="13058" max="13058" width="26.7109375" style="630" customWidth="1"/>
    <col min="13059" max="13059" width="7.7109375" style="630" customWidth="1"/>
    <col min="13060" max="13060" width="5" style="630" customWidth="1"/>
    <col min="13061" max="13061" width="27.7109375" style="630" customWidth="1"/>
    <col min="13062" max="13062" width="14.42578125" style="630" customWidth="1"/>
    <col min="13063" max="13312" width="11.5703125" style="630"/>
    <col min="13313" max="13313" width="3.7109375" style="630" customWidth="1"/>
    <col min="13314" max="13314" width="26.7109375" style="630" customWidth="1"/>
    <col min="13315" max="13315" width="7.7109375" style="630" customWidth="1"/>
    <col min="13316" max="13316" width="5" style="630" customWidth="1"/>
    <col min="13317" max="13317" width="27.7109375" style="630" customWidth="1"/>
    <col min="13318" max="13318" width="14.42578125" style="630" customWidth="1"/>
    <col min="13319" max="13568" width="11.5703125" style="630"/>
    <col min="13569" max="13569" width="3.7109375" style="630" customWidth="1"/>
    <col min="13570" max="13570" width="26.7109375" style="630" customWidth="1"/>
    <col min="13571" max="13571" width="7.7109375" style="630" customWidth="1"/>
    <col min="13572" max="13572" width="5" style="630" customWidth="1"/>
    <col min="13573" max="13573" width="27.7109375" style="630" customWidth="1"/>
    <col min="13574" max="13574" width="14.42578125" style="630" customWidth="1"/>
    <col min="13575" max="13824" width="11.5703125" style="630"/>
    <col min="13825" max="13825" width="3.7109375" style="630" customWidth="1"/>
    <col min="13826" max="13826" width="26.7109375" style="630" customWidth="1"/>
    <col min="13827" max="13827" width="7.7109375" style="630" customWidth="1"/>
    <col min="13828" max="13828" width="5" style="630" customWidth="1"/>
    <col min="13829" max="13829" width="27.7109375" style="630" customWidth="1"/>
    <col min="13830" max="13830" width="14.42578125" style="630" customWidth="1"/>
    <col min="13831" max="14080" width="11.5703125" style="630"/>
    <col min="14081" max="14081" width="3.7109375" style="630" customWidth="1"/>
    <col min="14082" max="14082" width="26.7109375" style="630" customWidth="1"/>
    <col min="14083" max="14083" width="7.7109375" style="630" customWidth="1"/>
    <col min="14084" max="14084" width="5" style="630" customWidth="1"/>
    <col min="14085" max="14085" width="27.7109375" style="630" customWidth="1"/>
    <col min="14086" max="14086" width="14.42578125" style="630" customWidth="1"/>
    <col min="14087" max="14336" width="11.5703125" style="630"/>
    <col min="14337" max="14337" width="3.7109375" style="630" customWidth="1"/>
    <col min="14338" max="14338" width="26.7109375" style="630" customWidth="1"/>
    <col min="14339" max="14339" width="7.7109375" style="630" customWidth="1"/>
    <col min="14340" max="14340" width="5" style="630" customWidth="1"/>
    <col min="14341" max="14341" width="27.7109375" style="630" customWidth="1"/>
    <col min="14342" max="14342" width="14.42578125" style="630" customWidth="1"/>
    <col min="14343" max="14592" width="11.5703125" style="630"/>
    <col min="14593" max="14593" width="3.7109375" style="630" customWidth="1"/>
    <col min="14594" max="14594" width="26.7109375" style="630" customWidth="1"/>
    <col min="14595" max="14595" width="7.7109375" style="630" customWidth="1"/>
    <col min="14596" max="14596" width="5" style="630" customWidth="1"/>
    <col min="14597" max="14597" width="27.7109375" style="630" customWidth="1"/>
    <col min="14598" max="14598" width="14.42578125" style="630" customWidth="1"/>
    <col min="14599" max="14848" width="11.5703125" style="630"/>
    <col min="14849" max="14849" width="3.7109375" style="630" customWidth="1"/>
    <col min="14850" max="14850" width="26.7109375" style="630" customWidth="1"/>
    <col min="14851" max="14851" width="7.7109375" style="630" customWidth="1"/>
    <col min="14852" max="14852" width="5" style="630" customWidth="1"/>
    <col min="14853" max="14853" width="27.7109375" style="630" customWidth="1"/>
    <col min="14854" max="14854" width="14.42578125" style="630" customWidth="1"/>
    <col min="14855" max="15104" width="11.5703125" style="630"/>
    <col min="15105" max="15105" width="3.7109375" style="630" customWidth="1"/>
    <col min="15106" max="15106" width="26.7109375" style="630" customWidth="1"/>
    <col min="15107" max="15107" width="7.7109375" style="630" customWidth="1"/>
    <col min="15108" max="15108" width="5" style="630" customWidth="1"/>
    <col min="15109" max="15109" width="27.7109375" style="630" customWidth="1"/>
    <col min="15110" max="15110" width="14.42578125" style="630" customWidth="1"/>
    <col min="15111" max="15360" width="11.5703125" style="630"/>
    <col min="15361" max="15361" width="3.7109375" style="630" customWidth="1"/>
    <col min="15362" max="15362" width="26.7109375" style="630" customWidth="1"/>
    <col min="15363" max="15363" width="7.7109375" style="630" customWidth="1"/>
    <col min="15364" max="15364" width="5" style="630" customWidth="1"/>
    <col min="15365" max="15365" width="27.7109375" style="630" customWidth="1"/>
    <col min="15366" max="15366" width="14.42578125" style="630" customWidth="1"/>
    <col min="15367" max="15616" width="11.5703125" style="630"/>
    <col min="15617" max="15617" width="3.7109375" style="630" customWidth="1"/>
    <col min="15618" max="15618" width="26.7109375" style="630" customWidth="1"/>
    <col min="15619" max="15619" width="7.7109375" style="630" customWidth="1"/>
    <col min="15620" max="15620" width="5" style="630" customWidth="1"/>
    <col min="15621" max="15621" width="27.7109375" style="630" customWidth="1"/>
    <col min="15622" max="15622" width="14.42578125" style="630" customWidth="1"/>
    <col min="15623" max="15872" width="11.5703125" style="630"/>
    <col min="15873" max="15873" width="3.7109375" style="630" customWidth="1"/>
    <col min="15874" max="15874" width="26.7109375" style="630" customWidth="1"/>
    <col min="15875" max="15875" width="7.7109375" style="630" customWidth="1"/>
    <col min="15876" max="15876" width="5" style="630" customWidth="1"/>
    <col min="15877" max="15877" width="27.7109375" style="630" customWidth="1"/>
    <col min="15878" max="15878" width="14.42578125" style="630" customWidth="1"/>
    <col min="15879" max="16128" width="11.5703125" style="630"/>
    <col min="16129" max="16129" width="3.7109375" style="630" customWidth="1"/>
    <col min="16130" max="16130" width="26.7109375" style="630" customWidth="1"/>
    <col min="16131" max="16131" width="7.7109375" style="630" customWidth="1"/>
    <col min="16132" max="16132" width="5" style="630" customWidth="1"/>
    <col min="16133" max="16133" width="27.7109375" style="630" customWidth="1"/>
    <col min="16134" max="16134" width="14.42578125" style="630" customWidth="1"/>
    <col min="16135" max="16384" width="11.5703125" style="630"/>
  </cols>
  <sheetData>
    <row r="1" spans="1:7" x14ac:dyDescent="0.2">
      <c r="A1" s="1086" t="s">
        <v>1638</v>
      </c>
      <c r="B1" s="1086"/>
      <c r="C1" s="1087" t="s">
        <v>1639</v>
      </c>
      <c r="D1" s="1087"/>
      <c r="E1" s="1087"/>
      <c r="F1" s="1087"/>
      <c r="G1" s="1087"/>
    </row>
    <row r="2" spans="1:7" x14ac:dyDescent="0.2">
      <c r="A2" s="655"/>
      <c r="B2" s="655"/>
      <c r="C2" s="656"/>
      <c r="D2" s="656"/>
      <c r="E2" s="656"/>
      <c r="F2" s="656"/>
      <c r="G2" s="656"/>
    </row>
    <row r="3" spans="1:7" x14ac:dyDescent="0.2">
      <c r="A3" s="655"/>
      <c r="B3" s="655"/>
      <c r="C3" s="656"/>
      <c r="D3" s="656"/>
      <c r="E3" s="656"/>
      <c r="F3" s="656"/>
      <c r="G3" s="656"/>
    </row>
    <row r="4" spans="1:7" x14ac:dyDescent="0.2">
      <c r="B4" s="1088" t="str">
        <f>'Cводная смета ПИР'!D18</f>
        <v>Смета № 6-из</v>
      </c>
      <c r="C4" s="1089"/>
      <c r="D4" s="1089"/>
      <c r="E4" s="1089"/>
      <c r="F4" s="1089"/>
    </row>
    <row r="5" spans="1:7" x14ac:dyDescent="0.2">
      <c r="B5" s="1090" t="s">
        <v>1889</v>
      </c>
      <c r="C5" s="1090"/>
      <c r="D5" s="1090"/>
      <c r="E5" s="1090"/>
      <c r="F5" s="1090"/>
    </row>
    <row r="6" spans="1:7" x14ac:dyDescent="0.2">
      <c r="B6" s="658"/>
      <c r="C6" s="658"/>
      <c r="D6" s="658"/>
      <c r="E6" s="658"/>
      <c r="F6" s="658"/>
    </row>
    <row r="7" spans="1:7" ht="25.5" customHeight="1" x14ac:dyDescent="0.2">
      <c r="A7" s="1091" t="s">
        <v>1641</v>
      </c>
      <c r="B7" s="1091"/>
      <c r="C7" s="1091"/>
      <c r="D7" s="1092" t="s">
        <v>2138</v>
      </c>
      <c r="E7" s="1092"/>
      <c r="F7" s="1092"/>
      <c r="G7" s="1092"/>
    </row>
    <row r="8" spans="1:7" x14ac:dyDescent="0.2">
      <c r="C8" s="659"/>
      <c r="D8" s="659"/>
      <c r="E8" s="659"/>
    </row>
    <row r="9" spans="1:7" ht="12.75" customHeight="1" x14ac:dyDescent="0.2">
      <c r="A9" s="1091" t="s">
        <v>1642</v>
      </c>
      <c r="B9" s="1091"/>
      <c r="C9" s="1091"/>
      <c r="D9" s="1096" t="s">
        <v>1137</v>
      </c>
      <c r="E9" s="1096"/>
      <c r="F9" s="1096"/>
      <c r="G9" s="1096"/>
    </row>
    <row r="10" spans="1:7" x14ac:dyDescent="0.2">
      <c r="A10" s="660"/>
      <c r="B10" s="660"/>
      <c r="C10" s="661"/>
      <c r="D10" s="662"/>
      <c r="E10" s="662"/>
      <c r="F10" s="662"/>
      <c r="G10" s="662"/>
    </row>
    <row r="11" spans="1:7" ht="12.75" customHeight="1" x14ac:dyDescent="0.2">
      <c r="A11" s="1091" t="s">
        <v>1643</v>
      </c>
      <c r="B11" s="1091"/>
      <c r="C11" s="1091"/>
      <c r="D11" s="1096" t="s">
        <v>1644</v>
      </c>
      <c r="E11" s="1096"/>
      <c r="F11" s="1096"/>
      <c r="G11" s="1096"/>
    </row>
    <row r="12" spans="1:7" x14ac:dyDescent="0.2">
      <c r="D12" s="1096"/>
      <c r="E12" s="1096"/>
      <c r="F12" s="1096"/>
      <c r="G12" s="1096"/>
    </row>
    <row r="13" spans="1:7" ht="13.5" customHeight="1" x14ac:dyDescent="0.2">
      <c r="A13" s="1091" t="s">
        <v>1645</v>
      </c>
      <c r="B13" s="1091"/>
      <c r="C13" s="1091"/>
      <c r="D13" s="1096"/>
      <c r="E13" s="1096"/>
      <c r="F13" s="1096"/>
      <c r="G13" s="1096"/>
    </row>
    <row r="14" spans="1:7" ht="12" customHeight="1" x14ac:dyDescent="0.2">
      <c r="A14" s="661"/>
      <c r="B14" s="661"/>
      <c r="D14" s="1096"/>
      <c r="E14" s="1096"/>
      <c r="F14" s="1096"/>
      <c r="G14" s="1096"/>
    </row>
    <row r="15" spans="1:7" ht="25.5" customHeight="1" x14ac:dyDescent="0.2">
      <c r="A15" s="1091" t="s">
        <v>1736</v>
      </c>
      <c r="B15" s="1097"/>
      <c r="C15" s="1097"/>
      <c r="D15" s="1097"/>
      <c r="E15" s="1097"/>
      <c r="F15" s="1097"/>
      <c r="G15" s="1097"/>
    </row>
    <row r="16" spans="1:7" ht="12.75" customHeight="1" x14ac:dyDescent="0.2">
      <c r="A16" s="663"/>
      <c r="B16" s="664"/>
      <c r="C16" s="664"/>
      <c r="D16" s="664"/>
      <c r="E16" s="664"/>
      <c r="F16" s="664"/>
      <c r="G16" s="664"/>
    </row>
    <row r="17" spans="1:7" ht="12.75" customHeight="1" x14ac:dyDescent="0.2">
      <c r="A17" s="1098" t="s">
        <v>1647</v>
      </c>
      <c r="B17" s="1098"/>
      <c r="C17" s="1098"/>
      <c r="D17" s="1098"/>
      <c r="E17" s="1098"/>
      <c r="F17" s="1098"/>
      <c r="G17" s="1098"/>
    </row>
    <row r="18" spans="1:7" ht="32.25" customHeight="1" x14ac:dyDescent="0.2">
      <c r="A18" s="665" t="s">
        <v>1468</v>
      </c>
      <c r="B18" s="1099" t="s">
        <v>1523</v>
      </c>
      <c r="C18" s="1100"/>
      <c r="D18" s="1101"/>
      <c r="E18" s="665" t="s">
        <v>1456</v>
      </c>
      <c r="F18" s="665" t="s">
        <v>1648</v>
      </c>
      <c r="G18" s="665" t="s">
        <v>525</v>
      </c>
    </row>
    <row r="19" spans="1:7" x14ac:dyDescent="0.2">
      <c r="A19" s="666">
        <v>1</v>
      </c>
      <c r="B19" s="1102">
        <v>2</v>
      </c>
      <c r="C19" s="1103"/>
      <c r="D19" s="1104"/>
      <c r="E19" s="667">
        <v>3</v>
      </c>
      <c r="F19" s="667">
        <v>4</v>
      </c>
      <c r="G19" s="667">
        <v>5</v>
      </c>
    </row>
    <row r="20" spans="1:7" ht="12.75" customHeight="1" x14ac:dyDescent="0.2">
      <c r="A20" s="668" t="s">
        <v>365</v>
      </c>
      <c r="B20" s="1105" t="s">
        <v>1649</v>
      </c>
      <c r="C20" s="1106"/>
      <c r="D20" s="1107"/>
      <c r="E20" s="669" t="s">
        <v>1650</v>
      </c>
      <c r="F20" s="669"/>
      <c r="G20" s="670"/>
    </row>
    <row r="21" spans="1:7" ht="191.25" customHeight="1" x14ac:dyDescent="0.2">
      <c r="A21" s="671" t="s">
        <v>366</v>
      </c>
      <c r="B21" s="1093" t="s">
        <v>1890</v>
      </c>
      <c r="C21" s="1094"/>
      <c r="D21" s="1095"/>
      <c r="E21" s="672" t="s">
        <v>1891</v>
      </c>
      <c r="F21" s="672" t="s">
        <v>1892</v>
      </c>
      <c r="G21" s="673">
        <f>ROUND(23.3  * 5.917 * 1 * 1.1,0)</f>
        <v>152</v>
      </c>
    </row>
    <row r="22" spans="1:7" ht="15.75" customHeight="1" x14ac:dyDescent="0.2">
      <c r="A22" s="674" t="s">
        <v>1654</v>
      </c>
      <c r="B22" s="1111" t="s">
        <v>1655</v>
      </c>
      <c r="C22" s="1112"/>
      <c r="D22" s="1113"/>
      <c r="E22" s="675"/>
      <c r="F22" s="675"/>
      <c r="G22" s="676"/>
    </row>
    <row r="23" spans="1:7" ht="12.75" customHeight="1" x14ac:dyDescent="0.2">
      <c r="A23" s="677" t="s">
        <v>1654</v>
      </c>
      <c r="B23" s="1108" t="s">
        <v>1656</v>
      </c>
      <c r="C23" s="1109"/>
      <c r="D23" s="1110"/>
      <c r="E23" s="678"/>
      <c r="F23" s="678"/>
      <c r="G23" s="679"/>
    </row>
    <row r="24" spans="1:7" ht="12.75" customHeight="1" x14ac:dyDescent="0.2">
      <c r="A24" s="677" t="s">
        <v>1654</v>
      </c>
      <c r="B24" s="1108" t="s">
        <v>1657</v>
      </c>
      <c r="C24" s="1109"/>
      <c r="D24" s="1110"/>
      <c r="E24" s="678" t="s">
        <v>1658</v>
      </c>
      <c r="F24" s="678"/>
      <c r="G24" s="679"/>
    </row>
    <row r="25" spans="1:7" ht="51" customHeight="1" x14ac:dyDescent="0.2">
      <c r="A25" s="677" t="s">
        <v>1654</v>
      </c>
      <c r="B25" s="1108" t="s">
        <v>1893</v>
      </c>
      <c r="C25" s="1109"/>
      <c r="D25" s="1110"/>
      <c r="E25" s="678" t="s">
        <v>1894</v>
      </c>
      <c r="F25" s="678"/>
      <c r="G25" s="679"/>
    </row>
    <row r="26" spans="1:7" ht="15.75" customHeight="1" x14ac:dyDescent="0.2">
      <c r="A26" s="677" t="s">
        <v>1654</v>
      </c>
      <c r="B26" s="1114" t="s">
        <v>1661</v>
      </c>
      <c r="C26" s="1115"/>
      <c r="D26" s="1116"/>
      <c r="E26" s="680"/>
      <c r="F26" s="680" t="s">
        <v>1895</v>
      </c>
      <c r="G26" s="681"/>
    </row>
    <row r="27" spans="1:7" ht="12.75" customHeight="1" x14ac:dyDescent="0.2">
      <c r="A27" s="682" t="s">
        <v>1654</v>
      </c>
      <c r="B27" s="1117" t="s">
        <v>1662</v>
      </c>
      <c r="C27" s="1118"/>
      <c r="D27" s="1119"/>
      <c r="E27" s="684" t="s">
        <v>1896</v>
      </c>
      <c r="F27" s="684"/>
      <c r="G27" s="685"/>
    </row>
    <row r="28" spans="1:7" ht="191.25" customHeight="1" x14ac:dyDescent="0.2">
      <c r="A28" s="671" t="s">
        <v>367</v>
      </c>
      <c r="B28" s="1093" t="s">
        <v>1897</v>
      </c>
      <c r="C28" s="1094"/>
      <c r="D28" s="1095"/>
      <c r="E28" s="672" t="s">
        <v>1898</v>
      </c>
      <c r="F28" s="672" t="s">
        <v>1899</v>
      </c>
      <c r="G28" s="673">
        <f>ROUND(3.24  * 5.917 * 1,0)</f>
        <v>19</v>
      </c>
    </row>
    <row r="29" spans="1:7" ht="15.75" customHeight="1" x14ac:dyDescent="0.2">
      <c r="A29" s="674" t="s">
        <v>1654</v>
      </c>
      <c r="B29" s="1111" t="s">
        <v>1655</v>
      </c>
      <c r="C29" s="1112"/>
      <c r="D29" s="1113"/>
      <c r="E29" s="675"/>
      <c r="F29" s="675"/>
      <c r="G29" s="676"/>
    </row>
    <row r="30" spans="1:7" ht="12.75" customHeight="1" x14ac:dyDescent="0.2">
      <c r="A30" s="677" t="s">
        <v>1654</v>
      </c>
      <c r="B30" s="1108" t="s">
        <v>1656</v>
      </c>
      <c r="C30" s="1109"/>
      <c r="D30" s="1110"/>
      <c r="E30" s="678"/>
      <c r="F30" s="678"/>
      <c r="G30" s="679"/>
    </row>
    <row r="31" spans="1:7" ht="12.75" customHeight="1" x14ac:dyDescent="0.2">
      <c r="A31" s="677" t="s">
        <v>1654</v>
      </c>
      <c r="B31" s="1108" t="s">
        <v>1657</v>
      </c>
      <c r="C31" s="1109"/>
      <c r="D31" s="1110"/>
      <c r="E31" s="678" t="s">
        <v>1658</v>
      </c>
      <c r="F31" s="678"/>
      <c r="G31" s="679"/>
    </row>
    <row r="32" spans="1:7" ht="15.75" customHeight="1" x14ac:dyDescent="0.2">
      <c r="A32" s="677" t="s">
        <v>1654</v>
      </c>
      <c r="B32" s="1114" t="s">
        <v>1661</v>
      </c>
      <c r="C32" s="1115"/>
      <c r="D32" s="1116"/>
      <c r="E32" s="680"/>
      <c r="F32" s="680" t="s">
        <v>1895</v>
      </c>
      <c r="G32" s="681"/>
    </row>
    <row r="33" spans="1:7" ht="12.75" customHeight="1" x14ac:dyDescent="0.2">
      <c r="A33" s="682" t="s">
        <v>1654</v>
      </c>
      <c r="B33" s="1117" t="s">
        <v>1662</v>
      </c>
      <c r="C33" s="1118"/>
      <c r="D33" s="1119"/>
      <c r="E33" s="684" t="s">
        <v>1900</v>
      </c>
      <c r="F33" s="684"/>
      <c r="G33" s="685"/>
    </row>
    <row r="34" spans="1:7" ht="255" customHeight="1" x14ac:dyDescent="0.2">
      <c r="A34" s="671" t="s">
        <v>1130</v>
      </c>
      <c r="B34" s="1093" t="s">
        <v>1901</v>
      </c>
      <c r="C34" s="1094"/>
      <c r="D34" s="1095"/>
      <c r="E34" s="672" t="s">
        <v>1902</v>
      </c>
      <c r="F34" s="672" t="s">
        <v>1903</v>
      </c>
      <c r="G34" s="673">
        <f>ROUND(16.3  * 5.917 * 1 * 0.6 * 1.3,0)</f>
        <v>75</v>
      </c>
    </row>
    <row r="35" spans="1:7" ht="15.75" customHeight="1" x14ac:dyDescent="0.2">
      <c r="A35" s="674" t="s">
        <v>1654</v>
      </c>
      <c r="B35" s="1111" t="s">
        <v>1655</v>
      </c>
      <c r="C35" s="1112"/>
      <c r="D35" s="1113"/>
      <c r="E35" s="675"/>
      <c r="F35" s="675"/>
      <c r="G35" s="676"/>
    </row>
    <row r="36" spans="1:7" ht="12.75" customHeight="1" x14ac:dyDescent="0.2">
      <c r="A36" s="677" t="s">
        <v>1654</v>
      </c>
      <c r="B36" s="1108" t="s">
        <v>1656</v>
      </c>
      <c r="C36" s="1109"/>
      <c r="D36" s="1110"/>
      <c r="E36" s="678"/>
      <c r="F36" s="678"/>
      <c r="G36" s="679"/>
    </row>
    <row r="37" spans="1:7" ht="12.75" customHeight="1" x14ac:dyDescent="0.2">
      <c r="A37" s="677" t="s">
        <v>1654</v>
      </c>
      <c r="B37" s="1108" t="s">
        <v>1657</v>
      </c>
      <c r="C37" s="1109"/>
      <c r="D37" s="1110"/>
      <c r="E37" s="678" t="s">
        <v>1658</v>
      </c>
      <c r="F37" s="678"/>
      <c r="G37" s="679"/>
    </row>
    <row r="38" spans="1:7" ht="63.75" customHeight="1" x14ac:dyDescent="0.2">
      <c r="A38" s="677" t="s">
        <v>1654</v>
      </c>
      <c r="B38" s="1108" t="s">
        <v>1904</v>
      </c>
      <c r="C38" s="1109"/>
      <c r="D38" s="1110"/>
      <c r="E38" s="678" t="s">
        <v>1905</v>
      </c>
      <c r="F38" s="678"/>
      <c r="G38" s="679"/>
    </row>
    <row r="39" spans="1:7" ht="38.25" customHeight="1" x14ac:dyDescent="0.2">
      <c r="A39" s="677" t="s">
        <v>1654</v>
      </c>
      <c r="B39" s="1108" t="s">
        <v>1906</v>
      </c>
      <c r="C39" s="1109"/>
      <c r="D39" s="1110"/>
      <c r="E39" s="678" t="s">
        <v>1907</v>
      </c>
      <c r="F39" s="678"/>
      <c r="G39" s="679"/>
    </row>
    <row r="40" spans="1:7" ht="15.75" customHeight="1" x14ac:dyDescent="0.2">
      <c r="A40" s="677" t="s">
        <v>1654</v>
      </c>
      <c r="B40" s="1114" t="s">
        <v>1661</v>
      </c>
      <c r="C40" s="1115"/>
      <c r="D40" s="1116"/>
      <c r="E40" s="680"/>
      <c r="F40" s="680" t="s">
        <v>1895</v>
      </c>
      <c r="G40" s="681"/>
    </row>
    <row r="41" spans="1:7" ht="12.75" customHeight="1" x14ac:dyDescent="0.2">
      <c r="A41" s="682" t="s">
        <v>1654</v>
      </c>
      <c r="B41" s="1117" t="s">
        <v>1662</v>
      </c>
      <c r="C41" s="1118"/>
      <c r="D41" s="1119"/>
      <c r="E41" s="684" t="s">
        <v>1908</v>
      </c>
      <c r="F41" s="684"/>
      <c r="G41" s="685"/>
    </row>
    <row r="42" spans="1:7" ht="229.5" customHeight="1" x14ac:dyDescent="0.2">
      <c r="A42" s="671" t="s">
        <v>1133</v>
      </c>
      <c r="B42" s="1093" t="s">
        <v>1909</v>
      </c>
      <c r="C42" s="1094"/>
      <c r="D42" s="1095"/>
      <c r="E42" s="672" t="s">
        <v>1910</v>
      </c>
      <c r="F42" s="672" t="s">
        <v>1911</v>
      </c>
      <c r="G42" s="673">
        <f>ROUND(11.7  * 7 * 1 * 0.6 * 0.4,0)</f>
        <v>20</v>
      </c>
    </row>
    <row r="43" spans="1:7" ht="15.75" customHeight="1" x14ac:dyDescent="0.2">
      <c r="A43" s="674" t="s">
        <v>1654</v>
      </c>
      <c r="B43" s="1111" t="s">
        <v>1655</v>
      </c>
      <c r="C43" s="1112"/>
      <c r="D43" s="1113"/>
      <c r="E43" s="675"/>
      <c r="F43" s="675"/>
      <c r="G43" s="676"/>
    </row>
    <row r="44" spans="1:7" ht="12.75" customHeight="1" x14ac:dyDescent="0.2">
      <c r="A44" s="677" t="s">
        <v>1654</v>
      </c>
      <c r="B44" s="1108" t="s">
        <v>1656</v>
      </c>
      <c r="C44" s="1109"/>
      <c r="D44" s="1110"/>
      <c r="E44" s="678"/>
      <c r="F44" s="678"/>
      <c r="G44" s="679"/>
    </row>
    <row r="45" spans="1:7" ht="12.75" customHeight="1" x14ac:dyDescent="0.2">
      <c r="A45" s="677" t="s">
        <v>1654</v>
      </c>
      <c r="B45" s="1108" t="s">
        <v>1657</v>
      </c>
      <c r="C45" s="1109"/>
      <c r="D45" s="1110"/>
      <c r="E45" s="678" t="s">
        <v>1658</v>
      </c>
      <c r="F45" s="678"/>
      <c r="G45" s="679"/>
    </row>
    <row r="46" spans="1:7" ht="63.75" customHeight="1" x14ac:dyDescent="0.2">
      <c r="A46" s="677" t="s">
        <v>1654</v>
      </c>
      <c r="B46" s="1108" t="s">
        <v>1904</v>
      </c>
      <c r="C46" s="1109"/>
      <c r="D46" s="1110"/>
      <c r="E46" s="678" t="s">
        <v>1905</v>
      </c>
      <c r="F46" s="678"/>
      <c r="G46" s="679"/>
    </row>
    <row r="47" spans="1:7" ht="51" customHeight="1" x14ac:dyDescent="0.2">
      <c r="A47" s="677" t="s">
        <v>1654</v>
      </c>
      <c r="B47" s="1108" t="s">
        <v>1912</v>
      </c>
      <c r="C47" s="1109"/>
      <c r="D47" s="1110"/>
      <c r="E47" s="678" t="s">
        <v>1913</v>
      </c>
      <c r="F47" s="678"/>
      <c r="G47" s="679"/>
    </row>
    <row r="48" spans="1:7" ht="15.75" customHeight="1" x14ac:dyDescent="0.2">
      <c r="A48" s="677" t="s">
        <v>1654</v>
      </c>
      <c r="B48" s="1114" t="s">
        <v>1661</v>
      </c>
      <c r="C48" s="1115"/>
      <c r="D48" s="1116"/>
      <c r="E48" s="680"/>
      <c r="F48" s="680" t="s">
        <v>1895</v>
      </c>
      <c r="G48" s="681"/>
    </row>
    <row r="49" spans="1:7" ht="12.75" customHeight="1" x14ac:dyDescent="0.2">
      <c r="A49" s="682" t="s">
        <v>1654</v>
      </c>
      <c r="B49" s="1117" t="s">
        <v>1662</v>
      </c>
      <c r="C49" s="1118"/>
      <c r="D49" s="1119"/>
      <c r="E49" s="684" t="s">
        <v>1914</v>
      </c>
      <c r="F49" s="684"/>
      <c r="G49" s="685"/>
    </row>
    <row r="50" spans="1:7" ht="12.75" customHeight="1" x14ac:dyDescent="0.2">
      <c r="A50" s="1171" t="s">
        <v>1915</v>
      </c>
      <c r="B50" s="1172"/>
      <c r="C50" s="1172"/>
      <c r="D50" s="1172"/>
      <c r="E50" s="1172"/>
      <c r="F50" s="1172"/>
      <c r="G50" s="1173"/>
    </row>
    <row r="51" spans="1:7" ht="229.5" customHeight="1" x14ac:dyDescent="0.2">
      <c r="A51" s="671" t="s">
        <v>1136</v>
      </c>
      <c r="B51" s="1093" t="s">
        <v>1916</v>
      </c>
      <c r="C51" s="1094"/>
      <c r="D51" s="1095"/>
      <c r="E51" s="672" t="s">
        <v>1917</v>
      </c>
      <c r="F51" s="672" t="s">
        <v>1918</v>
      </c>
      <c r="G51" s="673">
        <f>ROUND(6.9  * 26 * 1 * 0.9,0)</f>
        <v>161</v>
      </c>
    </row>
    <row r="52" spans="1:7" ht="15.75" customHeight="1" x14ac:dyDescent="0.2">
      <c r="A52" s="674" t="s">
        <v>1654</v>
      </c>
      <c r="B52" s="1111" t="s">
        <v>1655</v>
      </c>
      <c r="C52" s="1112"/>
      <c r="D52" s="1113"/>
      <c r="E52" s="675"/>
      <c r="F52" s="675"/>
      <c r="G52" s="676"/>
    </row>
    <row r="53" spans="1:7" ht="12.75" customHeight="1" x14ac:dyDescent="0.2">
      <c r="A53" s="677" t="s">
        <v>1654</v>
      </c>
      <c r="B53" s="1108" t="s">
        <v>1656</v>
      </c>
      <c r="C53" s="1109"/>
      <c r="D53" s="1110"/>
      <c r="E53" s="678"/>
      <c r="F53" s="678"/>
      <c r="G53" s="679"/>
    </row>
    <row r="54" spans="1:7" ht="12.75" customHeight="1" x14ac:dyDescent="0.2">
      <c r="A54" s="677" t="s">
        <v>1654</v>
      </c>
      <c r="B54" s="1108" t="s">
        <v>1657</v>
      </c>
      <c r="C54" s="1109"/>
      <c r="D54" s="1110"/>
      <c r="E54" s="678" t="s">
        <v>1658</v>
      </c>
      <c r="F54" s="678"/>
      <c r="G54" s="679"/>
    </row>
    <row r="55" spans="1:7" ht="63.75" customHeight="1" x14ac:dyDescent="0.2">
      <c r="A55" s="677" t="s">
        <v>1654</v>
      </c>
      <c r="B55" s="1108" t="s">
        <v>1919</v>
      </c>
      <c r="C55" s="1109"/>
      <c r="D55" s="1110"/>
      <c r="E55" s="678" t="s">
        <v>1920</v>
      </c>
      <c r="F55" s="678"/>
      <c r="G55" s="679"/>
    </row>
    <row r="56" spans="1:7" ht="15.75" customHeight="1" x14ac:dyDescent="0.2">
      <c r="A56" s="677" t="s">
        <v>1654</v>
      </c>
      <c r="B56" s="1114" t="s">
        <v>1661</v>
      </c>
      <c r="C56" s="1115"/>
      <c r="D56" s="1116"/>
      <c r="E56" s="680"/>
      <c r="F56" s="680" t="s">
        <v>1895</v>
      </c>
      <c r="G56" s="681"/>
    </row>
    <row r="57" spans="1:7" ht="12.75" customHeight="1" x14ac:dyDescent="0.2">
      <c r="A57" s="682" t="s">
        <v>1654</v>
      </c>
      <c r="B57" s="1117" t="s">
        <v>1662</v>
      </c>
      <c r="C57" s="1118"/>
      <c r="D57" s="1119"/>
      <c r="E57" s="684" t="s">
        <v>1921</v>
      </c>
      <c r="F57" s="684"/>
      <c r="G57" s="685"/>
    </row>
    <row r="58" spans="1:7" ht="229.5" customHeight="1" x14ac:dyDescent="0.2">
      <c r="A58" s="671" t="s">
        <v>1310</v>
      </c>
      <c r="B58" s="1093" t="s">
        <v>1922</v>
      </c>
      <c r="C58" s="1094"/>
      <c r="D58" s="1095"/>
      <c r="E58" s="672" t="s">
        <v>1917</v>
      </c>
      <c r="F58" s="672" t="s">
        <v>1923</v>
      </c>
      <c r="G58" s="673">
        <f>ROUND(6.9  * 26 * 1,0)</f>
        <v>179</v>
      </c>
    </row>
    <row r="59" spans="1:7" ht="15.75" customHeight="1" x14ac:dyDescent="0.2">
      <c r="A59" s="674" t="s">
        <v>1654</v>
      </c>
      <c r="B59" s="1111" t="s">
        <v>1655</v>
      </c>
      <c r="C59" s="1112"/>
      <c r="D59" s="1113"/>
      <c r="E59" s="675"/>
      <c r="F59" s="675"/>
      <c r="G59" s="676"/>
    </row>
    <row r="60" spans="1:7" ht="12.75" customHeight="1" x14ac:dyDescent="0.2">
      <c r="A60" s="677" t="s">
        <v>1654</v>
      </c>
      <c r="B60" s="1108" t="s">
        <v>1656</v>
      </c>
      <c r="C60" s="1109"/>
      <c r="D60" s="1110"/>
      <c r="E60" s="678"/>
      <c r="F60" s="678"/>
      <c r="G60" s="679"/>
    </row>
    <row r="61" spans="1:7" ht="12.75" customHeight="1" x14ac:dyDescent="0.2">
      <c r="A61" s="677" t="s">
        <v>1654</v>
      </c>
      <c r="B61" s="1108" t="s">
        <v>1657</v>
      </c>
      <c r="C61" s="1109"/>
      <c r="D61" s="1110"/>
      <c r="E61" s="678" t="s">
        <v>1658</v>
      </c>
      <c r="F61" s="678"/>
      <c r="G61" s="679"/>
    </row>
    <row r="62" spans="1:7" ht="15.75" customHeight="1" x14ac:dyDescent="0.2">
      <c r="A62" s="677" t="s">
        <v>1654</v>
      </c>
      <c r="B62" s="1114" t="s">
        <v>1661</v>
      </c>
      <c r="C62" s="1115"/>
      <c r="D62" s="1116"/>
      <c r="E62" s="680"/>
      <c r="F62" s="680" t="s">
        <v>1895</v>
      </c>
      <c r="G62" s="681"/>
    </row>
    <row r="63" spans="1:7" ht="12.75" customHeight="1" x14ac:dyDescent="0.2">
      <c r="A63" s="682" t="s">
        <v>1654</v>
      </c>
      <c r="B63" s="1117" t="s">
        <v>1662</v>
      </c>
      <c r="C63" s="1118"/>
      <c r="D63" s="1119"/>
      <c r="E63" s="684" t="s">
        <v>1924</v>
      </c>
      <c r="F63" s="684"/>
      <c r="G63" s="685"/>
    </row>
    <row r="64" spans="1:7" ht="229.5" customHeight="1" x14ac:dyDescent="0.2">
      <c r="A64" s="671" t="s">
        <v>1311</v>
      </c>
      <c r="B64" s="1093" t="s">
        <v>1925</v>
      </c>
      <c r="C64" s="1094"/>
      <c r="D64" s="1095"/>
      <c r="E64" s="672" t="s">
        <v>1926</v>
      </c>
      <c r="F64" s="672" t="s">
        <v>1927</v>
      </c>
      <c r="G64" s="673">
        <f>ROUND(37.7  * 3 * 1,0)</f>
        <v>113</v>
      </c>
    </row>
    <row r="65" spans="1:7" ht="15.75" customHeight="1" x14ac:dyDescent="0.2">
      <c r="A65" s="674" t="s">
        <v>1654</v>
      </c>
      <c r="B65" s="1111" t="s">
        <v>1655</v>
      </c>
      <c r="C65" s="1112"/>
      <c r="D65" s="1113"/>
      <c r="E65" s="675"/>
      <c r="F65" s="675"/>
      <c r="G65" s="676"/>
    </row>
    <row r="66" spans="1:7" ht="12.75" customHeight="1" x14ac:dyDescent="0.2">
      <c r="A66" s="677" t="s">
        <v>1654</v>
      </c>
      <c r="B66" s="1108" t="s">
        <v>1656</v>
      </c>
      <c r="C66" s="1109"/>
      <c r="D66" s="1110"/>
      <c r="E66" s="678"/>
      <c r="F66" s="678"/>
      <c r="G66" s="679"/>
    </row>
    <row r="67" spans="1:7" ht="12.75" customHeight="1" x14ac:dyDescent="0.2">
      <c r="A67" s="677" t="s">
        <v>1654</v>
      </c>
      <c r="B67" s="1108" t="s">
        <v>1657</v>
      </c>
      <c r="C67" s="1109"/>
      <c r="D67" s="1110"/>
      <c r="E67" s="678" t="s">
        <v>1658</v>
      </c>
      <c r="F67" s="678"/>
      <c r="G67" s="679"/>
    </row>
    <row r="68" spans="1:7" ht="15.75" customHeight="1" x14ac:dyDescent="0.2">
      <c r="A68" s="677" t="s">
        <v>1654</v>
      </c>
      <c r="B68" s="1114" t="s">
        <v>1661</v>
      </c>
      <c r="C68" s="1115"/>
      <c r="D68" s="1116"/>
      <c r="E68" s="680"/>
      <c r="F68" s="680" t="s">
        <v>1895</v>
      </c>
      <c r="G68" s="681"/>
    </row>
    <row r="69" spans="1:7" ht="12.75" customHeight="1" x14ac:dyDescent="0.2">
      <c r="A69" s="682" t="s">
        <v>1654</v>
      </c>
      <c r="B69" s="1117" t="s">
        <v>1662</v>
      </c>
      <c r="C69" s="1118"/>
      <c r="D69" s="1119"/>
      <c r="E69" s="684" t="s">
        <v>1928</v>
      </c>
      <c r="F69" s="684"/>
      <c r="G69" s="685"/>
    </row>
    <row r="70" spans="1:7" ht="229.5" customHeight="1" x14ac:dyDescent="0.2">
      <c r="A70" s="671" t="s">
        <v>1312</v>
      </c>
      <c r="B70" s="1093" t="s">
        <v>1929</v>
      </c>
      <c r="C70" s="1094"/>
      <c r="D70" s="1095"/>
      <c r="E70" s="672" t="s">
        <v>1926</v>
      </c>
      <c r="F70" s="672" t="s">
        <v>1930</v>
      </c>
      <c r="G70" s="673">
        <f>ROUND(37.7  * 3 * 1 * 0.9,0)</f>
        <v>102</v>
      </c>
    </row>
    <row r="71" spans="1:7" ht="15.75" customHeight="1" x14ac:dyDescent="0.2">
      <c r="A71" s="674" t="s">
        <v>1654</v>
      </c>
      <c r="B71" s="1111" t="s">
        <v>1655</v>
      </c>
      <c r="C71" s="1112"/>
      <c r="D71" s="1113"/>
      <c r="E71" s="675"/>
      <c r="F71" s="675"/>
      <c r="G71" s="676"/>
    </row>
    <row r="72" spans="1:7" ht="12.75" customHeight="1" x14ac:dyDescent="0.2">
      <c r="A72" s="677" t="s">
        <v>1654</v>
      </c>
      <c r="B72" s="1108" t="s">
        <v>1656</v>
      </c>
      <c r="C72" s="1109"/>
      <c r="D72" s="1110"/>
      <c r="E72" s="678"/>
      <c r="F72" s="678"/>
      <c r="G72" s="679"/>
    </row>
    <row r="73" spans="1:7" ht="12.75" customHeight="1" x14ac:dyDescent="0.2">
      <c r="A73" s="677" t="s">
        <v>1654</v>
      </c>
      <c r="B73" s="1108" t="s">
        <v>1657</v>
      </c>
      <c r="C73" s="1109"/>
      <c r="D73" s="1110"/>
      <c r="E73" s="678" t="s">
        <v>1658</v>
      </c>
      <c r="F73" s="678"/>
      <c r="G73" s="679"/>
    </row>
    <row r="74" spans="1:7" ht="51" customHeight="1" x14ac:dyDescent="0.2">
      <c r="A74" s="677" t="s">
        <v>1654</v>
      </c>
      <c r="B74" s="1108" t="s">
        <v>1931</v>
      </c>
      <c r="C74" s="1109"/>
      <c r="D74" s="1110"/>
      <c r="E74" s="678" t="s">
        <v>1932</v>
      </c>
      <c r="F74" s="678"/>
      <c r="G74" s="679"/>
    </row>
    <row r="75" spans="1:7" ht="15.75" customHeight="1" x14ac:dyDescent="0.2">
      <c r="A75" s="677" t="s">
        <v>1654</v>
      </c>
      <c r="B75" s="1114" t="s">
        <v>1661</v>
      </c>
      <c r="C75" s="1115"/>
      <c r="D75" s="1116"/>
      <c r="E75" s="680"/>
      <c r="F75" s="680" t="s">
        <v>1895</v>
      </c>
      <c r="G75" s="681"/>
    </row>
    <row r="76" spans="1:7" ht="12.75" customHeight="1" x14ac:dyDescent="0.2">
      <c r="A76" s="682" t="s">
        <v>1654</v>
      </c>
      <c r="B76" s="1117" t="s">
        <v>1662</v>
      </c>
      <c r="C76" s="1118"/>
      <c r="D76" s="1119"/>
      <c r="E76" s="684" t="s">
        <v>1933</v>
      </c>
      <c r="F76" s="684"/>
      <c r="G76" s="685"/>
    </row>
    <row r="77" spans="1:7" ht="229.5" customHeight="1" x14ac:dyDescent="0.2">
      <c r="A77" s="671" t="s">
        <v>1313</v>
      </c>
      <c r="B77" s="1093" t="s">
        <v>1934</v>
      </c>
      <c r="C77" s="1094"/>
      <c r="D77" s="1095"/>
      <c r="E77" s="672" t="s">
        <v>1935</v>
      </c>
      <c r="F77" s="672" t="s">
        <v>1936</v>
      </c>
      <c r="G77" s="673">
        <f>ROUND(4.6  * 6 * 1 * 0.5,0)</f>
        <v>14</v>
      </c>
    </row>
    <row r="78" spans="1:7" ht="15.75" customHeight="1" x14ac:dyDescent="0.2">
      <c r="A78" s="674" t="s">
        <v>1654</v>
      </c>
      <c r="B78" s="1111" t="s">
        <v>1655</v>
      </c>
      <c r="C78" s="1112"/>
      <c r="D78" s="1113"/>
      <c r="E78" s="675"/>
      <c r="F78" s="675"/>
      <c r="G78" s="676"/>
    </row>
    <row r="79" spans="1:7" ht="12.75" customHeight="1" x14ac:dyDescent="0.2">
      <c r="A79" s="677" t="s">
        <v>1654</v>
      </c>
      <c r="B79" s="1108" t="s">
        <v>1656</v>
      </c>
      <c r="C79" s="1109"/>
      <c r="D79" s="1110"/>
      <c r="E79" s="678"/>
      <c r="F79" s="678"/>
      <c r="G79" s="679"/>
    </row>
    <row r="80" spans="1:7" ht="12.75" customHeight="1" x14ac:dyDescent="0.2">
      <c r="A80" s="677" t="s">
        <v>1654</v>
      </c>
      <c r="B80" s="1108" t="s">
        <v>1657</v>
      </c>
      <c r="C80" s="1109"/>
      <c r="D80" s="1110"/>
      <c r="E80" s="678" t="s">
        <v>1658</v>
      </c>
      <c r="F80" s="678"/>
      <c r="G80" s="679"/>
    </row>
    <row r="81" spans="1:7" ht="51" customHeight="1" x14ac:dyDescent="0.2">
      <c r="A81" s="677" t="s">
        <v>1654</v>
      </c>
      <c r="B81" s="1108" t="s">
        <v>1937</v>
      </c>
      <c r="C81" s="1109"/>
      <c r="D81" s="1110"/>
      <c r="E81" s="678" t="s">
        <v>1938</v>
      </c>
      <c r="F81" s="678"/>
      <c r="G81" s="679"/>
    </row>
    <row r="82" spans="1:7" ht="15.75" customHeight="1" x14ac:dyDescent="0.2">
      <c r="A82" s="677" t="s">
        <v>1654</v>
      </c>
      <c r="B82" s="1114" t="s">
        <v>1661</v>
      </c>
      <c r="C82" s="1115"/>
      <c r="D82" s="1116"/>
      <c r="E82" s="680"/>
      <c r="F82" s="680" t="s">
        <v>1895</v>
      </c>
      <c r="G82" s="681"/>
    </row>
    <row r="83" spans="1:7" ht="12.75" customHeight="1" x14ac:dyDescent="0.2">
      <c r="A83" s="682" t="s">
        <v>1654</v>
      </c>
      <c r="B83" s="1117" t="s">
        <v>1662</v>
      </c>
      <c r="C83" s="1118"/>
      <c r="D83" s="1119"/>
      <c r="E83" s="684" t="s">
        <v>1939</v>
      </c>
      <c r="F83" s="684"/>
      <c r="G83" s="685"/>
    </row>
    <row r="84" spans="1:7" ht="204" customHeight="1" x14ac:dyDescent="0.2">
      <c r="A84" s="1174" t="s">
        <v>797</v>
      </c>
      <c r="B84" s="1175" t="s">
        <v>1940</v>
      </c>
      <c r="C84" s="1176"/>
      <c r="D84" s="1177"/>
      <c r="E84" s="1178" t="s">
        <v>1941</v>
      </c>
      <c r="F84" s="1178" t="s">
        <v>1942</v>
      </c>
      <c r="G84" s="1179">
        <f>ROUND(18.8  * 3 * 1 * 0.85,0)</f>
        <v>48</v>
      </c>
    </row>
    <row r="85" spans="1:7" ht="12.75" customHeight="1" x14ac:dyDescent="0.2">
      <c r="A85" s="1174"/>
      <c r="B85" s="1175"/>
      <c r="C85" s="1176"/>
      <c r="D85" s="1177"/>
      <c r="E85" s="1178"/>
      <c r="F85" s="1178"/>
      <c r="G85" s="1179"/>
    </row>
    <row r="86" spans="1:7" ht="15.75" customHeight="1" x14ac:dyDescent="0.2">
      <c r="A86" s="674" t="s">
        <v>1654</v>
      </c>
      <c r="B86" s="1111" t="s">
        <v>1655</v>
      </c>
      <c r="C86" s="1112"/>
      <c r="D86" s="1113"/>
      <c r="E86" s="675"/>
      <c r="F86" s="675"/>
      <c r="G86" s="676"/>
    </row>
    <row r="87" spans="1:7" ht="12.75" customHeight="1" x14ac:dyDescent="0.2">
      <c r="A87" s="677" t="s">
        <v>1654</v>
      </c>
      <c r="B87" s="1108" t="s">
        <v>1656</v>
      </c>
      <c r="C87" s="1109"/>
      <c r="D87" s="1110"/>
      <c r="E87" s="678"/>
      <c r="F87" s="678"/>
      <c r="G87" s="679"/>
    </row>
    <row r="88" spans="1:7" ht="12.75" customHeight="1" x14ac:dyDescent="0.2">
      <c r="A88" s="677" t="s">
        <v>1654</v>
      </c>
      <c r="B88" s="1108" t="s">
        <v>1657</v>
      </c>
      <c r="C88" s="1109"/>
      <c r="D88" s="1110"/>
      <c r="E88" s="678" t="s">
        <v>1658</v>
      </c>
      <c r="F88" s="678"/>
      <c r="G88" s="679"/>
    </row>
    <row r="89" spans="1:7" ht="51" customHeight="1" x14ac:dyDescent="0.2">
      <c r="A89" s="677" t="s">
        <v>1654</v>
      </c>
      <c r="B89" s="1108" t="s">
        <v>1937</v>
      </c>
      <c r="C89" s="1109"/>
      <c r="D89" s="1110"/>
      <c r="E89" s="678" t="s">
        <v>1943</v>
      </c>
      <c r="F89" s="678"/>
      <c r="G89" s="679"/>
    </row>
    <row r="90" spans="1:7" ht="15.75" customHeight="1" x14ac:dyDescent="0.2">
      <c r="A90" s="677" t="s">
        <v>1654</v>
      </c>
      <c r="B90" s="1114" t="s">
        <v>1661</v>
      </c>
      <c r="C90" s="1115"/>
      <c r="D90" s="1116"/>
      <c r="E90" s="680"/>
      <c r="F90" s="680" t="s">
        <v>1895</v>
      </c>
      <c r="G90" s="681"/>
    </row>
    <row r="91" spans="1:7" ht="12.75" customHeight="1" x14ac:dyDescent="0.2">
      <c r="A91" s="682" t="s">
        <v>1654</v>
      </c>
      <c r="B91" s="1117" t="s">
        <v>1662</v>
      </c>
      <c r="C91" s="1118"/>
      <c r="D91" s="1119"/>
      <c r="E91" s="684" t="s">
        <v>1944</v>
      </c>
      <c r="F91" s="684"/>
      <c r="G91" s="685"/>
    </row>
    <row r="92" spans="1:7" ht="229.5" customHeight="1" x14ac:dyDescent="0.2">
      <c r="A92" s="671" t="s">
        <v>803</v>
      </c>
      <c r="B92" s="1093" t="s">
        <v>1945</v>
      </c>
      <c r="C92" s="1094"/>
      <c r="D92" s="1095"/>
      <c r="E92" s="672" t="s">
        <v>1946</v>
      </c>
      <c r="F92" s="672" t="s">
        <v>1947</v>
      </c>
      <c r="G92" s="673">
        <f>ROUND(20.3  * 3 * 1 * 0.85,0)</f>
        <v>52</v>
      </c>
    </row>
    <row r="93" spans="1:7" ht="15.75" customHeight="1" x14ac:dyDescent="0.2">
      <c r="A93" s="674" t="s">
        <v>1654</v>
      </c>
      <c r="B93" s="1111" t="s">
        <v>1655</v>
      </c>
      <c r="C93" s="1112"/>
      <c r="D93" s="1113"/>
      <c r="E93" s="675"/>
      <c r="F93" s="675"/>
      <c r="G93" s="676"/>
    </row>
    <row r="94" spans="1:7" ht="12.75" customHeight="1" x14ac:dyDescent="0.2">
      <c r="A94" s="677" t="s">
        <v>1654</v>
      </c>
      <c r="B94" s="1108" t="s">
        <v>1656</v>
      </c>
      <c r="C94" s="1109"/>
      <c r="D94" s="1110"/>
      <c r="E94" s="678"/>
      <c r="F94" s="678"/>
      <c r="G94" s="679"/>
    </row>
    <row r="95" spans="1:7" ht="12.75" customHeight="1" x14ac:dyDescent="0.2">
      <c r="A95" s="677" t="s">
        <v>1654</v>
      </c>
      <c r="B95" s="1108" t="s">
        <v>1657</v>
      </c>
      <c r="C95" s="1109"/>
      <c r="D95" s="1110"/>
      <c r="E95" s="678" t="s">
        <v>1658</v>
      </c>
      <c r="F95" s="678"/>
      <c r="G95" s="679"/>
    </row>
    <row r="96" spans="1:7" ht="51" customHeight="1" x14ac:dyDescent="0.2">
      <c r="A96" s="677" t="s">
        <v>1654</v>
      </c>
      <c r="B96" s="1108" t="s">
        <v>1937</v>
      </c>
      <c r="C96" s="1109"/>
      <c r="D96" s="1110"/>
      <c r="E96" s="678" t="s">
        <v>1943</v>
      </c>
      <c r="F96" s="678"/>
      <c r="G96" s="679"/>
    </row>
    <row r="97" spans="1:7" ht="15.75" customHeight="1" x14ac:dyDescent="0.2">
      <c r="A97" s="677" t="s">
        <v>1654</v>
      </c>
      <c r="B97" s="1114" t="s">
        <v>1661</v>
      </c>
      <c r="C97" s="1115"/>
      <c r="D97" s="1116"/>
      <c r="E97" s="680"/>
      <c r="F97" s="680" t="s">
        <v>1895</v>
      </c>
      <c r="G97" s="681"/>
    </row>
    <row r="98" spans="1:7" ht="12.75" customHeight="1" x14ac:dyDescent="0.2">
      <c r="A98" s="682" t="s">
        <v>1654</v>
      </c>
      <c r="B98" s="1117" t="s">
        <v>1662</v>
      </c>
      <c r="C98" s="1118"/>
      <c r="D98" s="1119"/>
      <c r="E98" s="684" t="s">
        <v>1948</v>
      </c>
      <c r="F98" s="684"/>
      <c r="G98" s="685"/>
    </row>
    <row r="99" spans="1:7" ht="204" customHeight="1" x14ac:dyDescent="0.2">
      <c r="A99" s="1174" t="s">
        <v>1314</v>
      </c>
      <c r="B99" s="1175" t="s">
        <v>1949</v>
      </c>
      <c r="C99" s="1176"/>
      <c r="D99" s="1177"/>
      <c r="E99" s="1178" t="s">
        <v>1950</v>
      </c>
      <c r="F99" s="1178" t="s">
        <v>1951</v>
      </c>
      <c r="G99" s="1179">
        <f>ROUND(6.1  * 3 * 1 * 0.5,0)</f>
        <v>9</v>
      </c>
    </row>
    <row r="100" spans="1:7" ht="12.75" customHeight="1" x14ac:dyDescent="0.2">
      <c r="A100" s="1174"/>
      <c r="B100" s="1175"/>
      <c r="C100" s="1176"/>
      <c r="D100" s="1177"/>
      <c r="E100" s="1178"/>
      <c r="F100" s="1178"/>
      <c r="G100" s="1179"/>
    </row>
    <row r="101" spans="1:7" ht="15.75" customHeight="1" x14ac:dyDescent="0.2">
      <c r="A101" s="674" t="s">
        <v>1654</v>
      </c>
      <c r="B101" s="1111" t="s">
        <v>1655</v>
      </c>
      <c r="C101" s="1112"/>
      <c r="D101" s="1113"/>
      <c r="E101" s="675"/>
      <c r="F101" s="675"/>
      <c r="G101" s="676"/>
    </row>
    <row r="102" spans="1:7" ht="12.75" customHeight="1" x14ac:dyDescent="0.2">
      <c r="A102" s="677" t="s">
        <v>1654</v>
      </c>
      <c r="B102" s="1108" t="s">
        <v>1656</v>
      </c>
      <c r="C102" s="1109"/>
      <c r="D102" s="1110"/>
      <c r="E102" s="678"/>
      <c r="F102" s="678"/>
      <c r="G102" s="679"/>
    </row>
    <row r="103" spans="1:7" ht="12.75" customHeight="1" x14ac:dyDescent="0.2">
      <c r="A103" s="677" t="s">
        <v>1654</v>
      </c>
      <c r="B103" s="1108" t="s">
        <v>1657</v>
      </c>
      <c r="C103" s="1109"/>
      <c r="D103" s="1110"/>
      <c r="E103" s="678" t="s">
        <v>1658</v>
      </c>
      <c r="F103" s="678"/>
      <c r="G103" s="679"/>
    </row>
    <row r="104" spans="1:7" ht="51" customHeight="1" x14ac:dyDescent="0.2">
      <c r="A104" s="677" t="s">
        <v>1654</v>
      </c>
      <c r="B104" s="1108" t="s">
        <v>1937</v>
      </c>
      <c r="C104" s="1109"/>
      <c r="D104" s="1110"/>
      <c r="E104" s="678" t="s">
        <v>1938</v>
      </c>
      <c r="F104" s="678"/>
      <c r="G104" s="679"/>
    </row>
    <row r="105" spans="1:7" ht="15.75" customHeight="1" x14ac:dyDescent="0.2">
      <c r="A105" s="677" t="s">
        <v>1654</v>
      </c>
      <c r="B105" s="1114" t="s">
        <v>1661</v>
      </c>
      <c r="C105" s="1115"/>
      <c r="D105" s="1116"/>
      <c r="E105" s="680"/>
      <c r="F105" s="680" t="s">
        <v>1895</v>
      </c>
      <c r="G105" s="681"/>
    </row>
    <row r="106" spans="1:7" ht="12.75" customHeight="1" x14ac:dyDescent="0.2">
      <c r="A106" s="682" t="s">
        <v>1654</v>
      </c>
      <c r="B106" s="1117" t="s">
        <v>1662</v>
      </c>
      <c r="C106" s="1118"/>
      <c r="D106" s="1119"/>
      <c r="E106" s="684" t="s">
        <v>1952</v>
      </c>
      <c r="F106" s="684"/>
      <c r="G106" s="685"/>
    </row>
    <row r="107" spans="1:7" ht="229.5" customHeight="1" x14ac:dyDescent="0.2">
      <c r="A107" s="671" t="s">
        <v>1315</v>
      </c>
      <c r="B107" s="1093" t="s">
        <v>1953</v>
      </c>
      <c r="C107" s="1094"/>
      <c r="D107" s="1095"/>
      <c r="E107" s="672" t="s">
        <v>1950</v>
      </c>
      <c r="F107" s="672" t="s">
        <v>1951</v>
      </c>
      <c r="G107" s="673">
        <f>ROUND(6.1  * 3 * 1 * 0.5,0)</f>
        <v>9</v>
      </c>
    </row>
    <row r="108" spans="1:7" ht="15.75" customHeight="1" x14ac:dyDescent="0.2">
      <c r="A108" s="674" t="s">
        <v>1654</v>
      </c>
      <c r="B108" s="1111" t="s">
        <v>1655</v>
      </c>
      <c r="C108" s="1112"/>
      <c r="D108" s="1113"/>
      <c r="E108" s="675"/>
      <c r="F108" s="675"/>
      <c r="G108" s="676"/>
    </row>
    <row r="109" spans="1:7" ht="12.75" customHeight="1" x14ac:dyDescent="0.2">
      <c r="A109" s="677" t="s">
        <v>1654</v>
      </c>
      <c r="B109" s="1108" t="s">
        <v>1656</v>
      </c>
      <c r="C109" s="1109"/>
      <c r="D109" s="1110"/>
      <c r="E109" s="678"/>
      <c r="F109" s="678"/>
      <c r="G109" s="679"/>
    </row>
    <row r="110" spans="1:7" ht="12.75" customHeight="1" x14ac:dyDescent="0.2">
      <c r="A110" s="677" t="s">
        <v>1654</v>
      </c>
      <c r="B110" s="1108" t="s">
        <v>1657</v>
      </c>
      <c r="C110" s="1109"/>
      <c r="D110" s="1110"/>
      <c r="E110" s="678" t="s">
        <v>1658</v>
      </c>
      <c r="F110" s="678"/>
      <c r="G110" s="679"/>
    </row>
    <row r="111" spans="1:7" ht="51" customHeight="1" x14ac:dyDescent="0.2">
      <c r="A111" s="677" t="s">
        <v>1654</v>
      </c>
      <c r="B111" s="1108" t="s">
        <v>1937</v>
      </c>
      <c r="C111" s="1109"/>
      <c r="D111" s="1110"/>
      <c r="E111" s="678" t="s">
        <v>1938</v>
      </c>
      <c r="F111" s="678"/>
      <c r="G111" s="679"/>
    </row>
    <row r="112" spans="1:7" ht="15.75" customHeight="1" x14ac:dyDescent="0.2">
      <c r="A112" s="677" t="s">
        <v>1654</v>
      </c>
      <c r="B112" s="1114" t="s">
        <v>1661</v>
      </c>
      <c r="C112" s="1115"/>
      <c r="D112" s="1116"/>
      <c r="E112" s="680"/>
      <c r="F112" s="680" t="s">
        <v>1895</v>
      </c>
      <c r="G112" s="681"/>
    </row>
    <row r="113" spans="1:7" ht="12.75" customHeight="1" x14ac:dyDescent="0.2">
      <c r="A113" s="682" t="s">
        <v>1654</v>
      </c>
      <c r="B113" s="1117" t="s">
        <v>1662</v>
      </c>
      <c r="C113" s="1118"/>
      <c r="D113" s="1119"/>
      <c r="E113" s="684" t="s">
        <v>1952</v>
      </c>
      <c r="F113" s="684"/>
      <c r="G113" s="685"/>
    </row>
    <row r="114" spans="1:7" ht="204" customHeight="1" x14ac:dyDescent="0.2">
      <c r="A114" s="1174" t="s">
        <v>1316</v>
      </c>
      <c r="B114" s="1175" t="s">
        <v>1954</v>
      </c>
      <c r="C114" s="1176"/>
      <c r="D114" s="1177"/>
      <c r="E114" s="1178" t="s">
        <v>1955</v>
      </c>
      <c r="F114" s="1178" t="s">
        <v>1956</v>
      </c>
      <c r="G114" s="1179">
        <f>ROUND(6.9  * 9 * 1 * 0.9,0)</f>
        <v>56</v>
      </c>
    </row>
    <row r="115" spans="1:7" ht="12.75" customHeight="1" x14ac:dyDescent="0.2">
      <c r="A115" s="1174"/>
      <c r="B115" s="1175"/>
      <c r="C115" s="1176"/>
      <c r="D115" s="1177"/>
      <c r="E115" s="1178"/>
      <c r="F115" s="1178"/>
      <c r="G115" s="1179"/>
    </row>
    <row r="116" spans="1:7" ht="15.75" customHeight="1" x14ac:dyDescent="0.2">
      <c r="A116" s="674" t="s">
        <v>1654</v>
      </c>
      <c r="B116" s="1111" t="s">
        <v>1655</v>
      </c>
      <c r="C116" s="1112"/>
      <c r="D116" s="1113"/>
      <c r="E116" s="675"/>
      <c r="F116" s="675"/>
      <c r="G116" s="676"/>
    </row>
    <row r="117" spans="1:7" ht="12.75" customHeight="1" x14ac:dyDescent="0.2">
      <c r="A117" s="677" t="s">
        <v>1654</v>
      </c>
      <c r="B117" s="1108" t="s">
        <v>1656</v>
      </c>
      <c r="C117" s="1109"/>
      <c r="D117" s="1110"/>
      <c r="E117" s="678"/>
      <c r="F117" s="678"/>
      <c r="G117" s="679"/>
    </row>
    <row r="118" spans="1:7" ht="12.75" customHeight="1" x14ac:dyDescent="0.2">
      <c r="A118" s="677" t="s">
        <v>1654</v>
      </c>
      <c r="B118" s="1108" t="s">
        <v>1657</v>
      </c>
      <c r="C118" s="1109"/>
      <c r="D118" s="1110"/>
      <c r="E118" s="678" t="s">
        <v>1658</v>
      </c>
      <c r="F118" s="678"/>
      <c r="G118" s="679"/>
    </row>
    <row r="119" spans="1:7" ht="63.75" customHeight="1" x14ac:dyDescent="0.2">
      <c r="A119" s="677" t="s">
        <v>1654</v>
      </c>
      <c r="B119" s="1108" t="s">
        <v>1919</v>
      </c>
      <c r="C119" s="1109"/>
      <c r="D119" s="1110"/>
      <c r="E119" s="678" t="s">
        <v>1920</v>
      </c>
      <c r="F119" s="678"/>
      <c r="G119" s="679"/>
    </row>
    <row r="120" spans="1:7" ht="15.75" customHeight="1" x14ac:dyDescent="0.2">
      <c r="A120" s="677" t="s">
        <v>1654</v>
      </c>
      <c r="B120" s="1114" t="s">
        <v>1661</v>
      </c>
      <c r="C120" s="1115"/>
      <c r="D120" s="1116"/>
      <c r="E120" s="680"/>
      <c r="F120" s="680" t="s">
        <v>1895</v>
      </c>
      <c r="G120" s="681"/>
    </row>
    <row r="121" spans="1:7" ht="12.75" customHeight="1" x14ac:dyDescent="0.2">
      <c r="A121" s="682" t="s">
        <v>1654</v>
      </c>
      <c r="B121" s="1117" t="s">
        <v>1662</v>
      </c>
      <c r="C121" s="1118"/>
      <c r="D121" s="1119"/>
      <c r="E121" s="684" t="s">
        <v>1957</v>
      </c>
      <c r="F121" s="684"/>
      <c r="G121" s="685"/>
    </row>
    <row r="122" spans="1:7" ht="229.5" customHeight="1" x14ac:dyDescent="0.2">
      <c r="A122" s="671" t="s">
        <v>1317</v>
      </c>
      <c r="B122" s="1093" t="s">
        <v>1958</v>
      </c>
      <c r="C122" s="1094"/>
      <c r="D122" s="1095"/>
      <c r="E122" s="672" t="s">
        <v>1955</v>
      </c>
      <c r="F122" s="672" t="s">
        <v>1956</v>
      </c>
      <c r="G122" s="673">
        <f>ROUND(6.9  * 9 * 1 * 0.9,0)</f>
        <v>56</v>
      </c>
    </row>
    <row r="123" spans="1:7" ht="15.75" customHeight="1" x14ac:dyDescent="0.2">
      <c r="A123" s="674" t="s">
        <v>1654</v>
      </c>
      <c r="B123" s="1111" t="s">
        <v>1655</v>
      </c>
      <c r="C123" s="1112"/>
      <c r="D123" s="1113"/>
      <c r="E123" s="675"/>
      <c r="F123" s="675"/>
      <c r="G123" s="676"/>
    </row>
    <row r="124" spans="1:7" ht="12.75" customHeight="1" x14ac:dyDescent="0.2">
      <c r="A124" s="677" t="s">
        <v>1654</v>
      </c>
      <c r="B124" s="1108" t="s">
        <v>1656</v>
      </c>
      <c r="C124" s="1109"/>
      <c r="D124" s="1110"/>
      <c r="E124" s="678"/>
      <c r="F124" s="678"/>
      <c r="G124" s="679"/>
    </row>
    <row r="125" spans="1:7" ht="12.75" customHeight="1" x14ac:dyDescent="0.2">
      <c r="A125" s="677" t="s">
        <v>1654</v>
      </c>
      <c r="B125" s="1108" t="s">
        <v>1657</v>
      </c>
      <c r="C125" s="1109"/>
      <c r="D125" s="1110"/>
      <c r="E125" s="678" t="s">
        <v>1658</v>
      </c>
      <c r="F125" s="678"/>
      <c r="G125" s="679"/>
    </row>
    <row r="126" spans="1:7" ht="63.75" customHeight="1" x14ac:dyDescent="0.2">
      <c r="A126" s="677" t="s">
        <v>1654</v>
      </c>
      <c r="B126" s="1108" t="s">
        <v>1919</v>
      </c>
      <c r="C126" s="1109"/>
      <c r="D126" s="1110"/>
      <c r="E126" s="678" t="s">
        <v>1920</v>
      </c>
      <c r="F126" s="678"/>
      <c r="G126" s="679"/>
    </row>
    <row r="127" spans="1:7" ht="15.75" customHeight="1" x14ac:dyDescent="0.2">
      <c r="A127" s="677" t="s">
        <v>1654</v>
      </c>
      <c r="B127" s="1114" t="s">
        <v>1661</v>
      </c>
      <c r="C127" s="1115"/>
      <c r="D127" s="1116"/>
      <c r="E127" s="680"/>
      <c r="F127" s="680" t="s">
        <v>1895</v>
      </c>
      <c r="G127" s="681"/>
    </row>
    <row r="128" spans="1:7" ht="12.75" customHeight="1" x14ac:dyDescent="0.2">
      <c r="A128" s="682" t="s">
        <v>1654</v>
      </c>
      <c r="B128" s="1117" t="s">
        <v>1662</v>
      </c>
      <c r="C128" s="1118"/>
      <c r="D128" s="1119"/>
      <c r="E128" s="684" t="s">
        <v>1957</v>
      </c>
      <c r="F128" s="684"/>
      <c r="G128" s="685"/>
    </row>
    <row r="129" spans="1:7" ht="12.75" customHeight="1" x14ac:dyDescent="0.2">
      <c r="A129" s="1180" t="s">
        <v>1959</v>
      </c>
      <c r="B129" s="1181"/>
      <c r="C129" s="1181"/>
      <c r="D129" s="1181"/>
      <c r="E129" s="1181"/>
      <c r="F129" s="1181"/>
      <c r="G129" s="1182"/>
    </row>
    <row r="130" spans="1:7" ht="229.5" customHeight="1" x14ac:dyDescent="0.2">
      <c r="A130" s="1183" t="s">
        <v>1318</v>
      </c>
      <c r="B130" s="1093" t="s">
        <v>1960</v>
      </c>
      <c r="C130" s="1094"/>
      <c r="D130" s="1095"/>
      <c r="E130" s="1184" t="s">
        <v>1961</v>
      </c>
      <c r="F130" s="1184" t="s">
        <v>1962</v>
      </c>
      <c r="G130" s="1185">
        <f>ROUND(29  * 4 * 1,0)</f>
        <v>116</v>
      </c>
    </row>
    <row r="131" spans="1:7" ht="12.75" customHeight="1" x14ac:dyDescent="0.2">
      <c r="A131" s="1174"/>
      <c r="B131" s="1175"/>
      <c r="C131" s="1176"/>
      <c r="D131" s="1177"/>
      <c r="E131" s="1178"/>
      <c r="F131" s="1178"/>
      <c r="G131" s="1179"/>
    </row>
    <row r="132" spans="1:7" ht="15.75" customHeight="1" x14ac:dyDescent="0.2">
      <c r="A132" s="674" t="s">
        <v>1654</v>
      </c>
      <c r="B132" s="1111" t="s">
        <v>1655</v>
      </c>
      <c r="C132" s="1112"/>
      <c r="D132" s="1113"/>
      <c r="E132" s="675"/>
      <c r="F132" s="675"/>
      <c r="G132" s="676"/>
    </row>
    <row r="133" spans="1:7" ht="12.75" customHeight="1" x14ac:dyDescent="0.2">
      <c r="A133" s="677" t="s">
        <v>1654</v>
      </c>
      <c r="B133" s="1108" t="s">
        <v>1656</v>
      </c>
      <c r="C133" s="1109"/>
      <c r="D133" s="1110"/>
      <c r="E133" s="678"/>
      <c r="F133" s="678"/>
      <c r="G133" s="679"/>
    </row>
    <row r="134" spans="1:7" ht="12.75" customHeight="1" x14ac:dyDescent="0.2">
      <c r="A134" s="677" t="s">
        <v>1654</v>
      </c>
      <c r="B134" s="1108" t="s">
        <v>1657</v>
      </c>
      <c r="C134" s="1109"/>
      <c r="D134" s="1110"/>
      <c r="E134" s="678" t="s">
        <v>1658</v>
      </c>
      <c r="F134" s="678"/>
      <c r="G134" s="679"/>
    </row>
    <row r="135" spans="1:7" ht="15.75" customHeight="1" x14ac:dyDescent="0.2">
      <c r="A135" s="677" t="s">
        <v>1654</v>
      </c>
      <c r="B135" s="1114" t="s">
        <v>1661</v>
      </c>
      <c r="C135" s="1115"/>
      <c r="D135" s="1116"/>
      <c r="E135" s="680"/>
      <c r="F135" s="680" t="s">
        <v>1895</v>
      </c>
      <c r="G135" s="681"/>
    </row>
    <row r="136" spans="1:7" ht="12.75" customHeight="1" x14ac:dyDescent="0.2">
      <c r="A136" s="682" t="s">
        <v>1654</v>
      </c>
      <c r="B136" s="1117" t="s">
        <v>1662</v>
      </c>
      <c r="C136" s="1118"/>
      <c r="D136" s="1119"/>
      <c r="E136" s="684" t="s">
        <v>1963</v>
      </c>
      <c r="F136" s="684"/>
      <c r="G136" s="685"/>
    </row>
    <row r="137" spans="1:7" ht="25.5" customHeight="1" x14ac:dyDescent="0.2">
      <c r="A137" s="686" t="s">
        <v>1319</v>
      </c>
      <c r="B137" s="1120" t="s">
        <v>1677</v>
      </c>
      <c r="C137" s="1121"/>
      <c r="D137" s="1122"/>
      <c r="E137" s="687"/>
      <c r="F137" s="687"/>
      <c r="G137" s="688">
        <f>ROUND((SUM($G$21:$G$130)),0)</f>
        <v>1181</v>
      </c>
    </row>
    <row r="138" spans="1:7" ht="51" customHeight="1" x14ac:dyDescent="0.2">
      <c r="A138" s="686" t="s">
        <v>1320</v>
      </c>
      <c r="B138" s="1123" t="s">
        <v>1678</v>
      </c>
      <c r="C138" s="1124"/>
      <c r="D138" s="1125"/>
      <c r="E138" s="689" t="s">
        <v>1679</v>
      </c>
      <c r="F138" s="689" t="s">
        <v>1964</v>
      </c>
      <c r="G138" s="690">
        <f>ROUND(($G$137) * 0.85 * 1,0)</f>
        <v>1004</v>
      </c>
    </row>
    <row r="139" spans="1:7" ht="25.5" customHeight="1" x14ac:dyDescent="0.2">
      <c r="A139" s="686" t="s">
        <v>1321</v>
      </c>
      <c r="B139" s="1120" t="s">
        <v>1681</v>
      </c>
      <c r="C139" s="1121"/>
      <c r="D139" s="1122"/>
      <c r="E139" s="687"/>
      <c r="F139" s="687"/>
      <c r="G139" s="688">
        <f>ROUND(($G$138),0)</f>
        <v>1004</v>
      </c>
    </row>
    <row r="140" spans="1:7" ht="12.75" customHeight="1" x14ac:dyDescent="0.2">
      <c r="A140" s="686" t="s">
        <v>479</v>
      </c>
      <c r="B140" s="1120" t="s">
        <v>1649</v>
      </c>
      <c r="C140" s="1121"/>
      <c r="D140" s="1122"/>
      <c r="E140" s="687" t="s">
        <v>1682</v>
      </c>
      <c r="F140" s="687"/>
      <c r="G140" s="691"/>
    </row>
    <row r="141" spans="1:7" ht="12.75" customHeight="1" x14ac:dyDescent="0.2">
      <c r="A141" s="1186" t="s">
        <v>1654</v>
      </c>
      <c r="B141" s="1187"/>
      <c r="C141" s="1187"/>
      <c r="D141" s="1187"/>
      <c r="E141" s="1187"/>
      <c r="F141" s="1187"/>
      <c r="G141" s="1188"/>
    </row>
    <row r="142" spans="1:7" ht="12.75" customHeight="1" x14ac:dyDescent="0.2">
      <c r="A142" s="1189" t="s">
        <v>1965</v>
      </c>
      <c r="B142" s="1190"/>
      <c r="C142" s="1190"/>
      <c r="D142" s="1190"/>
      <c r="E142" s="1190"/>
      <c r="F142" s="1190"/>
      <c r="G142" s="1191"/>
    </row>
    <row r="143" spans="1:7" ht="165.75" customHeight="1" x14ac:dyDescent="0.2">
      <c r="A143" s="671" t="s">
        <v>372</v>
      </c>
      <c r="B143" s="1093" t="s">
        <v>1966</v>
      </c>
      <c r="C143" s="1094"/>
      <c r="D143" s="1095"/>
      <c r="E143" s="672" t="s">
        <v>1967</v>
      </c>
      <c r="F143" s="672" t="s">
        <v>1738</v>
      </c>
      <c r="G143" s="673">
        <f>ROUND(8.5  * 26 * 1,0)</f>
        <v>221</v>
      </c>
    </row>
    <row r="144" spans="1:7" ht="15.75" customHeight="1" x14ac:dyDescent="0.2">
      <c r="A144" s="674" t="s">
        <v>1654</v>
      </c>
      <c r="B144" s="1111" t="s">
        <v>1655</v>
      </c>
      <c r="C144" s="1112"/>
      <c r="D144" s="1113"/>
      <c r="E144" s="675"/>
      <c r="F144" s="675"/>
      <c r="G144" s="676"/>
    </row>
    <row r="145" spans="1:7" ht="12.75" customHeight="1" x14ac:dyDescent="0.2">
      <c r="A145" s="677" t="s">
        <v>1654</v>
      </c>
      <c r="B145" s="1108" t="s">
        <v>1656</v>
      </c>
      <c r="C145" s="1109"/>
      <c r="D145" s="1110"/>
      <c r="E145" s="678"/>
      <c r="F145" s="678"/>
      <c r="G145" s="679"/>
    </row>
    <row r="146" spans="1:7" ht="12.75" customHeight="1" x14ac:dyDescent="0.2">
      <c r="A146" s="677" t="s">
        <v>1654</v>
      </c>
      <c r="B146" s="1108" t="s">
        <v>1657</v>
      </c>
      <c r="C146" s="1109"/>
      <c r="D146" s="1110"/>
      <c r="E146" s="678" t="s">
        <v>1658</v>
      </c>
      <c r="F146" s="678"/>
      <c r="G146" s="679"/>
    </row>
    <row r="147" spans="1:7" ht="15.75" customHeight="1" x14ac:dyDescent="0.2">
      <c r="A147" s="677" t="s">
        <v>1654</v>
      </c>
      <c r="B147" s="1114" t="s">
        <v>1661</v>
      </c>
      <c r="C147" s="1115"/>
      <c r="D147" s="1116"/>
      <c r="E147" s="680"/>
      <c r="F147" s="680" t="s">
        <v>1895</v>
      </c>
      <c r="G147" s="681"/>
    </row>
    <row r="148" spans="1:7" ht="12.75" customHeight="1" x14ac:dyDescent="0.2">
      <c r="A148" s="682" t="s">
        <v>1654</v>
      </c>
      <c r="B148" s="1117" t="s">
        <v>1662</v>
      </c>
      <c r="C148" s="1118"/>
      <c r="D148" s="1119"/>
      <c r="E148" s="684" t="s">
        <v>1968</v>
      </c>
      <c r="F148" s="684"/>
      <c r="G148" s="685"/>
    </row>
    <row r="149" spans="1:7" ht="165.75" customHeight="1" x14ac:dyDescent="0.2">
      <c r="A149" s="671" t="s">
        <v>375</v>
      </c>
      <c r="B149" s="1093" t="s">
        <v>1969</v>
      </c>
      <c r="C149" s="1094"/>
      <c r="D149" s="1095"/>
      <c r="E149" s="672" t="s">
        <v>1970</v>
      </c>
      <c r="F149" s="672" t="s">
        <v>1971</v>
      </c>
      <c r="G149" s="673">
        <f>ROUND(2  * 26 * 1,0)</f>
        <v>52</v>
      </c>
    </row>
    <row r="150" spans="1:7" ht="15.75" customHeight="1" x14ac:dyDescent="0.2">
      <c r="A150" s="674" t="s">
        <v>1654</v>
      </c>
      <c r="B150" s="1111" t="s">
        <v>1655</v>
      </c>
      <c r="C150" s="1112"/>
      <c r="D150" s="1113"/>
      <c r="E150" s="675"/>
      <c r="F150" s="675"/>
      <c r="G150" s="676"/>
    </row>
    <row r="151" spans="1:7" ht="12.75" customHeight="1" x14ac:dyDescent="0.2">
      <c r="A151" s="677" t="s">
        <v>1654</v>
      </c>
      <c r="B151" s="1108" t="s">
        <v>1656</v>
      </c>
      <c r="C151" s="1109"/>
      <c r="D151" s="1110"/>
      <c r="E151" s="678"/>
      <c r="F151" s="678"/>
      <c r="G151" s="679"/>
    </row>
    <row r="152" spans="1:7" ht="12.75" customHeight="1" x14ac:dyDescent="0.2">
      <c r="A152" s="677" t="s">
        <v>1654</v>
      </c>
      <c r="B152" s="1108" t="s">
        <v>1657</v>
      </c>
      <c r="C152" s="1109"/>
      <c r="D152" s="1110"/>
      <c r="E152" s="678" t="s">
        <v>1658</v>
      </c>
      <c r="F152" s="678"/>
      <c r="G152" s="679"/>
    </row>
    <row r="153" spans="1:7" ht="15.75" customHeight="1" x14ac:dyDescent="0.2">
      <c r="A153" s="677" t="s">
        <v>1654</v>
      </c>
      <c r="B153" s="1114" t="s">
        <v>1661</v>
      </c>
      <c r="C153" s="1115"/>
      <c r="D153" s="1116"/>
      <c r="E153" s="680"/>
      <c r="F153" s="680" t="s">
        <v>1895</v>
      </c>
      <c r="G153" s="681"/>
    </row>
    <row r="154" spans="1:7" ht="12.75" customHeight="1" x14ac:dyDescent="0.2">
      <c r="A154" s="682" t="s">
        <v>1654</v>
      </c>
      <c r="B154" s="1117" t="s">
        <v>1662</v>
      </c>
      <c r="C154" s="1118"/>
      <c r="D154" s="1119"/>
      <c r="E154" s="684" t="s">
        <v>1948</v>
      </c>
      <c r="F154" s="684"/>
      <c r="G154" s="685"/>
    </row>
    <row r="155" spans="1:7" ht="165.75" customHeight="1" x14ac:dyDescent="0.2">
      <c r="A155" s="671" t="s">
        <v>378</v>
      </c>
      <c r="B155" s="1093" t="s">
        <v>1972</v>
      </c>
      <c r="C155" s="1094"/>
      <c r="D155" s="1095"/>
      <c r="E155" s="672" t="s">
        <v>1973</v>
      </c>
      <c r="F155" s="672" t="s">
        <v>1974</v>
      </c>
      <c r="G155" s="673">
        <f>ROUND(19.7  * 26 * 1,0)</f>
        <v>512</v>
      </c>
    </row>
    <row r="156" spans="1:7" ht="15.75" customHeight="1" x14ac:dyDescent="0.2">
      <c r="A156" s="674" t="s">
        <v>1654</v>
      </c>
      <c r="B156" s="1111" t="s">
        <v>1655</v>
      </c>
      <c r="C156" s="1112"/>
      <c r="D156" s="1113"/>
      <c r="E156" s="675"/>
      <c r="F156" s="675"/>
      <c r="G156" s="676"/>
    </row>
    <row r="157" spans="1:7" ht="12.75" customHeight="1" x14ac:dyDescent="0.2">
      <c r="A157" s="677" t="s">
        <v>1654</v>
      </c>
      <c r="B157" s="1108" t="s">
        <v>1656</v>
      </c>
      <c r="C157" s="1109"/>
      <c r="D157" s="1110"/>
      <c r="E157" s="678"/>
      <c r="F157" s="678"/>
      <c r="G157" s="679"/>
    </row>
    <row r="158" spans="1:7" ht="12.75" customHeight="1" x14ac:dyDescent="0.2">
      <c r="A158" s="677" t="s">
        <v>1654</v>
      </c>
      <c r="B158" s="1108" t="s">
        <v>1657</v>
      </c>
      <c r="C158" s="1109"/>
      <c r="D158" s="1110"/>
      <c r="E158" s="678" t="s">
        <v>1658</v>
      </c>
      <c r="F158" s="678"/>
      <c r="G158" s="679"/>
    </row>
    <row r="159" spans="1:7" ht="15.75" customHeight="1" x14ac:dyDescent="0.2">
      <c r="A159" s="677" t="s">
        <v>1654</v>
      </c>
      <c r="B159" s="1114" t="s">
        <v>1661</v>
      </c>
      <c r="C159" s="1115"/>
      <c r="D159" s="1116"/>
      <c r="E159" s="680"/>
      <c r="F159" s="680" t="s">
        <v>1895</v>
      </c>
      <c r="G159" s="681"/>
    </row>
    <row r="160" spans="1:7" ht="12.75" customHeight="1" x14ac:dyDescent="0.2">
      <c r="A160" s="682" t="s">
        <v>1654</v>
      </c>
      <c r="B160" s="1117" t="s">
        <v>1662</v>
      </c>
      <c r="C160" s="1118"/>
      <c r="D160" s="1119"/>
      <c r="E160" s="684" t="s">
        <v>1975</v>
      </c>
      <c r="F160" s="684"/>
      <c r="G160" s="685"/>
    </row>
    <row r="161" spans="1:7" ht="165.75" customHeight="1" x14ac:dyDescent="0.2">
      <c r="A161" s="671" t="s">
        <v>1191</v>
      </c>
      <c r="B161" s="1093" t="s">
        <v>1976</v>
      </c>
      <c r="C161" s="1094"/>
      <c r="D161" s="1095"/>
      <c r="E161" s="672" t="s">
        <v>1977</v>
      </c>
      <c r="F161" s="672" t="s">
        <v>1978</v>
      </c>
      <c r="G161" s="673">
        <f>ROUND(7.8  * 208 * 1,0)</f>
        <v>1622</v>
      </c>
    </row>
    <row r="162" spans="1:7" ht="15.75" customHeight="1" x14ac:dyDescent="0.2">
      <c r="A162" s="674" t="s">
        <v>1654</v>
      </c>
      <c r="B162" s="1111" t="s">
        <v>1655</v>
      </c>
      <c r="C162" s="1112"/>
      <c r="D162" s="1113"/>
      <c r="E162" s="675"/>
      <c r="F162" s="675"/>
      <c r="G162" s="676"/>
    </row>
    <row r="163" spans="1:7" ht="12.75" customHeight="1" x14ac:dyDescent="0.2">
      <c r="A163" s="677" t="s">
        <v>1654</v>
      </c>
      <c r="B163" s="1108" t="s">
        <v>1656</v>
      </c>
      <c r="C163" s="1109"/>
      <c r="D163" s="1110"/>
      <c r="E163" s="678"/>
      <c r="F163" s="678"/>
      <c r="G163" s="679"/>
    </row>
    <row r="164" spans="1:7" ht="12.75" customHeight="1" x14ac:dyDescent="0.2">
      <c r="A164" s="677" t="s">
        <v>1654</v>
      </c>
      <c r="B164" s="1108" t="s">
        <v>1657</v>
      </c>
      <c r="C164" s="1109"/>
      <c r="D164" s="1110"/>
      <c r="E164" s="678" t="s">
        <v>1658</v>
      </c>
      <c r="F164" s="678"/>
      <c r="G164" s="679"/>
    </row>
    <row r="165" spans="1:7" ht="15.75" customHeight="1" x14ac:dyDescent="0.2">
      <c r="A165" s="677" t="s">
        <v>1654</v>
      </c>
      <c r="B165" s="1114" t="s">
        <v>1661</v>
      </c>
      <c r="C165" s="1115"/>
      <c r="D165" s="1116"/>
      <c r="E165" s="680"/>
      <c r="F165" s="680" t="s">
        <v>1895</v>
      </c>
      <c r="G165" s="681"/>
    </row>
    <row r="166" spans="1:7" ht="12.75" customHeight="1" x14ac:dyDescent="0.2">
      <c r="A166" s="682" t="s">
        <v>1654</v>
      </c>
      <c r="B166" s="1117" t="s">
        <v>1662</v>
      </c>
      <c r="C166" s="1118"/>
      <c r="D166" s="1119"/>
      <c r="E166" s="684" t="s">
        <v>1979</v>
      </c>
      <c r="F166" s="684"/>
      <c r="G166" s="685"/>
    </row>
    <row r="167" spans="1:7" ht="165.75" customHeight="1" x14ac:dyDescent="0.2">
      <c r="A167" s="671" t="s">
        <v>1192</v>
      </c>
      <c r="B167" s="1093" t="s">
        <v>1980</v>
      </c>
      <c r="C167" s="1094"/>
      <c r="D167" s="1095"/>
      <c r="E167" s="672" t="s">
        <v>1981</v>
      </c>
      <c r="F167" s="672" t="s">
        <v>1982</v>
      </c>
      <c r="G167" s="673">
        <f>ROUND(95.8  * 26 * 1,0)</f>
        <v>2491</v>
      </c>
    </row>
    <row r="168" spans="1:7" ht="15.75" customHeight="1" x14ac:dyDescent="0.2">
      <c r="A168" s="674" t="s">
        <v>1654</v>
      </c>
      <c r="B168" s="1111" t="s">
        <v>1655</v>
      </c>
      <c r="C168" s="1112"/>
      <c r="D168" s="1113"/>
      <c r="E168" s="675"/>
      <c r="F168" s="675"/>
      <c r="G168" s="676"/>
    </row>
    <row r="169" spans="1:7" ht="12.75" customHeight="1" x14ac:dyDescent="0.2">
      <c r="A169" s="677" t="s">
        <v>1654</v>
      </c>
      <c r="B169" s="1108" t="s">
        <v>1656</v>
      </c>
      <c r="C169" s="1109"/>
      <c r="D169" s="1110"/>
      <c r="E169" s="678"/>
      <c r="F169" s="678"/>
      <c r="G169" s="679"/>
    </row>
    <row r="170" spans="1:7" ht="12.75" customHeight="1" x14ac:dyDescent="0.2">
      <c r="A170" s="677" t="s">
        <v>1654</v>
      </c>
      <c r="B170" s="1108" t="s">
        <v>1657</v>
      </c>
      <c r="C170" s="1109"/>
      <c r="D170" s="1110"/>
      <c r="E170" s="678" t="s">
        <v>1658</v>
      </c>
      <c r="F170" s="678"/>
      <c r="G170" s="679"/>
    </row>
    <row r="171" spans="1:7" ht="15.75" customHeight="1" x14ac:dyDescent="0.2">
      <c r="A171" s="677" t="s">
        <v>1654</v>
      </c>
      <c r="B171" s="1114" t="s">
        <v>1661</v>
      </c>
      <c r="C171" s="1115"/>
      <c r="D171" s="1116"/>
      <c r="E171" s="680"/>
      <c r="F171" s="680" t="s">
        <v>1895</v>
      </c>
      <c r="G171" s="681"/>
    </row>
    <row r="172" spans="1:7" ht="12.75" customHeight="1" x14ac:dyDescent="0.2">
      <c r="A172" s="682" t="s">
        <v>1654</v>
      </c>
      <c r="B172" s="1117" t="s">
        <v>1662</v>
      </c>
      <c r="C172" s="1118"/>
      <c r="D172" s="1119"/>
      <c r="E172" s="684" t="s">
        <v>1983</v>
      </c>
      <c r="F172" s="684"/>
      <c r="G172" s="685"/>
    </row>
    <row r="173" spans="1:7" ht="165.75" customHeight="1" x14ac:dyDescent="0.2">
      <c r="A173" s="671" t="s">
        <v>1193</v>
      </c>
      <c r="B173" s="1093" t="s">
        <v>1984</v>
      </c>
      <c r="C173" s="1094"/>
      <c r="D173" s="1095"/>
      <c r="E173" s="672" t="s">
        <v>1985</v>
      </c>
      <c r="F173" s="672" t="s">
        <v>1986</v>
      </c>
      <c r="G173" s="673">
        <f>ROUND(147.4  * 3 * 1,0)</f>
        <v>442</v>
      </c>
    </row>
    <row r="174" spans="1:7" ht="15.75" customHeight="1" x14ac:dyDescent="0.2">
      <c r="A174" s="674" t="s">
        <v>1654</v>
      </c>
      <c r="B174" s="1111" t="s">
        <v>1655</v>
      </c>
      <c r="C174" s="1112"/>
      <c r="D174" s="1113"/>
      <c r="E174" s="675"/>
      <c r="F174" s="675"/>
      <c r="G174" s="676"/>
    </row>
    <row r="175" spans="1:7" ht="12.75" customHeight="1" x14ac:dyDescent="0.2">
      <c r="A175" s="677" t="s">
        <v>1654</v>
      </c>
      <c r="B175" s="1108" t="s">
        <v>1656</v>
      </c>
      <c r="C175" s="1109"/>
      <c r="D175" s="1110"/>
      <c r="E175" s="678"/>
      <c r="F175" s="678"/>
      <c r="G175" s="679"/>
    </row>
    <row r="176" spans="1:7" ht="12.75" customHeight="1" x14ac:dyDescent="0.2">
      <c r="A176" s="677" t="s">
        <v>1654</v>
      </c>
      <c r="B176" s="1108" t="s">
        <v>1657</v>
      </c>
      <c r="C176" s="1109"/>
      <c r="D176" s="1110"/>
      <c r="E176" s="678" t="s">
        <v>1658</v>
      </c>
      <c r="F176" s="678"/>
      <c r="G176" s="679"/>
    </row>
    <row r="177" spans="1:7" ht="15.75" customHeight="1" x14ac:dyDescent="0.2">
      <c r="A177" s="677" t="s">
        <v>1654</v>
      </c>
      <c r="B177" s="1114" t="s">
        <v>1661</v>
      </c>
      <c r="C177" s="1115"/>
      <c r="D177" s="1116"/>
      <c r="E177" s="680"/>
      <c r="F177" s="680" t="s">
        <v>1895</v>
      </c>
      <c r="G177" s="681"/>
    </row>
    <row r="178" spans="1:7" ht="12.75" customHeight="1" x14ac:dyDescent="0.2">
      <c r="A178" s="682" t="s">
        <v>1654</v>
      </c>
      <c r="B178" s="1117" t="s">
        <v>1662</v>
      </c>
      <c r="C178" s="1118"/>
      <c r="D178" s="1119"/>
      <c r="E178" s="684" t="s">
        <v>1987</v>
      </c>
      <c r="F178" s="684"/>
      <c r="G178" s="685"/>
    </row>
    <row r="179" spans="1:7" ht="12.75" customHeight="1" x14ac:dyDescent="0.2">
      <c r="A179" s="1171" t="s">
        <v>1988</v>
      </c>
      <c r="B179" s="1172"/>
      <c r="C179" s="1172"/>
      <c r="D179" s="1172"/>
      <c r="E179" s="1172"/>
      <c r="F179" s="1172"/>
      <c r="G179" s="1173"/>
    </row>
    <row r="180" spans="1:7" ht="165.75" customHeight="1" x14ac:dyDescent="0.2">
      <c r="A180" s="671" t="s">
        <v>1194</v>
      </c>
      <c r="B180" s="1093" t="s">
        <v>1989</v>
      </c>
      <c r="C180" s="1094"/>
      <c r="D180" s="1095"/>
      <c r="E180" s="672" t="s">
        <v>1990</v>
      </c>
      <c r="F180" s="672" t="s">
        <v>1991</v>
      </c>
      <c r="G180" s="673">
        <f>ROUND(4.5  * 3 * 1,0)</f>
        <v>14</v>
      </c>
    </row>
    <row r="181" spans="1:7" ht="15.75" customHeight="1" x14ac:dyDescent="0.2">
      <c r="A181" s="674" t="s">
        <v>1654</v>
      </c>
      <c r="B181" s="1111" t="s">
        <v>1655</v>
      </c>
      <c r="C181" s="1112"/>
      <c r="D181" s="1113"/>
      <c r="E181" s="675"/>
      <c r="F181" s="675"/>
      <c r="G181" s="676"/>
    </row>
    <row r="182" spans="1:7" ht="12.75" customHeight="1" x14ac:dyDescent="0.2">
      <c r="A182" s="677" t="s">
        <v>1654</v>
      </c>
      <c r="B182" s="1108" t="s">
        <v>1656</v>
      </c>
      <c r="C182" s="1109"/>
      <c r="D182" s="1110"/>
      <c r="E182" s="678"/>
      <c r="F182" s="678"/>
      <c r="G182" s="679"/>
    </row>
    <row r="183" spans="1:7" ht="12.75" customHeight="1" x14ac:dyDescent="0.2">
      <c r="A183" s="677" t="s">
        <v>1654</v>
      </c>
      <c r="B183" s="1108" t="s">
        <v>1657</v>
      </c>
      <c r="C183" s="1109"/>
      <c r="D183" s="1110"/>
      <c r="E183" s="678" t="s">
        <v>1658</v>
      </c>
      <c r="F183" s="678"/>
      <c r="G183" s="679"/>
    </row>
    <row r="184" spans="1:7" ht="15.75" customHeight="1" x14ac:dyDescent="0.2">
      <c r="A184" s="677" t="s">
        <v>1654</v>
      </c>
      <c r="B184" s="1114" t="s">
        <v>1661</v>
      </c>
      <c r="C184" s="1115"/>
      <c r="D184" s="1116"/>
      <c r="E184" s="680"/>
      <c r="F184" s="680" t="s">
        <v>1895</v>
      </c>
      <c r="G184" s="681"/>
    </row>
    <row r="185" spans="1:7" ht="12.75" customHeight="1" x14ac:dyDescent="0.2">
      <c r="A185" s="682" t="s">
        <v>1654</v>
      </c>
      <c r="B185" s="1117" t="s">
        <v>1662</v>
      </c>
      <c r="C185" s="1118"/>
      <c r="D185" s="1119"/>
      <c r="E185" s="684" t="s">
        <v>1939</v>
      </c>
      <c r="F185" s="684"/>
      <c r="G185" s="685"/>
    </row>
    <row r="186" spans="1:7" ht="165.75" customHeight="1" x14ac:dyDescent="0.2">
      <c r="A186" s="671" t="s">
        <v>1195</v>
      </c>
      <c r="B186" s="1093" t="s">
        <v>1992</v>
      </c>
      <c r="C186" s="1094"/>
      <c r="D186" s="1095"/>
      <c r="E186" s="672" t="s">
        <v>1993</v>
      </c>
      <c r="F186" s="672" t="s">
        <v>1994</v>
      </c>
      <c r="G186" s="673">
        <f>ROUND(7.6  * 3 * 1,0)</f>
        <v>23</v>
      </c>
    </row>
    <row r="187" spans="1:7" ht="15.75" customHeight="1" x14ac:dyDescent="0.2">
      <c r="A187" s="674" t="s">
        <v>1654</v>
      </c>
      <c r="B187" s="1111" t="s">
        <v>1655</v>
      </c>
      <c r="C187" s="1112"/>
      <c r="D187" s="1113"/>
      <c r="E187" s="675"/>
      <c r="F187" s="675"/>
      <c r="G187" s="676"/>
    </row>
    <row r="188" spans="1:7" ht="12.75" customHeight="1" x14ac:dyDescent="0.2">
      <c r="A188" s="677" t="s">
        <v>1654</v>
      </c>
      <c r="B188" s="1108" t="s">
        <v>1656</v>
      </c>
      <c r="C188" s="1109"/>
      <c r="D188" s="1110"/>
      <c r="E188" s="678"/>
      <c r="F188" s="678"/>
      <c r="G188" s="679"/>
    </row>
    <row r="189" spans="1:7" ht="12.75" customHeight="1" x14ac:dyDescent="0.2">
      <c r="A189" s="677" t="s">
        <v>1654</v>
      </c>
      <c r="B189" s="1108" t="s">
        <v>1657</v>
      </c>
      <c r="C189" s="1109"/>
      <c r="D189" s="1110"/>
      <c r="E189" s="678" t="s">
        <v>1658</v>
      </c>
      <c r="F189" s="678"/>
      <c r="G189" s="679"/>
    </row>
    <row r="190" spans="1:7" ht="15.75" customHeight="1" x14ac:dyDescent="0.2">
      <c r="A190" s="677" t="s">
        <v>1654</v>
      </c>
      <c r="B190" s="1114" t="s">
        <v>1661</v>
      </c>
      <c r="C190" s="1115"/>
      <c r="D190" s="1116"/>
      <c r="E190" s="680"/>
      <c r="F190" s="680" t="s">
        <v>1895</v>
      </c>
      <c r="G190" s="681"/>
    </row>
    <row r="191" spans="1:7" ht="12.75" customHeight="1" x14ac:dyDescent="0.2">
      <c r="A191" s="682" t="s">
        <v>1654</v>
      </c>
      <c r="B191" s="1117" t="s">
        <v>1662</v>
      </c>
      <c r="C191" s="1118"/>
      <c r="D191" s="1119"/>
      <c r="E191" s="684" t="s">
        <v>1995</v>
      </c>
      <c r="F191" s="684"/>
      <c r="G191" s="685"/>
    </row>
    <row r="192" spans="1:7" ht="178.5" customHeight="1" x14ac:dyDescent="0.2">
      <c r="A192" s="671" t="s">
        <v>1196</v>
      </c>
      <c r="B192" s="1093" t="s">
        <v>1996</v>
      </c>
      <c r="C192" s="1094"/>
      <c r="D192" s="1095"/>
      <c r="E192" s="672" t="s">
        <v>1997</v>
      </c>
      <c r="F192" s="672" t="s">
        <v>1998</v>
      </c>
      <c r="G192" s="673">
        <f>ROUND(19.6  * 3 * 1,0)</f>
        <v>59</v>
      </c>
    </row>
    <row r="193" spans="1:7" ht="15.75" customHeight="1" x14ac:dyDescent="0.2">
      <c r="A193" s="674" t="s">
        <v>1654</v>
      </c>
      <c r="B193" s="1111" t="s">
        <v>1655</v>
      </c>
      <c r="C193" s="1112"/>
      <c r="D193" s="1113"/>
      <c r="E193" s="675"/>
      <c r="F193" s="675"/>
      <c r="G193" s="676"/>
    </row>
    <row r="194" spans="1:7" ht="12.75" customHeight="1" x14ac:dyDescent="0.2">
      <c r="A194" s="677" t="s">
        <v>1654</v>
      </c>
      <c r="B194" s="1108" t="s">
        <v>1656</v>
      </c>
      <c r="C194" s="1109"/>
      <c r="D194" s="1110"/>
      <c r="E194" s="678"/>
      <c r="F194" s="678"/>
      <c r="G194" s="679"/>
    </row>
    <row r="195" spans="1:7" ht="12.75" customHeight="1" x14ac:dyDescent="0.2">
      <c r="A195" s="677" t="s">
        <v>1654</v>
      </c>
      <c r="B195" s="1108" t="s">
        <v>1657</v>
      </c>
      <c r="C195" s="1109"/>
      <c r="D195" s="1110"/>
      <c r="E195" s="678" t="s">
        <v>1658</v>
      </c>
      <c r="F195" s="678"/>
      <c r="G195" s="679"/>
    </row>
    <row r="196" spans="1:7" ht="15.75" customHeight="1" x14ac:dyDescent="0.2">
      <c r="A196" s="677" t="s">
        <v>1654</v>
      </c>
      <c r="B196" s="1114" t="s">
        <v>1661</v>
      </c>
      <c r="C196" s="1115"/>
      <c r="D196" s="1116"/>
      <c r="E196" s="680"/>
      <c r="F196" s="680" t="s">
        <v>1895</v>
      </c>
      <c r="G196" s="681"/>
    </row>
    <row r="197" spans="1:7" ht="12.75" customHeight="1" x14ac:dyDescent="0.2">
      <c r="A197" s="682" t="s">
        <v>1654</v>
      </c>
      <c r="B197" s="1117" t="s">
        <v>1662</v>
      </c>
      <c r="C197" s="1118"/>
      <c r="D197" s="1119"/>
      <c r="E197" s="684" t="s">
        <v>1999</v>
      </c>
      <c r="F197" s="684"/>
      <c r="G197" s="685"/>
    </row>
    <row r="198" spans="1:7" ht="165.75" customHeight="1" x14ac:dyDescent="0.2">
      <c r="A198" s="671" t="s">
        <v>1197</v>
      </c>
      <c r="B198" s="1093" t="s">
        <v>1739</v>
      </c>
      <c r="C198" s="1094"/>
      <c r="D198" s="1095"/>
      <c r="E198" s="672" t="s">
        <v>2000</v>
      </c>
      <c r="F198" s="672" t="s">
        <v>2001</v>
      </c>
      <c r="G198" s="673">
        <f>ROUND(3.8  * 6 * 1,0)</f>
        <v>23</v>
      </c>
    </row>
    <row r="199" spans="1:7" ht="15.75" customHeight="1" x14ac:dyDescent="0.2">
      <c r="A199" s="674" t="s">
        <v>1654</v>
      </c>
      <c r="B199" s="1111" t="s">
        <v>1655</v>
      </c>
      <c r="C199" s="1112"/>
      <c r="D199" s="1113"/>
      <c r="E199" s="675"/>
      <c r="F199" s="675"/>
      <c r="G199" s="676"/>
    </row>
    <row r="200" spans="1:7" ht="12.75" customHeight="1" x14ac:dyDescent="0.2">
      <c r="A200" s="677" t="s">
        <v>1654</v>
      </c>
      <c r="B200" s="1108" t="s">
        <v>1656</v>
      </c>
      <c r="C200" s="1109"/>
      <c r="D200" s="1110"/>
      <c r="E200" s="678"/>
      <c r="F200" s="678"/>
      <c r="G200" s="679"/>
    </row>
    <row r="201" spans="1:7" ht="12.75" customHeight="1" x14ac:dyDescent="0.2">
      <c r="A201" s="677" t="s">
        <v>1654</v>
      </c>
      <c r="B201" s="1108" t="s">
        <v>1657</v>
      </c>
      <c r="C201" s="1109"/>
      <c r="D201" s="1110"/>
      <c r="E201" s="678" t="s">
        <v>1658</v>
      </c>
      <c r="F201" s="678"/>
      <c r="G201" s="679"/>
    </row>
    <row r="202" spans="1:7" ht="15.75" customHeight="1" x14ac:dyDescent="0.2">
      <c r="A202" s="677" t="s">
        <v>1654</v>
      </c>
      <c r="B202" s="1114" t="s">
        <v>1661</v>
      </c>
      <c r="C202" s="1115"/>
      <c r="D202" s="1116"/>
      <c r="E202" s="680"/>
      <c r="F202" s="680" t="s">
        <v>1895</v>
      </c>
      <c r="G202" s="681"/>
    </row>
    <row r="203" spans="1:7" ht="12.75" customHeight="1" x14ac:dyDescent="0.2">
      <c r="A203" s="682" t="s">
        <v>1654</v>
      </c>
      <c r="B203" s="1117" t="s">
        <v>1662</v>
      </c>
      <c r="C203" s="1118"/>
      <c r="D203" s="1119"/>
      <c r="E203" s="684" t="s">
        <v>1995</v>
      </c>
      <c r="F203" s="684"/>
      <c r="G203" s="685"/>
    </row>
    <row r="204" spans="1:7" ht="165.75" customHeight="1" x14ac:dyDescent="0.2">
      <c r="A204" s="671" t="s">
        <v>1198</v>
      </c>
      <c r="B204" s="1093" t="s">
        <v>1969</v>
      </c>
      <c r="C204" s="1094"/>
      <c r="D204" s="1095"/>
      <c r="E204" s="672" t="s">
        <v>2002</v>
      </c>
      <c r="F204" s="672" t="s">
        <v>2003</v>
      </c>
      <c r="G204" s="673">
        <f>ROUND(2  * 3 * 1,0)</f>
        <v>6</v>
      </c>
    </row>
    <row r="205" spans="1:7" ht="15.75" customHeight="1" x14ac:dyDescent="0.2">
      <c r="A205" s="674" t="s">
        <v>1654</v>
      </c>
      <c r="B205" s="1111" t="s">
        <v>1655</v>
      </c>
      <c r="C205" s="1112"/>
      <c r="D205" s="1113"/>
      <c r="E205" s="675"/>
      <c r="F205" s="675"/>
      <c r="G205" s="676"/>
    </row>
    <row r="206" spans="1:7" ht="12.75" customHeight="1" x14ac:dyDescent="0.2">
      <c r="A206" s="677" t="s">
        <v>1654</v>
      </c>
      <c r="B206" s="1108" t="s">
        <v>1656</v>
      </c>
      <c r="C206" s="1109"/>
      <c r="D206" s="1110"/>
      <c r="E206" s="678"/>
      <c r="F206" s="678"/>
      <c r="G206" s="679"/>
    </row>
    <row r="207" spans="1:7" ht="12.75" customHeight="1" x14ac:dyDescent="0.2">
      <c r="A207" s="677" t="s">
        <v>1654</v>
      </c>
      <c r="B207" s="1108" t="s">
        <v>1657</v>
      </c>
      <c r="C207" s="1109"/>
      <c r="D207" s="1110"/>
      <c r="E207" s="678" t="s">
        <v>1658</v>
      </c>
      <c r="F207" s="678"/>
      <c r="G207" s="679"/>
    </row>
    <row r="208" spans="1:7" ht="15.75" customHeight="1" x14ac:dyDescent="0.2">
      <c r="A208" s="677" t="s">
        <v>1654</v>
      </c>
      <c r="B208" s="1114" t="s">
        <v>1661</v>
      </c>
      <c r="C208" s="1115"/>
      <c r="D208" s="1116"/>
      <c r="E208" s="680"/>
      <c r="F208" s="680" t="s">
        <v>1895</v>
      </c>
      <c r="G208" s="681"/>
    </row>
    <row r="209" spans="1:7" ht="12.75" customHeight="1" x14ac:dyDescent="0.2">
      <c r="A209" s="682" t="s">
        <v>1654</v>
      </c>
      <c r="B209" s="1117" t="s">
        <v>1662</v>
      </c>
      <c r="C209" s="1118"/>
      <c r="D209" s="1119"/>
      <c r="E209" s="684" t="s">
        <v>2004</v>
      </c>
      <c r="F209" s="684"/>
      <c r="G209" s="685"/>
    </row>
    <row r="210" spans="1:7" ht="165.75" customHeight="1" x14ac:dyDescent="0.2">
      <c r="A210" s="671" t="s">
        <v>1323</v>
      </c>
      <c r="B210" s="1093" t="s">
        <v>2005</v>
      </c>
      <c r="C210" s="1094"/>
      <c r="D210" s="1095"/>
      <c r="E210" s="672" t="s">
        <v>2006</v>
      </c>
      <c r="F210" s="672" t="s">
        <v>2007</v>
      </c>
      <c r="G210" s="673">
        <f>ROUND(8.9  * 6 * 1,0)</f>
        <v>53</v>
      </c>
    </row>
    <row r="211" spans="1:7" ht="15.75" customHeight="1" x14ac:dyDescent="0.2">
      <c r="A211" s="674" t="s">
        <v>1654</v>
      </c>
      <c r="B211" s="1111" t="s">
        <v>1655</v>
      </c>
      <c r="C211" s="1112"/>
      <c r="D211" s="1113"/>
      <c r="E211" s="675"/>
      <c r="F211" s="675"/>
      <c r="G211" s="676"/>
    </row>
    <row r="212" spans="1:7" ht="12.75" customHeight="1" x14ac:dyDescent="0.2">
      <c r="A212" s="677" t="s">
        <v>1654</v>
      </c>
      <c r="B212" s="1108" t="s">
        <v>1656</v>
      </c>
      <c r="C212" s="1109"/>
      <c r="D212" s="1110"/>
      <c r="E212" s="678"/>
      <c r="F212" s="678"/>
      <c r="G212" s="679"/>
    </row>
    <row r="213" spans="1:7" ht="12.75" customHeight="1" x14ac:dyDescent="0.2">
      <c r="A213" s="677" t="s">
        <v>1654</v>
      </c>
      <c r="B213" s="1108" t="s">
        <v>1657</v>
      </c>
      <c r="C213" s="1109"/>
      <c r="D213" s="1110"/>
      <c r="E213" s="678" t="s">
        <v>1658</v>
      </c>
      <c r="F213" s="678"/>
      <c r="G213" s="679"/>
    </row>
    <row r="214" spans="1:7" ht="15.75" customHeight="1" x14ac:dyDescent="0.2">
      <c r="A214" s="677" t="s">
        <v>1654</v>
      </c>
      <c r="B214" s="1114" t="s">
        <v>1661</v>
      </c>
      <c r="C214" s="1115"/>
      <c r="D214" s="1116"/>
      <c r="E214" s="680"/>
      <c r="F214" s="680" t="s">
        <v>1895</v>
      </c>
      <c r="G214" s="681"/>
    </row>
    <row r="215" spans="1:7" ht="12.75" customHeight="1" x14ac:dyDescent="0.2">
      <c r="A215" s="682" t="s">
        <v>1654</v>
      </c>
      <c r="B215" s="1117" t="s">
        <v>1662</v>
      </c>
      <c r="C215" s="1118"/>
      <c r="D215" s="1119"/>
      <c r="E215" s="684" t="s">
        <v>2008</v>
      </c>
      <c r="F215" s="684"/>
      <c r="G215" s="685"/>
    </row>
    <row r="216" spans="1:7" ht="165.75" customHeight="1" x14ac:dyDescent="0.2">
      <c r="A216" s="671" t="s">
        <v>1324</v>
      </c>
      <c r="B216" s="1093" t="s">
        <v>2009</v>
      </c>
      <c r="C216" s="1094"/>
      <c r="D216" s="1095"/>
      <c r="E216" s="672" t="s">
        <v>2010</v>
      </c>
      <c r="F216" s="672" t="s">
        <v>2011</v>
      </c>
      <c r="G216" s="673">
        <f>ROUND(13.8  * 3 * 1,0)</f>
        <v>41</v>
      </c>
    </row>
    <row r="217" spans="1:7" ht="15.75" customHeight="1" x14ac:dyDescent="0.2">
      <c r="A217" s="674" t="s">
        <v>1654</v>
      </c>
      <c r="B217" s="1111" t="s">
        <v>1655</v>
      </c>
      <c r="C217" s="1112"/>
      <c r="D217" s="1113"/>
      <c r="E217" s="675"/>
      <c r="F217" s="675"/>
      <c r="G217" s="676"/>
    </row>
    <row r="218" spans="1:7" ht="12.75" customHeight="1" x14ac:dyDescent="0.2">
      <c r="A218" s="677" t="s">
        <v>1654</v>
      </c>
      <c r="B218" s="1108" t="s">
        <v>1656</v>
      </c>
      <c r="C218" s="1109"/>
      <c r="D218" s="1110"/>
      <c r="E218" s="678"/>
      <c r="F218" s="678"/>
      <c r="G218" s="679"/>
    </row>
    <row r="219" spans="1:7" ht="12.75" customHeight="1" x14ac:dyDescent="0.2">
      <c r="A219" s="677" t="s">
        <v>1654</v>
      </c>
      <c r="B219" s="1108" t="s">
        <v>1657</v>
      </c>
      <c r="C219" s="1109"/>
      <c r="D219" s="1110"/>
      <c r="E219" s="678" t="s">
        <v>1658</v>
      </c>
      <c r="F219" s="678"/>
      <c r="G219" s="679"/>
    </row>
    <row r="220" spans="1:7" ht="15.75" customHeight="1" x14ac:dyDescent="0.2">
      <c r="A220" s="677" t="s">
        <v>1654</v>
      </c>
      <c r="B220" s="1114" t="s">
        <v>1661</v>
      </c>
      <c r="C220" s="1115"/>
      <c r="D220" s="1116"/>
      <c r="E220" s="680"/>
      <c r="F220" s="680" t="s">
        <v>1895</v>
      </c>
      <c r="G220" s="681"/>
    </row>
    <row r="221" spans="1:7" ht="12.75" customHeight="1" x14ac:dyDescent="0.2">
      <c r="A221" s="682" t="s">
        <v>1654</v>
      </c>
      <c r="B221" s="1117" t="s">
        <v>1662</v>
      </c>
      <c r="C221" s="1118"/>
      <c r="D221" s="1119"/>
      <c r="E221" s="684" t="s">
        <v>2012</v>
      </c>
      <c r="F221" s="684"/>
      <c r="G221" s="685"/>
    </row>
    <row r="222" spans="1:7" ht="12.75" customHeight="1" x14ac:dyDescent="0.2">
      <c r="A222" s="1180" t="s">
        <v>2013</v>
      </c>
      <c r="B222" s="1181"/>
      <c r="C222" s="1181"/>
      <c r="D222" s="1181"/>
      <c r="E222" s="1181"/>
      <c r="F222" s="1181"/>
      <c r="G222" s="1182"/>
    </row>
    <row r="223" spans="1:7" ht="12.75" customHeight="1" x14ac:dyDescent="0.2">
      <c r="A223" s="1186" t="s">
        <v>1965</v>
      </c>
      <c r="B223" s="1187"/>
      <c r="C223" s="1187"/>
      <c r="D223" s="1187"/>
      <c r="E223" s="1187"/>
      <c r="F223" s="1187"/>
      <c r="G223" s="1188"/>
    </row>
    <row r="224" spans="1:7" ht="165.75" customHeight="1" x14ac:dyDescent="0.2">
      <c r="A224" s="1183" t="s">
        <v>770</v>
      </c>
      <c r="B224" s="1093" t="s">
        <v>2014</v>
      </c>
      <c r="C224" s="1094"/>
      <c r="D224" s="1095"/>
      <c r="E224" s="1184" t="s">
        <v>2015</v>
      </c>
      <c r="F224" s="1184" t="s">
        <v>2016</v>
      </c>
      <c r="G224" s="1185">
        <f>ROUND(96.2  * 6 * 1,0)</f>
        <v>577</v>
      </c>
    </row>
    <row r="225" spans="1:7" ht="12.75" customHeight="1" x14ac:dyDescent="0.2">
      <c r="A225" s="1174"/>
      <c r="B225" s="1175"/>
      <c r="C225" s="1176"/>
      <c r="D225" s="1177"/>
      <c r="E225" s="1178"/>
      <c r="F225" s="1178"/>
      <c r="G225" s="1179"/>
    </row>
    <row r="226" spans="1:7" ht="15.75" customHeight="1" x14ac:dyDescent="0.2">
      <c r="A226" s="674" t="s">
        <v>1654</v>
      </c>
      <c r="B226" s="1111" t="s">
        <v>1655</v>
      </c>
      <c r="C226" s="1112"/>
      <c r="D226" s="1113"/>
      <c r="E226" s="675"/>
      <c r="F226" s="675"/>
      <c r="G226" s="676"/>
    </row>
    <row r="227" spans="1:7" ht="12.75" customHeight="1" x14ac:dyDescent="0.2">
      <c r="A227" s="677" t="s">
        <v>1654</v>
      </c>
      <c r="B227" s="1108" t="s">
        <v>1656</v>
      </c>
      <c r="C227" s="1109"/>
      <c r="D227" s="1110"/>
      <c r="E227" s="678"/>
      <c r="F227" s="678"/>
      <c r="G227" s="679"/>
    </row>
    <row r="228" spans="1:7" ht="12.75" customHeight="1" x14ac:dyDescent="0.2">
      <c r="A228" s="677" t="s">
        <v>1654</v>
      </c>
      <c r="B228" s="1108" t="s">
        <v>1657</v>
      </c>
      <c r="C228" s="1109"/>
      <c r="D228" s="1110"/>
      <c r="E228" s="678" t="s">
        <v>1658</v>
      </c>
      <c r="F228" s="678"/>
      <c r="G228" s="679"/>
    </row>
    <row r="229" spans="1:7" ht="15.75" customHeight="1" x14ac:dyDescent="0.2">
      <c r="A229" s="677" t="s">
        <v>1654</v>
      </c>
      <c r="B229" s="1114" t="s">
        <v>1661</v>
      </c>
      <c r="C229" s="1115"/>
      <c r="D229" s="1116"/>
      <c r="E229" s="680"/>
      <c r="F229" s="680" t="s">
        <v>1895</v>
      </c>
      <c r="G229" s="681"/>
    </row>
    <row r="230" spans="1:7" ht="12.75" customHeight="1" x14ac:dyDescent="0.2">
      <c r="A230" s="682" t="s">
        <v>1654</v>
      </c>
      <c r="B230" s="1117" t="s">
        <v>1662</v>
      </c>
      <c r="C230" s="1118"/>
      <c r="D230" s="1119"/>
      <c r="E230" s="684" t="s">
        <v>2017</v>
      </c>
      <c r="F230" s="684"/>
      <c r="G230" s="685"/>
    </row>
    <row r="231" spans="1:7" ht="165.75" customHeight="1" x14ac:dyDescent="0.2">
      <c r="A231" s="671" t="s">
        <v>773</v>
      </c>
      <c r="B231" s="1093" t="s">
        <v>2018</v>
      </c>
      <c r="C231" s="1094"/>
      <c r="D231" s="1095"/>
      <c r="E231" s="672" t="s">
        <v>2019</v>
      </c>
      <c r="F231" s="672" t="s">
        <v>2020</v>
      </c>
      <c r="G231" s="673">
        <f>ROUND(12.2  * 6 * 1,0)</f>
        <v>73</v>
      </c>
    </row>
    <row r="232" spans="1:7" ht="15.75" customHeight="1" x14ac:dyDescent="0.2">
      <c r="A232" s="674" t="s">
        <v>1654</v>
      </c>
      <c r="B232" s="1111" t="s">
        <v>1655</v>
      </c>
      <c r="C232" s="1112"/>
      <c r="D232" s="1113"/>
      <c r="E232" s="675"/>
      <c r="F232" s="675"/>
      <c r="G232" s="676"/>
    </row>
    <row r="233" spans="1:7" ht="12.75" customHeight="1" x14ac:dyDescent="0.2">
      <c r="A233" s="677" t="s">
        <v>1654</v>
      </c>
      <c r="B233" s="1108" t="s">
        <v>1656</v>
      </c>
      <c r="C233" s="1109"/>
      <c r="D233" s="1110"/>
      <c r="E233" s="678"/>
      <c r="F233" s="678"/>
      <c r="G233" s="679"/>
    </row>
    <row r="234" spans="1:7" ht="12.75" customHeight="1" x14ac:dyDescent="0.2">
      <c r="A234" s="677" t="s">
        <v>1654</v>
      </c>
      <c r="B234" s="1108" t="s">
        <v>1657</v>
      </c>
      <c r="C234" s="1109"/>
      <c r="D234" s="1110"/>
      <c r="E234" s="678" t="s">
        <v>1658</v>
      </c>
      <c r="F234" s="678"/>
      <c r="G234" s="679"/>
    </row>
    <row r="235" spans="1:7" ht="15.75" customHeight="1" x14ac:dyDescent="0.2">
      <c r="A235" s="677" t="s">
        <v>1654</v>
      </c>
      <c r="B235" s="1114" t="s">
        <v>1661</v>
      </c>
      <c r="C235" s="1115"/>
      <c r="D235" s="1116"/>
      <c r="E235" s="680"/>
      <c r="F235" s="680" t="s">
        <v>1895</v>
      </c>
      <c r="G235" s="681"/>
    </row>
    <row r="236" spans="1:7" ht="12.75" customHeight="1" x14ac:dyDescent="0.2">
      <c r="A236" s="682" t="s">
        <v>1654</v>
      </c>
      <c r="B236" s="1117" t="s">
        <v>1662</v>
      </c>
      <c r="C236" s="1118"/>
      <c r="D236" s="1119"/>
      <c r="E236" s="684" t="s">
        <v>2021</v>
      </c>
      <c r="F236" s="684"/>
      <c r="G236" s="685"/>
    </row>
    <row r="237" spans="1:7" ht="165.75" customHeight="1" x14ac:dyDescent="0.2">
      <c r="A237" s="671" t="s">
        <v>1325</v>
      </c>
      <c r="B237" s="1093" t="s">
        <v>2022</v>
      </c>
      <c r="C237" s="1094"/>
      <c r="D237" s="1095"/>
      <c r="E237" s="672" t="s">
        <v>2023</v>
      </c>
      <c r="F237" s="672" t="s">
        <v>2024</v>
      </c>
      <c r="G237" s="673">
        <f>ROUND(23.5  * 6 * 1,0)</f>
        <v>141</v>
      </c>
    </row>
    <row r="238" spans="1:7" ht="15.75" customHeight="1" x14ac:dyDescent="0.2">
      <c r="A238" s="674" t="s">
        <v>1654</v>
      </c>
      <c r="B238" s="1111" t="s">
        <v>1655</v>
      </c>
      <c r="C238" s="1112"/>
      <c r="D238" s="1113"/>
      <c r="E238" s="675"/>
      <c r="F238" s="675"/>
      <c r="G238" s="676"/>
    </row>
    <row r="239" spans="1:7" ht="12.75" customHeight="1" x14ac:dyDescent="0.2">
      <c r="A239" s="677" t="s">
        <v>1654</v>
      </c>
      <c r="B239" s="1108" t="s">
        <v>1656</v>
      </c>
      <c r="C239" s="1109"/>
      <c r="D239" s="1110"/>
      <c r="E239" s="678"/>
      <c r="F239" s="678"/>
      <c r="G239" s="679"/>
    </row>
    <row r="240" spans="1:7" ht="12.75" customHeight="1" x14ac:dyDescent="0.2">
      <c r="A240" s="677" t="s">
        <v>1654</v>
      </c>
      <c r="B240" s="1108" t="s">
        <v>1657</v>
      </c>
      <c r="C240" s="1109"/>
      <c r="D240" s="1110"/>
      <c r="E240" s="678" t="s">
        <v>1658</v>
      </c>
      <c r="F240" s="678"/>
      <c r="G240" s="679"/>
    </row>
    <row r="241" spans="1:7" ht="15.75" customHeight="1" x14ac:dyDescent="0.2">
      <c r="A241" s="677" t="s">
        <v>1654</v>
      </c>
      <c r="B241" s="1114" t="s">
        <v>1661</v>
      </c>
      <c r="C241" s="1115"/>
      <c r="D241" s="1116"/>
      <c r="E241" s="680"/>
      <c r="F241" s="680" t="s">
        <v>1895</v>
      </c>
      <c r="G241" s="681"/>
    </row>
    <row r="242" spans="1:7" ht="12.75" customHeight="1" x14ac:dyDescent="0.2">
      <c r="A242" s="682" t="s">
        <v>1654</v>
      </c>
      <c r="B242" s="1117" t="s">
        <v>1662</v>
      </c>
      <c r="C242" s="1118"/>
      <c r="D242" s="1119"/>
      <c r="E242" s="684" t="s">
        <v>2025</v>
      </c>
      <c r="F242" s="684"/>
      <c r="G242" s="685"/>
    </row>
    <row r="243" spans="1:7" ht="165.75" customHeight="1" x14ac:dyDescent="0.2">
      <c r="A243" s="671" t="s">
        <v>1326</v>
      </c>
      <c r="B243" s="1093" t="s">
        <v>2026</v>
      </c>
      <c r="C243" s="1094"/>
      <c r="D243" s="1095"/>
      <c r="E243" s="672" t="s">
        <v>2027</v>
      </c>
      <c r="F243" s="672" t="s">
        <v>2028</v>
      </c>
      <c r="G243" s="673">
        <f>ROUND(21.5  * 6 * 1,0)</f>
        <v>129</v>
      </c>
    </row>
    <row r="244" spans="1:7" ht="15.75" customHeight="1" x14ac:dyDescent="0.2">
      <c r="A244" s="674" t="s">
        <v>1654</v>
      </c>
      <c r="B244" s="1111" t="s">
        <v>1655</v>
      </c>
      <c r="C244" s="1112"/>
      <c r="D244" s="1113"/>
      <c r="E244" s="675"/>
      <c r="F244" s="675"/>
      <c r="G244" s="676"/>
    </row>
    <row r="245" spans="1:7" ht="12.75" customHeight="1" x14ac:dyDescent="0.2">
      <c r="A245" s="677" t="s">
        <v>1654</v>
      </c>
      <c r="B245" s="1108" t="s">
        <v>1656</v>
      </c>
      <c r="C245" s="1109"/>
      <c r="D245" s="1110"/>
      <c r="E245" s="678"/>
      <c r="F245" s="678"/>
      <c r="G245" s="679"/>
    </row>
    <row r="246" spans="1:7" ht="12.75" customHeight="1" x14ac:dyDescent="0.2">
      <c r="A246" s="677" t="s">
        <v>1654</v>
      </c>
      <c r="B246" s="1108" t="s">
        <v>1657</v>
      </c>
      <c r="C246" s="1109"/>
      <c r="D246" s="1110"/>
      <c r="E246" s="678" t="s">
        <v>1658</v>
      </c>
      <c r="F246" s="678"/>
      <c r="G246" s="679"/>
    </row>
    <row r="247" spans="1:7" ht="15.75" customHeight="1" x14ac:dyDescent="0.2">
      <c r="A247" s="677" t="s">
        <v>1654</v>
      </c>
      <c r="B247" s="1114" t="s">
        <v>1661</v>
      </c>
      <c r="C247" s="1115"/>
      <c r="D247" s="1116"/>
      <c r="E247" s="680"/>
      <c r="F247" s="680" t="s">
        <v>1895</v>
      </c>
      <c r="G247" s="681"/>
    </row>
    <row r="248" spans="1:7" ht="12.75" customHeight="1" x14ac:dyDescent="0.2">
      <c r="A248" s="682" t="s">
        <v>1654</v>
      </c>
      <c r="B248" s="1117" t="s">
        <v>1662</v>
      </c>
      <c r="C248" s="1118"/>
      <c r="D248" s="1119"/>
      <c r="E248" s="684" t="s">
        <v>2029</v>
      </c>
      <c r="F248" s="684"/>
      <c r="G248" s="685"/>
    </row>
    <row r="249" spans="1:7" ht="165.75" customHeight="1" x14ac:dyDescent="0.2">
      <c r="A249" s="671" t="s">
        <v>1327</v>
      </c>
      <c r="B249" s="1093" t="s">
        <v>2030</v>
      </c>
      <c r="C249" s="1094"/>
      <c r="D249" s="1095"/>
      <c r="E249" s="672" t="s">
        <v>2031</v>
      </c>
      <c r="F249" s="672" t="s">
        <v>2032</v>
      </c>
      <c r="G249" s="673">
        <f>ROUND(8.1  * 6 * 1,0)</f>
        <v>49</v>
      </c>
    </row>
    <row r="250" spans="1:7" ht="15.75" customHeight="1" x14ac:dyDescent="0.2">
      <c r="A250" s="674" t="s">
        <v>1654</v>
      </c>
      <c r="B250" s="1111" t="s">
        <v>1655</v>
      </c>
      <c r="C250" s="1112"/>
      <c r="D250" s="1113"/>
      <c r="E250" s="675"/>
      <c r="F250" s="675"/>
      <c r="G250" s="676"/>
    </row>
    <row r="251" spans="1:7" ht="12.75" customHeight="1" x14ac:dyDescent="0.2">
      <c r="A251" s="677" t="s">
        <v>1654</v>
      </c>
      <c r="B251" s="1108" t="s">
        <v>1656</v>
      </c>
      <c r="C251" s="1109"/>
      <c r="D251" s="1110"/>
      <c r="E251" s="678"/>
      <c r="F251" s="678"/>
      <c r="G251" s="679"/>
    </row>
    <row r="252" spans="1:7" ht="12.75" customHeight="1" x14ac:dyDescent="0.2">
      <c r="A252" s="677" t="s">
        <v>1654</v>
      </c>
      <c r="B252" s="1108" t="s">
        <v>1657</v>
      </c>
      <c r="C252" s="1109"/>
      <c r="D252" s="1110"/>
      <c r="E252" s="678" t="s">
        <v>1658</v>
      </c>
      <c r="F252" s="678"/>
      <c r="G252" s="679"/>
    </row>
    <row r="253" spans="1:7" ht="15.75" customHeight="1" x14ac:dyDescent="0.2">
      <c r="A253" s="677" t="s">
        <v>1654</v>
      </c>
      <c r="B253" s="1114" t="s">
        <v>1661</v>
      </c>
      <c r="C253" s="1115"/>
      <c r="D253" s="1116"/>
      <c r="E253" s="680"/>
      <c r="F253" s="680" t="s">
        <v>1895</v>
      </c>
      <c r="G253" s="681"/>
    </row>
    <row r="254" spans="1:7" ht="12.75" customHeight="1" x14ac:dyDescent="0.2">
      <c r="A254" s="682" t="s">
        <v>1654</v>
      </c>
      <c r="B254" s="1117" t="s">
        <v>1662</v>
      </c>
      <c r="C254" s="1118"/>
      <c r="D254" s="1119"/>
      <c r="E254" s="684" t="s">
        <v>2033</v>
      </c>
      <c r="F254" s="684"/>
      <c r="G254" s="685"/>
    </row>
    <row r="255" spans="1:7" ht="165.75" customHeight="1" x14ac:dyDescent="0.2">
      <c r="A255" s="671" t="s">
        <v>1328</v>
      </c>
      <c r="B255" s="1093" t="s">
        <v>2034</v>
      </c>
      <c r="C255" s="1094"/>
      <c r="D255" s="1095"/>
      <c r="E255" s="672" t="s">
        <v>2035</v>
      </c>
      <c r="F255" s="672" t="s">
        <v>2036</v>
      </c>
      <c r="G255" s="673">
        <f>ROUND(6.1  * 6 * 1,0)</f>
        <v>37</v>
      </c>
    </row>
    <row r="256" spans="1:7" ht="15.75" customHeight="1" x14ac:dyDescent="0.2">
      <c r="A256" s="674" t="s">
        <v>1654</v>
      </c>
      <c r="B256" s="1111" t="s">
        <v>1655</v>
      </c>
      <c r="C256" s="1112"/>
      <c r="D256" s="1113"/>
      <c r="E256" s="675"/>
      <c r="F256" s="675"/>
      <c r="G256" s="676"/>
    </row>
    <row r="257" spans="1:7" ht="12.75" customHeight="1" x14ac:dyDescent="0.2">
      <c r="A257" s="677" t="s">
        <v>1654</v>
      </c>
      <c r="B257" s="1108" t="s">
        <v>1656</v>
      </c>
      <c r="C257" s="1109"/>
      <c r="D257" s="1110"/>
      <c r="E257" s="678"/>
      <c r="F257" s="678"/>
      <c r="G257" s="679"/>
    </row>
    <row r="258" spans="1:7" ht="12.75" customHeight="1" x14ac:dyDescent="0.2">
      <c r="A258" s="677" t="s">
        <v>1654</v>
      </c>
      <c r="B258" s="1108" t="s">
        <v>1657</v>
      </c>
      <c r="C258" s="1109"/>
      <c r="D258" s="1110"/>
      <c r="E258" s="678" t="s">
        <v>1658</v>
      </c>
      <c r="F258" s="678"/>
      <c r="G258" s="679"/>
    </row>
    <row r="259" spans="1:7" ht="15.75" customHeight="1" x14ac:dyDescent="0.2">
      <c r="A259" s="677" t="s">
        <v>1654</v>
      </c>
      <c r="B259" s="1114" t="s">
        <v>1661</v>
      </c>
      <c r="C259" s="1115"/>
      <c r="D259" s="1116"/>
      <c r="E259" s="680"/>
      <c r="F259" s="680" t="s">
        <v>1895</v>
      </c>
      <c r="G259" s="681"/>
    </row>
    <row r="260" spans="1:7" ht="12.75" customHeight="1" x14ac:dyDescent="0.2">
      <c r="A260" s="682" t="s">
        <v>1654</v>
      </c>
      <c r="B260" s="1117" t="s">
        <v>1662</v>
      </c>
      <c r="C260" s="1118"/>
      <c r="D260" s="1119"/>
      <c r="E260" s="684" t="s">
        <v>2037</v>
      </c>
      <c r="F260" s="684"/>
      <c r="G260" s="685"/>
    </row>
    <row r="261" spans="1:7" ht="165.75" customHeight="1" x14ac:dyDescent="0.2">
      <c r="A261" s="671" t="s">
        <v>1329</v>
      </c>
      <c r="B261" s="1093" t="s">
        <v>2038</v>
      </c>
      <c r="C261" s="1094"/>
      <c r="D261" s="1095"/>
      <c r="E261" s="672" t="s">
        <v>2039</v>
      </c>
      <c r="F261" s="672" t="s">
        <v>2040</v>
      </c>
      <c r="G261" s="673">
        <f>ROUND(9.6  * 6 * 1,0)</f>
        <v>58</v>
      </c>
    </row>
    <row r="262" spans="1:7" ht="15.75" customHeight="1" x14ac:dyDescent="0.2">
      <c r="A262" s="674" t="s">
        <v>1654</v>
      </c>
      <c r="B262" s="1111" t="s">
        <v>1655</v>
      </c>
      <c r="C262" s="1112"/>
      <c r="D262" s="1113"/>
      <c r="E262" s="675"/>
      <c r="F262" s="675"/>
      <c r="G262" s="676"/>
    </row>
    <row r="263" spans="1:7" ht="12.75" customHeight="1" x14ac:dyDescent="0.2">
      <c r="A263" s="677" t="s">
        <v>1654</v>
      </c>
      <c r="B263" s="1108" t="s">
        <v>1656</v>
      </c>
      <c r="C263" s="1109"/>
      <c r="D263" s="1110"/>
      <c r="E263" s="678"/>
      <c r="F263" s="678"/>
      <c r="G263" s="679"/>
    </row>
    <row r="264" spans="1:7" ht="12.75" customHeight="1" x14ac:dyDescent="0.2">
      <c r="A264" s="677" t="s">
        <v>1654</v>
      </c>
      <c r="B264" s="1108" t="s">
        <v>1657</v>
      </c>
      <c r="C264" s="1109"/>
      <c r="D264" s="1110"/>
      <c r="E264" s="678" t="s">
        <v>1658</v>
      </c>
      <c r="F264" s="678"/>
      <c r="G264" s="679"/>
    </row>
    <row r="265" spans="1:7" ht="15.75" customHeight="1" x14ac:dyDescent="0.2">
      <c r="A265" s="677" t="s">
        <v>1654</v>
      </c>
      <c r="B265" s="1114" t="s">
        <v>1661</v>
      </c>
      <c r="C265" s="1115"/>
      <c r="D265" s="1116"/>
      <c r="E265" s="680"/>
      <c r="F265" s="680" t="s">
        <v>1895</v>
      </c>
      <c r="G265" s="681"/>
    </row>
    <row r="266" spans="1:7" ht="12.75" customHeight="1" x14ac:dyDescent="0.2">
      <c r="A266" s="682" t="s">
        <v>1654</v>
      </c>
      <c r="B266" s="1117" t="s">
        <v>1662</v>
      </c>
      <c r="C266" s="1118"/>
      <c r="D266" s="1119"/>
      <c r="E266" s="684" t="s">
        <v>2041</v>
      </c>
      <c r="F266" s="684"/>
      <c r="G266" s="685"/>
    </row>
    <row r="267" spans="1:7" ht="165.75" customHeight="1" x14ac:dyDescent="0.2">
      <c r="A267" s="671" t="s">
        <v>1330</v>
      </c>
      <c r="B267" s="1093" t="s">
        <v>2042</v>
      </c>
      <c r="C267" s="1094"/>
      <c r="D267" s="1095"/>
      <c r="E267" s="672" t="s">
        <v>2043</v>
      </c>
      <c r="F267" s="672" t="s">
        <v>2044</v>
      </c>
      <c r="G267" s="673">
        <f>ROUND(8.7  * 6 * 1,0)</f>
        <v>52</v>
      </c>
    </row>
    <row r="268" spans="1:7" ht="15.75" customHeight="1" x14ac:dyDescent="0.2">
      <c r="A268" s="674" t="s">
        <v>1654</v>
      </c>
      <c r="B268" s="1111" t="s">
        <v>1655</v>
      </c>
      <c r="C268" s="1112"/>
      <c r="D268" s="1113"/>
      <c r="E268" s="675"/>
      <c r="F268" s="675"/>
      <c r="G268" s="676"/>
    </row>
    <row r="269" spans="1:7" ht="12.75" customHeight="1" x14ac:dyDescent="0.2">
      <c r="A269" s="677" t="s">
        <v>1654</v>
      </c>
      <c r="B269" s="1108" t="s">
        <v>1656</v>
      </c>
      <c r="C269" s="1109"/>
      <c r="D269" s="1110"/>
      <c r="E269" s="678"/>
      <c r="F269" s="678"/>
      <c r="G269" s="679"/>
    </row>
    <row r="270" spans="1:7" ht="12.75" customHeight="1" x14ac:dyDescent="0.2">
      <c r="A270" s="677" t="s">
        <v>1654</v>
      </c>
      <c r="B270" s="1108" t="s">
        <v>1657</v>
      </c>
      <c r="C270" s="1109"/>
      <c r="D270" s="1110"/>
      <c r="E270" s="678" t="s">
        <v>1658</v>
      </c>
      <c r="F270" s="678"/>
      <c r="G270" s="679"/>
    </row>
    <row r="271" spans="1:7" ht="15.75" customHeight="1" x14ac:dyDescent="0.2">
      <c r="A271" s="677" t="s">
        <v>1654</v>
      </c>
      <c r="B271" s="1114" t="s">
        <v>1661</v>
      </c>
      <c r="C271" s="1115"/>
      <c r="D271" s="1116"/>
      <c r="E271" s="680"/>
      <c r="F271" s="680" t="s">
        <v>1895</v>
      </c>
      <c r="G271" s="681"/>
    </row>
    <row r="272" spans="1:7" ht="12.75" customHeight="1" x14ac:dyDescent="0.2">
      <c r="A272" s="682" t="s">
        <v>1654</v>
      </c>
      <c r="B272" s="1117" t="s">
        <v>1662</v>
      </c>
      <c r="C272" s="1118"/>
      <c r="D272" s="1119"/>
      <c r="E272" s="684" t="s">
        <v>1948</v>
      </c>
      <c r="F272" s="684"/>
      <c r="G272" s="685"/>
    </row>
    <row r="273" spans="1:7" ht="165.75" customHeight="1" x14ac:dyDescent="0.2">
      <c r="A273" s="671" t="s">
        <v>1331</v>
      </c>
      <c r="B273" s="1093" t="s">
        <v>2045</v>
      </c>
      <c r="C273" s="1094"/>
      <c r="D273" s="1095"/>
      <c r="E273" s="672" t="s">
        <v>2046</v>
      </c>
      <c r="F273" s="672" t="s">
        <v>2047</v>
      </c>
      <c r="G273" s="673">
        <f>ROUND(14  * 6 * 1,0)</f>
        <v>84</v>
      </c>
    </row>
    <row r="274" spans="1:7" ht="15.75" customHeight="1" x14ac:dyDescent="0.2">
      <c r="A274" s="674" t="s">
        <v>1654</v>
      </c>
      <c r="B274" s="1111" t="s">
        <v>1655</v>
      </c>
      <c r="C274" s="1112"/>
      <c r="D274" s="1113"/>
      <c r="E274" s="675"/>
      <c r="F274" s="675"/>
      <c r="G274" s="676"/>
    </row>
    <row r="275" spans="1:7" ht="12.75" customHeight="1" x14ac:dyDescent="0.2">
      <c r="A275" s="677" t="s">
        <v>1654</v>
      </c>
      <c r="B275" s="1108" t="s">
        <v>1656</v>
      </c>
      <c r="C275" s="1109"/>
      <c r="D275" s="1110"/>
      <c r="E275" s="678"/>
      <c r="F275" s="678"/>
      <c r="G275" s="679"/>
    </row>
    <row r="276" spans="1:7" ht="12.75" customHeight="1" x14ac:dyDescent="0.2">
      <c r="A276" s="677" t="s">
        <v>1654</v>
      </c>
      <c r="B276" s="1108" t="s">
        <v>1657</v>
      </c>
      <c r="C276" s="1109"/>
      <c r="D276" s="1110"/>
      <c r="E276" s="678" t="s">
        <v>1658</v>
      </c>
      <c r="F276" s="678"/>
      <c r="G276" s="679"/>
    </row>
    <row r="277" spans="1:7" ht="15.75" customHeight="1" x14ac:dyDescent="0.2">
      <c r="A277" s="677" t="s">
        <v>1654</v>
      </c>
      <c r="B277" s="1114" t="s">
        <v>1661</v>
      </c>
      <c r="C277" s="1115"/>
      <c r="D277" s="1116"/>
      <c r="E277" s="680"/>
      <c r="F277" s="680" t="s">
        <v>1895</v>
      </c>
      <c r="G277" s="681"/>
    </row>
    <row r="278" spans="1:7" ht="12.75" customHeight="1" x14ac:dyDescent="0.2">
      <c r="A278" s="682" t="s">
        <v>1654</v>
      </c>
      <c r="B278" s="1117" t="s">
        <v>1662</v>
      </c>
      <c r="C278" s="1118"/>
      <c r="D278" s="1119"/>
      <c r="E278" s="684" t="s">
        <v>2048</v>
      </c>
      <c r="F278" s="684"/>
      <c r="G278" s="685"/>
    </row>
    <row r="279" spans="1:7" ht="165.75" customHeight="1" x14ac:dyDescent="0.2">
      <c r="A279" s="671" t="s">
        <v>1332</v>
      </c>
      <c r="B279" s="1093" t="s">
        <v>2049</v>
      </c>
      <c r="C279" s="1094"/>
      <c r="D279" s="1095"/>
      <c r="E279" s="672" t="s">
        <v>2050</v>
      </c>
      <c r="F279" s="672" t="s">
        <v>2051</v>
      </c>
      <c r="G279" s="673">
        <f>ROUND(11.3  * 6 * 1,0)</f>
        <v>68</v>
      </c>
    </row>
    <row r="280" spans="1:7" ht="15.75" customHeight="1" x14ac:dyDescent="0.2">
      <c r="A280" s="674" t="s">
        <v>1654</v>
      </c>
      <c r="B280" s="1111" t="s">
        <v>1655</v>
      </c>
      <c r="C280" s="1112"/>
      <c r="D280" s="1113"/>
      <c r="E280" s="675"/>
      <c r="F280" s="675"/>
      <c r="G280" s="676"/>
    </row>
    <row r="281" spans="1:7" ht="12.75" customHeight="1" x14ac:dyDescent="0.2">
      <c r="A281" s="677" t="s">
        <v>1654</v>
      </c>
      <c r="B281" s="1108" t="s">
        <v>1656</v>
      </c>
      <c r="C281" s="1109"/>
      <c r="D281" s="1110"/>
      <c r="E281" s="678"/>
      <c r="F281" s="678"/>
      <c r="G281" s="679"/>
    </row>
    <row r="282" spans="1:7" ht="12.75" customHeight="1" x14ac:dyDescent="0.2">
      <c r="A282" s="677" t="s">
        <v>1654</v>
      </c>
      <c r="B282" s="1108" t="s">
        <v>1657</v>
      </c>
      <c r="C282" s="1109"/>
      <c r="D282" s="1110"/>
      <c r="E282" s="678" t="s">
        <v>1658</v>
      </c>
      <c r="F282" s="678"/>
      <c r="G282" s="679"/>
    </row>
    <row r="283" spans="1:7" ht="15.75" customHeight="1" x14ac:dyDescent="0.2">
      <c r="A283" s="677" t="s">
        <v>1654</v>
      </c>
      <c r="B283" s="1114" t="s">
        <v>1661</v>
      </c>
      <c r="C283" s="1115"/>
      <c r="D283" s="1116"/>
      <c r="E283" s="680"/>
      <c r="F283" s="680" t="s">
        <v>1895</v>
      </c>
      <c r="G283" s="681"/>
    </row>
    <row r="284" spans="1:7" ht="12.75" customHeight="1" x14ac:dyDescent="0.2">
      <c r="A284" s="682" t="s">
        <v>1654</v>
      </c>
      <c r="B284" s="1117" t="s">
        <v>1662</v>
      </c>
      <c r="C284" s="1118"/>
      <c r="D284" s="1119"/>
      <c r="E284" s="684" t="s">
        <v>2052</v>
      </c>
      <c r="F284" s="684"/>
      <c r="G284" s="685"/>
    </row>
    <row r="285" spans="1:7" ht="165.75" customHeight="1" x14ac:dyDescent="0.2">
      <c r="A285" s="671" t="s">
        <v>1333</v>
      </c>
      <c r="B285" s="1093" t="s">
        <v>2053</v>
      </c>
      <c r="C285" s="1094"/>
      <c r="D285" s="1095"/>
      <c r="E285" s="672" t="s">
        <v>2054</v>
      </c>
      <c r="F285" s="672" t="s">
        <v>2055</v>
      </c>
      <c r="G285" s="673">
        <f>ROUND(5.6  * 6 * 1,0)</f>
        <v>34</v>
      </c>
    </row>
    <row r="286" spans="1:7" ht="15.75" customHeight="1" x14ac:dyDescent="0.2">
      <c r="A286" s="674" t="s">
        <v>1654</v>
      </c>
      <c r="B286" s="1111" t="s">
        <v>1655</v>
      </c>
      <c r="C286" s="1112"/>
      <c r="D286" s="1113"/>
      <c r="E286" s="675"/>
      <c r="F286" s="675"/>
      <c r="G286" s="676"/>
    </row>
    <row r="287" spans="1:7" ht="12.75" customHeight="1" x14ac:dyDescent="0.2">
      <c r="A287" s="677" t="s">
        <v>1654</v>
      </c>
      <c r="B287" s="1108" t="s">
        <v>1656</v>
      </c>
      <c r="C287" s="1109"/>
      <c r="D287" s="1110"/>
      <c r="E287" s="678"/>
      <c r="F287" s="678"/>
      <c r="G287" s="679"/>
    </row>
    <row r="288" spans="1:7" ht="12.75" customHeight="1" x14ac:dyDescent="0.2">
      <c r="A288" s="677" t="s">
        <v>1654</v>
      </c>
      <c r="B288" s="1108" t="s">
        <v>1657</v>
      </c>
      <c r="C288" s="1109"/>
      <c r="D288" s="1110"/>
      <c r="E288" s="678" t="s">
        <v>1658</v>
      </c>
      <c r="F288" s="678"/>
      <c r="G288" s="679"/>
    </row>
    <row r="289" spans="1:7" ht="15.75" customHeight="1" x14ac:dyDescent="0.2">
      <c r="A289" s="677" t="s">
        <v>1654</v>
      </c>
      <c r="B289" s="1114" t="s">
        <v>1661</v>
      </c>
      <c r="C289" s="1115"/>
      <c r="D289" s="1116"/>
      <c r="E289" s="680"/>
      <c r="F289" s="680" t="s">
        <v>1895</v>
      </c>
      <c r="G289" s="681"/>
    </row>
    <row r="290" spans="1:7" ht="12.75" customHeight="1" x14ac:dyDescent="0.2">
      <c r="A290" s="682" t="s">
        <v>1654</v>
      </c>
      <c r="B290" s="1117" t="s">
        <v>1662</v>
      </c>
      <c r="C290" s="1118"/>
      <c r="D290" s="1119"/>
      <c r="E290" s="684" t="s">
        <v>2056</v>
      </c>
      <c r="F290" s="684"/>
      <c r="G290" s="685"/>
    </row>
    <row r="291" spans="1:7" ht="165.75" customHeight="1" x14ac:dyDescent="0.2">
      <c r="A291" s="671" t="s">
        <v>1334</v>
      </c>
      <c r="B291" s="1093" t="s">
        <v>2057</v>
      </c>
      <c r="C291" s="1094"/>
      <c r="D291" s="1095"/>
      <c r="E291" s="672" t="s">
        <v>2058</v>
      </c>
      <c r="F291" s="672" t="s">
        <v>2059</v>
      </c>
      <c r="G291" s="673">
        <f>ROUND(10.3  * 6 * 1,0)</f>
        <v>62</v>
      </c>
    </row>
    <row r="292" spans="1:7" ht="15.75" customHeight="1" x14ac:dyDescent="0.2">
      <c r="A292" s="674" t="s">
        <v>1654</v>
      </c>
      <c r="B292" s="1111" t="s">
        <v>1655</v>
      </c>
      <c r="C292" s="1112"/>
      <c r="D292" s="1113"/>
      <c r="E292" s="675"/>
      <c r="F292" s="675"/>
      <c r="G292" s="676"/>
    </row>
    <row r="293" spans="1:7" ht="12.75" customHeight="1" x14ac:dyDescent="0.2">
      <c r="A293" s="677" t="s">
        <v>1654</v>
      </c>
      <c r="B293" s="1108" t="s">
        <v>1656</v>
      </c>
      <c r="C293" s="1109"/>
      <c r="D293" s="1110"/>
      <c r="E293" s="678"/>
      <c r="F293" s="678"/>
      <c r="G293" s="679"/>
    </row>
    <row r="294" spans="1:7" ht="12.75" customHeight="1" x14ac:dyDescent="0.2">
      <c r="A294" s="677" t="s">
        <v>1654</v>
      </c>
      <c r="B294" s="1108" t="s">
        <v>1657</v>
      </c>
      <c r="C294" s="1109"/>
      <c r="D294" s="1110"/>
      <c r="E294" s="678" t="s">
        <v>1658</v>
      </c>
      <c r="F294" s="678"/>
      <c r="G294" s="679"/>
    </row>
    <row r="295" spans="1:7" ht="15.75" customHeight="1" x14ac:dyDescent="0.2">
      <c r="A295" s="677" t="s">
        <v>1654</v>
      </c>
      <c r="B295" s="1114" t="s">
        <v>1661</v>
      </c>
      <c r="C295" s="1115"/>
      <c r="D295" s="1116"/>
      <c r="E295" s="680"/>
      <c r="F295" s="680" t="s">
        <v>1895</v>
      </c>
      <c r="G295" s="681"/>
    </row>
    <row r="296" spans="1:7" ht="12.75" customHeight="1" x14ac:dyDescent="0.2">
      <c r="A296" s="682" t="s">
        <v>1654</v>
      </c>
      <c r="B296" s="1117" t="s">
        <v>1662</v>
      </c>
      <c r="C296" s="1118"/>
      <c r="D296" s="1119"/>
      <c r="E296" s="684" t="s">
        <v>2060</v>
      </c>
      <c r="F296" s="684"/>
      <c r="G296" s="685"/>
    </row>
    <row r="297" spans="1:7" ht="165.75" customHeight="1" x14ac:dyDescent="0.2">
      <c r="A297" s="671" t="s">
        <v>1335</v>
      </c>
      <c r="B297" s="1093" t="s">
        <v>2061</v>
      </c>
      <c r="C297" s="1094"/>
      <c r="D297" s="1095"/>
      <c r="E297" s="672" t="s">
        <v>2062</v>
      </c>
      <c r="F297" s="672" t="s">
        <v>2063</v>
      </c>
      <c r="G297" s="673">
        <f>ROUND(8.8  * 6 * 1,0)</f>
        <v>53</v>
      </c>
    </row>
    <row r="298" spans="1:7" ht="15.75" customHeight="1" x14ac:dyDescent="0.2">
      <c r="A298" s="674" t="s">
        <v>1654</v>
      </c>
      <c r="B298" s="1111" t="s">
        <v>1655</v>
      </c>
      <c r="C298" s="1112"/>
      <c r="D298" s="1113"/>
      <c r="E298" s="675"/>
      <c r="F298" s="675"/>
      <c r="G298" s="676"/>
    </row>
    <row r="299" spans="1:7" ht="12.75" customHeight="1" x14ac:dyDescent="0.2">
      <c r="A299" s="677" t="s">
        <v>1654</v>
      </c>
      <c r="B299" s="1108" t="s">
        <v>1656</v>
      </c>
      <c r="C299" s="1109"/>
      <c r="D299" s="1110"/>
      <c r="E299" s="678"/>
      <c r="F299" s="678"/>
      <c r="G299" s="679"/>
    </row>
    <row r="300" spans="1:7" ht="12.75" customHeight="1" x14ac:dyDescent="0.2">
      <c r="A300" s="677" t="s">
        <v>1654</v>
      </c>
      <c r="B300" s="1108" t="s">
        <v>1657</v>
      </c>
      <c r="C300" s="1109"/>
      <c r="D300" s="1110"/>
      <c r="E300" s="678" t="s">
        <v>1658</v>
      </c>
      <c r="F300" s="678"/>
      <c r="G300" s="679"/>
    </row>
    <row r="301" spans="1:7" ht="15.75" customHeight="1" x14ac:dyDescent="0.2">
      <c r="A301" s="677" t="s">
        <v>1654</v>
      </c>
      <c r="B301" s="1114" t="s">
        <v>1661</v>
      </c>
      <c r="C301" s="1115"/>
      <c r="D301" s="1116"/>
      <c r="E301" s="680"/>
      <c r="F301" s="680" t="s">
        <v>1895</v>
      </c>
      <c r="G301" s="681"/>
    </row>
    <row r="302" spans="1:7" ht="12.75" customHeight="1" x14ac:dyDescent="0.2">
      <c r="A302" s="682" t="s">
        <v>1654</v>
      </c>
      <c r="B302" s="1117" t="s">
        <v>1662</v>
      </c>
      <c r="C302" s="1118"/>
      <c r="D302" s="1119"/>
      <c r="E302" s="684" t="s">
        <v>2008</v>
      </c>
      <c r="F302" s="684"/>
      <c r="G302" s="685"/>
    </row>
    <row r="303" spans="1:7" ht="12.75" customHeight="1" x14ac:dyDescent="0.2">
      <c r="A303" s="1180" t="s">
        <v>2064</v>
      </c>
      <c r="B303" s="1181"/>
      <c r="C303" s="1181"/>
      <c r="D303" s="1181"/>
      <c r="E303" s="1181"/>
      <c r="F303" s="1181"/>
      <c r="G303" s="1182"/>
    </row>
    <row r="304" spans="1:7" ht="12.75" customHeight="1" x14ac:dyDescent="0.2">
      <c r="A304" s="1189" t="s">
        <v>1965</v>
      </c>
      <c r="B304" s="1190"/>
      <c r="C304" s="1190"/>
      <c r="D304" s="1190"/>
      <c r="E304" s="1190"/>
      <c r="F304" s="1190"/>
      <c r="G304" s="1191"/>
    </row>
    <row r="305" spans="1:7" ht="165.75" customHeight="1" x14ac:dyDescent="0.2">
      <c r="A305" s="671" t="s">
        <v>2065</v>
      </c>
      <c r="B305" s="1093" t="s">
        <v>2018</v>
      </c>
      <c r="C305" s="1094"/>
      <c r="D305" s="1095"/>
      <c r="E305" s="672" t="s">
        <v>2066</v>
      </c>
      <c r="F305" s="672" t="s">
        <v>2067</v>
      </c>
      <c r="G305" s="673">
        <f>ROUND(12.2  * 3 * 1,0)</f>
        <v>37</v>
      </c>
    </row>
    <row r="306" spans="1:7" ht="15.75" customHeight="1" x14ac:dyDescent="0.2">
      <c r="A306" s="674" t="s">
        <v>1654</v>
      </c>
      <c r="B306" s="1111" t="s">
        <v>1655</v>
      </c>
      <c r="C306" s="1112"/>
      <c r="D306" s="1113"/>
      <c r="E306" s="675"/>
      <c r="F306" s="675"/>
      <c r="G306" s="676"/>
    </row>
    <row r="307" spans="1:7" ht="12.75" customHeight="1" x14ac:dyDescent="0.2">
      <c r="A307" s="677" t="s">
        <v>1654</v>
      </c>
      <c r="B307" s="1108" t="s">
        <v>1656</v>
      </c>
      <c r="C307" s="1109"/>
      <c r="D307" s="1110"/>
      <c r="E307" s="678"/>
      <c r="F307" s="678"/>
      <c r="G307" s="679"/>
    </row>
    <row r="308" spans="1:7" ht="12.75" customHeight="1" x14ac:dyDescent="0.2">
      <c r="A308" s="677" t="s">
        <v>1654</v>
      </c>
      <c r="B308" s="1108" t="s">
        <v>1657</v>
      </c>
      <c r="C308" s="1109"/>
      <c r="D308" s="1110"/>
      <c r="E308" s="678" t="s">
        <v>1658</v>
      </c>
      <c r="F308" s="678"/>
      <c r="G308" s="679"/>
    </row>
    <row r="309" spans="1:7" ht="15.75" customHeight="1" x14ac:dyDescent="0.2">
      <c r="A309" s="677" t="s">
        <v>1654</v>
      </c>
      <c r="B309" s="1114" t="s">
        <v>1661</v>
      </c>
      <c r="C309" s="1115"/>
      <c r="D309" s="1116"/>
      <c r="E309" s="680"/>
      <c r="F309" s="680" t="s">
        <v>1895</v>
      </c>
      <c r="G309" s="681"/>
    </row>
    <row r="310" spans="1:7" ht="12.75" customHeight="1" x14ac:dyDescent="0.2">
      <c r="A310" s="682" t="s">
        <v>1654</v>
      </c>
      <c r="B310" s="1117" t="s">
        <v>1662</v>
      </c>
      <c r="C310" s="1118"/>
      <c r="D310" s="1119"/>
      <c r="E310" s="684" t="s">
        <v>2037</v>
      </c>
      <c r="F310" s="684"/>
      <c r="G310" s="685"/>
    </row>
    <row r="311" spans="1:7" ht="165.75" customHeight="1" x14ac:dyDescent="0.2">
      <c r="A311" s="671" t="s">
        <v>2068</v>
      </c>
      <c r="B311" s="1093" t="s">
        <v>2022</v>
      </c>
      <c r="C311" s="1094"/>
      <c r="D311" s="1095"/>
      <c r="E311" s="672" t="s">
        <v>2069</v>
      </c>
      <c r="F311" s="672" t="s">
        <v>2070</v>
      </c>
      <c r="G311" s="673">
        <f>ROUND(23.5  * 3 * 1,0)</f>
        <v>71</v>
      </c>
    </row>
    <row r="312" spans="1:7" ht="15.75" customHeight="1" x14ac:dyDescent="0.2">
      <c r="A312" s="674" t="s">
        <v>1654</v>
      </c>
      <c r="B312" s="1111" t="s">
        <v>1655</v>
      </c>
      <c r="C312" s="1112"/>
      <c r="D312" s="1113"/>
      <c r="E312" s="675"/>
      <c r="F312" s="675"/>
      <c r="G312" s="676"/>
    </row>
    <row r="313" spans="1:7" ht="12.75" customHeight="1" x14ac:dyDescent="0.2">
      <c r="A313" s="677" t="s">
        <v>1654</v>
      </c>
      <c r="B313" s="1108" t="s">
        <v>1656</v>
      </c>
      <c r="C313" s="1109"/>
      <c r="D313" s="1110"/>
      <c r="E313" s="678"/>
      <c r="F313" s="678"/>
      <c r="G313" s="679"/>
    </row>
    <row r="314" spans="1:7" ht="12.75" customHeight="1" x14ac:dyDescent="0.2">
      <c r="A314" s="677" t="s">
        <v>1654</v>
      </c>
      <c r="B314" s="1108" t="s">
        <v>1657</v>
      </c>
      <c r="C314" s="1109"/>
      <c r="D314" s="1110"/>
      <c r="E314" s="678" t="s">
        <v>1658</v>
      </c>
      <c r="F314" s="678"/>
      <c r="G314" s="679"/>
    </row>
    <row r="315" spans="1:7" ht="15.75" customHeight="1" x14ac:dyDescent="0.2">
      <c r="A315" s="677" t="s">
        <v>1654</v>
      </c>
      <c r="B315" s="1114" t="s">
        <v>1661</v>
      </c>
      <c r="C315" s="1115"/>
      <c r="D315" s="1116"/>
      <c r="E315" s="680"/>
      <c r="F315" s="680" t="s">
        <v>1895</v>
      </c>
      <c r="G315" s="681"/>
    </row>
    <row r="316" spans="1:7" ht="12.75" customHeight="1" x14ac:dyDescent="0.2">
      <c r="A316" s="682" t="s">
        <v>1654</v>
      </c>
      <c r="B316" s="1117" t="s">
        <v>1662</v>
      </c>
      <c r="C316" s="1118"/>
      <c r="D316" s="1119"/>
      <c r="E316" s="684" t="s">
        <v>2071</v>
      </c>
      <c r="F316" s="684"/>
      <c r="G316" s="685"/>
    </row>
    <row r="317" spans="1:7" ht="165.75" customHeight="1" x14ac:dyDescent="0.2">
      <c r="A317" s="671" t="s">
        <v>2072</v>
      </c>
      <c r="B317" s="1093" t="s">
        <v>2026</v>
      </c>
      <c r="C317" s="1094"/>
      <c r="D317" s="1095"/>
      <c r="E317" s="672" t="s">
        <v>2073</v>
      </c>
      <c r="F317" s="672" t="s">
        <v>2074</v>
      </c>
      <c r="G317" s="673">
        <f>ROUND(21.5  * 3 * 1,0)</f>
        <v>65</v>
      </c>
    </row>
    <row r="318" spans="1:7" ht="15.75" customHeight="1" x14ac:dyDescent="0.2">
      <c r="A318" s="674" t="s">
        <v>1654</v>
      </c>
      <c r="B318" s="1111" t="s">
        <v>1655</v>
      </c>
      <c r="C318" s="1112"/>
      <c r="D318" s="1113"/>
      <c r="E318" s="675"/>
      <c r="F318" s="675"/>
      <c r="G318" s="676"/>
    </row>
    <row r="319" spans="1:7" ht="12.75" customHeight="1" x14ac:dyDescent="0.2">
      <c r="A319" s="677" t="s">
        <v>1654</v>
      </c>
      <c r="B319" s="1108" t="s">
        <v>1656</v>
      </c>
      <c r="C319" s="1109"/>
      <c r="D319" s="1110"/>
      <c r="E319" s="678"/>
      <c r="F319" s="678"/>
      <c r="G319" s="679"/>
    </row>
    <row r="320" spans="1:7" ht="12.75" customHeight="1" x14ac:dyDescent="0.2">
      <c r="A320" s="677" t="s">
        <v>1654</v>
      </c>
      <c r="B320" s="1108" t="s">
        <v>1657</v>
      </c>
      <c r="C320" s="1109"/>
      <c r="D320" s="1110"/>
      <c r="E320" s="678" t="s">
        <v>1658</v>
      </c>
      <c r="F320" s="678"/>
      <c r="G320" s="679"/>
    </row>
    <row r="321" spans="1:7" ht="15.75" customHeight="1" x14ac:dyDescent="0.2">
      <c r="A321" s="677" t="s">
        <v>1654</v>
      </c>
      <c r="B321" s="1114" t="s">
        <v>1661</v>
      </c>
      <c r="C321" s="1115"/>
      <c r="D321" s="1116"/>
      <c r="E321" s="680"/>
      <c r="F321" s="680" t="s">
        <v>1895</v>
      </c>
      <c r="G321" s="681"/>
    </row>
    <row r="322" spans="1:7" ht="12.75" customHeight="1" x14ac:dyDescent="0.2">
      <c r="A322" s="682" t="s">
        <v>1654</v>
      </c>
      <c r="B322" s="1117" t="s">
        <v>1662</v>
      </c>
      <c r="C322" s="1118"/>
      <c r="D322" s="1119"/>
      <c r="E322" s="684" t="s">
        <v>2075</v>
      </c>
      <c r="F322" s="684"/>
      <c r="G322" s="685"/>
    </row>
    <row r="323" spans="1:7" ht="165.75" customHeight="1" x14ac:dyDescent="0.2">
      <c r="A323" s="671" t="s">
        <v>2076</v>
      </c>
      <c r="B323" s="1093" t="s">
        <v>2030</v>
      </c>
      <c r="C323" s="1094"/>
      <c r="D323" s="1095"/>
      <c r="E323" s="672" t="s">
        <v>2077</v>
      </c>
      <c r="F323" s="672" t="s">
        <v>2078</v>
      </c>
      <c r="G323" s="673">
        <f>ROUND(8.1  * 3 * 1,0)</f>
        <v>24</v>
      </c>
    </row>
    <row r="324" spans="1:7" ht="15.75" customHeight="1" x14ac:dyDescent="0.2">
      <c r="A324" s="674" t="s">
        <v>1654</v>
      </c>
      <c r="B324" s="1111" t="s">
        <v>1655</v>
      </c>
      <c r="C324" s="1112"/>
      <c r="D324" s="1113"/>
      <c r="E324" s="675"/>
      <c r="F324" s="675"/>
      <c r="G324" s="676"/>
    </row>
    <row r="325" spans="1:7" ht="12.75" customHeight="1" x14ac:dyDescent="0.2">
      <c r="A325" s="677" t="s">
        <v>1654</v>
      </c>
      <c r="B325" s="1108" t="s">
        <v>1656</v>
      </c>
      <c r="C325" s="1109"/>
      <c r="D325" s="1110"/>
      <c r="E325" s="678"/>
      <c r="F325" s="678"/>
      <c r="G325" s="679"/>
    </row>
    <row r="326" spans="1:7" ht="12.75" customHeight="1" x14ac:dyDescent="0.2">
      <c r="A326" s="677" t="s">
        <v>1654</v>
      </c>
      <c r="B326" s="1108" t="s">
        <v>1657</v>
      </c>
      <c r="C326" s="1109"/>
      <c r="D326" s="1110"/>
      <c r="E326" s="678" t="s">
        <v>1658</v>
      </c>
      <c r="F326" s="678"/>
      <c r="G326" s="679"/>
    </row>
    <row r="327" spans="1:7" ht="15.75" customHeight="1" x14ac:dyDescent="0.2">
      <c r="A327" s="677" t="s">
        <v>1654</v>
      </c>
      <c r="B327" s="1114" t="s">
        <v>1661</v>
      </c>
      <c r="C327" s="1115"/>
      <c r="D327" s="1116"/>
      <c r="E327" s="680"/>
      <c r="F327" s="680" t="s">
        <v>1895</v>
      </c>
      <c r="G327" s="681"/>
    </row>
    <row r="328" spans="1:7" ht="12.75" customHeight="1" x14ac:dyDescent="0.2">
      <c r="A328" s="682" t="s">
        <v>1654</v>
      </c>
      <c r="B328" s="1117" t="s">
        <v>1662</v>
      </c>
      <c r="C328" s="1118"/>
      <c r="D328" s="1119"/>
      <c r="E328" s="684" t="s">
        <v>2079</v>
      </c>
      <c r="F328" s="684"/>
      <c r="G328" s="685"/>
    </row>
    <row r="329" spans="1:7" ht="165.75" customHeight="1" x14ac:dyDescent="0.2">
      <c r="A329" s="671" t="s">
        <v>2080</v>
      </c>
      <c r="B329" s="1093" t="s">
        <v>2034</v>
      </c>
      <c r="C329" s="1094"/>
      <c r="D329" s="1095"/>
      <c r="E329" s="672" t="s">
        <v>2081</v>
      </c>
      <c r="F329" s="672" t="s">
        <v>2082</v>
      </c>
      <c r="G329" s="673">
        <f>ROUND(6.1  * 3 * 1,0)</f>
        <v>18</v>
      </c>
    </row>
    <row r="330" spans="1:7" ht="15.75" customHeight="1" x14ac:dyDescent="0.2">
      <c r="A330" s="674" t="s">
        <v>1654</v>
      </c>
      <c r="B330" s="1111" t="s">
        <v>1655</v>
      </c>
      <c r="C330" s="1112"/>
      <c r="D330" s="1113"/>
      <c r="E330" s="675"/>
      <c r="F330" s="675"/>
      <c r="G330" s="676"/>
    </row>
    <row r="331" spans="1:7" ht="12.75" customHeight="1" x14ac:dyDescent="0.2">
      <c r="A331" s="677" t="s">
        <v>1654</v>
      </c>
      <c r="B331" s="1108" t="s">
        <v>1656</v>
      </c>
      <c r="C331" s="1109"/>
      <c r="D331" s="1110"/>
      <c r="E331" s="678"/>
      <c r="F331" s="678"/>
      <c r="G331" s="679"/>
    </row>
    <row r="332" spans="1:7" ht="12.75" customHeight="1" x14ac:dyDescent="0.2">
      <c r="A332" s="677" t="s">
        <v>1654</v>
      </c>
      <c r="B332" s="1108" t="s">
        <v>1657</v>
      </c>
      <c r="C332" s="1109"/>
      <c r="D332" s="1110"/>
      <c r="E332" s="678" t="s">
        <v>1658</v>
      </c>
      <c r="F332" s="678"/>
      <c r="G332" s="679"/>
    </row>
    <row r="333" spans="1:7" ht="15.75" customHeight="1" x14ac:dyDescent="0.2">
      <c r="A333" s="677" t="s">
        <v>1654</v>
      </c>
      <c r="B333" s="1114" t="s">
        <v>1661</v>
      </c>
      <c r="C333" s="1115"/>
      <c r="D333" s="1116"/>
      <c r="E333" s="680"/>
      <c r="F333" s="680" t="s">
        <v>1895</v>
      </c>
      <c r="G333" s="681"/>
    </row>
    <row r="334" spans="1:7" ht="12.75" customHeight="1" x14ac:dyDescent="0.2">
      <c r="A334" s="682" t="s">
        <v>1654</v>
      </c>
      <c r="B334" s="1117" t="s">
        <v>1662</v>
      </c>
      <c r="C334" s="1118"/>
      <c r="D334" s="1119"/>
      <c r="E334" s="684" t="s">
        <v>2083</v>
      </c>
      <c r="F334" s="684"/>
      <c r="G334" s="685"/>
    </row>
    <row r="335" spans="1:7" ht="165.75" customHeight="1" x14ac:dyDescent="0.2">
      <c r="A335" s="671" t="s">
        <v>2084</v>
      </c>
      <c r="B335" s="1093" t="s">
        <v>2038</v>
      </c>
      <c r="C335" s="1094"/>
      <c r="D335" s="1095"/>
      <c r="E335" s="672" t="s">
        <v>2085</v>
      </c>
      <c r="F335" s="672" t="s">
        <v>2086</v>
      </c>
      <c r="G335" s="673">
        <f>ROUND(9.6  * 3 * 1,0)</f>
        <v>29</v>
      </c>
    </row>
    <row r="336" spans="1:7" ht="15.75" customHeight="1" x14ac:dyDescent="0.2">
      <c r="A336" s="674" t="s">
        <v>1654</v>
      </c>
      <c r="B336" s="1111" t="s">
        <v>1655</v>
      </c>
      <c r="C336" s="1112"/>
      <c r="D336" s="1113"/>
      <c r="E336" s="675"/>
      <c r="F336" s="675"/>
      <c r="G336" s="676"/>
    </row>
    <row r="337" spans="1:7" ht="12.75" customHeight="1" x14ac:dyDescent="0.2">
      <c r="A337" s="677" t="s">
        <v>1654</v>
      </c>
      <c r="B337" s="1108" t="s">
        <v>1656</v>
      </c>
      <c r="C337" s="1109"/>
      <c r="D337" s="1110"/>
      <c r="E337" s="678"/>
      <c r="F337" s="678"/>
      <c r="G337" s="679"/>
    </row>
    <row r="338" spans="1:7" ht="12.75" customHeight="1" x14ac:dyDescent="0.2">
      <c r="A338" s="677" t="s">
        <v>1654</v>
      </c>
      <c r="B338" s="1108" t="s">
        <v>1657</v>
      </c>
      <c r="C338" s="1109"/>
      <c r="D338" s="1110"/>
      <c r="E338" s="678" t="s">
        <v>1658</v>
      </c>
      <c r="F338" s="678"/>
      <c r="G338" s="679"/>
    </row>
    <row r="339" spans="1:7" ht="15.75" customHeight="1" x14ac:dyDescent="0.2">
      <c r="A339" s="677" t="s">
        <v>1654</v>
      </c>
      <c r="B339" s="1114" t="s">
        <v>1661</v>
      </c>
      <c r="C339" s="1115"/>
      <c r="D339" s="1116"/>
      <c r="E339" s="680"/>
      <c r="F339" s="680" t="s">
        <v>1895</v>
      </c>
      <c r="G339" s="681"/>
    </row>
    <row r="340" spans="1:7" ht="12.75" customHeight="1" x14ac:dyDescent="0.2">
      <c r="A340" s="682" t="s">
        <v>1654</v>
      </c>
      <c r="B340" s="1117" t="s">
        <v>1662</v>
      </c>
      <c r="C340" s="1118"/>
      <c r="D340" s="1119"/>
      <c r="E340" s="684" t="s">
        <v>2087</v>
      </c>
      <c r="F340" s="684"/>
      <c r="G340" s="685"/>
    </row>
    <row r="341" spans="1:7" ht="165.75" customHeight="1" x14ac:dyDescent="0.2">
      <c r="A341" s="671" t="s">
        <v>2088</v>
      </c>
      <c r="B341" s="1093" t="s">
        <v>2042</v>
      </c>
      <c r="C341" s="1094"/>
      <c r="D341" s="1095"/>
      <c r="E341" s="672" t="s">
        <v>2089</v>
      </c>
      <c r="F341" s="672" t="s">
        <v>2090</v>
      </c>
      <c r="G341" s="673">
        <f>ROUND(8.7  * 3 * 1,0)</f>
        <v>26</v>
      </c>
    </row>
    <row r="342" spans="1:7" ht="15.75" customHeight="1" x14ac:dyDescent="0.2">
      <c r="A342" s="674" t="s">
        <v>1654</v>
      </c>
      <c r="B342" s="1111" t="s">
        <v>1655</v>
      </c>
      <c r="C342" s="1112"/>
      <c r="D342" s="1113"/>
      <c r="E342" s="675"/>
      <c r="F342" s="675"/>
      <c r="G342" s="676"/>
    </row>
    <row r="343" spans="1:7" ht="12.75" customHeight="1" x14ac:dyDescent="0.2">
      <c r="A343" s="677" t="s">
        <v>1654</v>
      </c>
      <c r="B343" s="1108" t="s">
        <v>1656</v>
      </c>
      <c r="C343" s="1109"/>
      <c r="D343" s="1110"/>
      <c r="E343" s="678"/>
      <c r="F343" s="678"/>
      <c r="G343" s="679"/>
    </row>
    <row r="344" spans="1:7" ht="12.75" customHeight="1" x14ac:dyDescent="0.2">
      <c r="A344" s="677" t="s">
        <v>1654</v>
      </c>
      <c r="B344" s="1108" t="s">
        <v>1657</v>
      </c>
      <c r="C344" s="1109"/>
      <c r="D344" s="1110"/>
      <c r="E344" s="678" t="s">
        <v>1658</v>
      </c>
      <c r="F344" s="678"/>
      <c r="G344" s="679"/>
    </row>
    <row r="345" spans="1:7" ht="15.75" customHeight="1" x14ac:dyDescent="0.2">
      <c r="A345" s="677" t="s">
        <v>1654</v>
      </c>
      <c r="B345" s="1114" t="s">
        <v>1661</v>
      </c>
      <c r="C345" s="1115"/>
      <c r="D345" s="1116"/>
      <c r="E345" s="680"/>
      <c r="F345" s="680" t="s">
        <v>1895</v>
      </c>
      <c r="G345" s="681"/>
    </row>
    <row r="346" spans="1:7" ht="12.75" customHeight="1" x14ac:dyDescent="0.2">
      <c r="A346" s="682" t="s">
        <v>1654</v>
      </c>
      <c r="B346" s="1117" t="s">
        <v>1662</v>
      </c>
      <c r="C346" s="1118"/>
      <c r="D346" s="1119"/>
      <c r="E346" s="684" t="s">
        <v>2091</v>
      </c>
      <c r="F346" s="684"/>
      <c r="G346" s="685"/>
    </row>
    <row r="347" spans="1:7" ht="165.75" customHeight="1" x14ac:dyDescent="0.2">
      <c r="A347" s="671" t="s">
        <v>2092</v>
      </c>
      <c r="B347" s="1093" t="s">
        <v>2093</v>
      </c>
      <c r="C347" s="1094"/>
      <c r="D347" s="1095"/>
      <c r="E347" s="672" t="s">
        <v>2094</v>
      </c>
      <c r="F347" s="672" t="s">
        <v>2003</v>
      </c>
      <c r="G347" s="673">
        <f>ROUND(2  * 3 * 1,0)</f>
        <v>6</v>
      </c>
    </row>
    <row r="348" spans="1:7" ht="15.75" customHeight="1" x14ac:dyDescent="0.2">
      <c r="A348" s="674" t="s">
        <v>1654</v>
      </c>
      <c r="B348" s="1111" t="s">
        <v>1655</v>
      </c>
      <c r="C348" s="1112"/>
      <c r="D348" s="1113"/>
      <c r="E348" s="675"/>
      <c r="F348" s="675"/>
      <c r="G348" s="676"/>
    </row>
    <row r="349" spans="1:7" ht="12.75" customHeight="1" x14ac:dyDescent="0.2">
      <c r="A349" s="677" t="s">
        <v>1654</v>
      </c>
      <c r="B349" s="1108" t="s">
        <v>1656</v>
      </c>
      <c r="C349" s="1109"/>
      <c r="D349" s="1110"/>
      <c r="E349" s="678"/>
      <c r="F349" s="678"/>
      <c r="G349" s="679"/>
    </row>
    <row r="350" spans="1:7" ht="12.75" customHeight="1" x14ac:dyDescent="0.2">
      <c r="A350" s="677" t="s">
        <v>1654</v>
      </c>
      <c r="B350" s="1108" t="s">
        <v>1657</v>
      </c>
      <c r="C350" s="1109"/>
      <c r="D350" s="1110"/>
      <c r="E350" s="678" t="s">
        <v>1658</v>
      </c>
      <c r="F350" s="678"/>
      <c r="G350" s="679"/>
    </row>
    <row r="351" spans="1:7" ht="15.75" customHeight="1" x14ac:dyDescent="0.2">
      <c r="A351" s="677" t="s">
        <v>1654</v>
      </c>
      <c r="B351" s="1114" t="s">
        <v>1661</v>
      </c>
      <c r="C351" s="1115"/>
      <c r="D351" s="1116"/>
      <c r="E351" s="680"/>
      <c r="F351" s="680" t="s">
        <v>1895</v>
      </c>
      <c r="G351" s="681"/>
    </row>
    <row r="352" spans="1:7" ht="12.75" customHeight="1" x14ac:dyDescent="0.2">
      <c r="A352" s="682" t="s">
        <v>1654</v>
      </c>
      <c r="B352" s="1117" t="s">
        <v>1662</v>
      </c>
      <c r="C352" s="1118"/>
      <c r="D352" s="1119"/>
      <c r="E352" s="684" t="s">
        <v>2004</v>
      </c>
      <c r="F352" s="684"/>
      <c r="G352" s="685"/>
    </row>
    <row r="353" spans="1:7" ht="25.5" customHeight="1" x14ac:dyDescent="0.2">
      <c r="A353" s="686" t="s">
        <v>2095</v>
      </c>
      <c r="B353" s="1120" t="s">
        <v>1683</v>
      </c>
      <c r="C353" s="1121"/>
      <c r="D353" s="1122"/>
      <c r="E353" s="687"/>
      <c r="F353" s="687"/>
      <c r="G353" s="688">
        <f>ROUND((SUM($G$143:$G$347)),0)</f>
        <v>7252</v>
      </c>
    </row>
    <row r="354" spans="1:7" ht="25.5" customHeight="1" x14ac:dyDescent="0.2">
      <c r="A354" s="686" t="s">
        <v>2096</v>
      </c>
      <c r="B354" s="1120" t="s">
        <v>1684</v>
      </c>
      <c r="C354" s="1121"/>
      <c r="D354" s="1122"/>
      <c r="E354" s="687"/>
      <c r="F354" s="687"/>
      <c r="G354" s="688">
        <f>ROUND(($G$353),0)</f>
        <v>7252</v>
      </c>
    </row>
    <row r="355" spans="1:7" ht="12.75" customHeight="1" x14ac:dyDescent="0.2">
      <c r="A355" s="686" t="s">
        <v>481</v>
      </c>
      <c r="B355" s="1120" t="s">
        <v>1649</v>
      </c>
      <c r="C355" s="1121"/>
      <c r="D355" s="1122"/>
      <c r="E355" s="687" t="s">
        <v>1685</v>
      </c>
      <c r="F355" s="687"/>
      <c r="G355" s="691"/>
    </row>
    <row r="356" spans="1:7" ht="191.25" customHeight="1" x14ac:dyDescent="0.2">
      <c r="A356" s="671" t="s">
        <v>556</v>
      </c>
      <c r="B356" s="1093" t="s">
        <v>1890</v>
      </c>
      <c r="C356" s="1094"/>
      <c r="D356" s="1095"/>
      <c r="E356" s="672" t="s">
        <v>2097</v>
      </c>
      <c r="F356" s="672" t="s">
        <v>2098</v>
      </c>
      <c r="G356" s="673">
        <f>ROUND(18.5  * 5.917 * 1 * 1.1,0)</f>
        <v>120</v>
      </c>
    </row>
    <row r="357" spans="1:7" ht="15.75" customHeight="1" x14ac:dyDescent="0.2">
      <c r="A357" s="674" t="s">
        <v>1654</v>
      </c>
      <c r="B357" s="1111" t="s">
        <v>1655</v>
      </c>
      <c r="C357" s="1112"/>
      <c r="D357" s="1113"/>
      <c r="E357" s="675"/>
      <c r="F357" s="675"/>
      <c r="G357" s="676"/>
    </row>
    <row r="358" spans="1:7" ht="12.75" customHeight="1" x14ac:dyDescent="0.2">
      <c r="A358" s="677" t="s">
        <v>1654</v>
      </c>
      <c r="B358" s="1108" t="s">
        <v>1656</v>
      </c>
      <c r="C358" s="1109"/>
      <c r="D358" s="1110"/>
      <c r="E358" s="678"/>
      <c r="F358" s="678"/>
      <c r="G358" s="679"/>
    </row>
    <row r="359" spans="1:7" ht="12.75" customHeight="1" x14ac:dyDescent="0.2">
      <c r="A359" s="677" t="s">
        <v>1654</v>
      </c>
      <c r="B359" s="1108" t="s">
        <v>1657</v>
      </c>
      <c r="C359" s="1109"/>
      <c r="D359" s="1110"/>
      <c r="E359" s="678" t="s">
        <v>1658</v>
      </c>
      <c r="F359" s="678"/>
      <c r="G359" s="679"/>
    </row>
    <row r="360" spans="1:7" ht="51" customHeight="1" x14ac:dyDescent="0.2">
      <c r="A360" s="677" t="s">
        <v>1654</v>
      </c>
      <c r="B360" s="1108" t="s">
        <v>1893</v>
      </c>
      <c r="C360" s="1109"/>
      <c r="D360" s="1110"/>
      <c r="E360" s="678" t="s">
        <v>1894</v>
      </c>
      <c r="F360" s="678"/>
      <c r="G360" s="679"/>
    </row>
    <row r="361" spans="1:7" ht="15.75" customHeight="1" x14ac:dyDescent="0.2">
      <c r="A361" s="677" t="s">
        <v>1654</v>
      </c>
      <c r="B361" s="1114" t="s">
        <v>1661</v>
      </c>
      <c r="C361" s="1115"/>
      <c r="D361" s="1116"/>
      <c r="E361" s="680"/>
      <c r="F361" s="680" t="s">
        <v>1895</v>
      </c>
      <c r="G361" s="681"/>
    </row>
    <row r="362" spans="1:7" ht="12.75" customHeight="1" x14ac:dyDescent="0.2">
      <c r="A362" s="682" t="s">
        <v>1654</v>
      </c>
      <c r="B362" s="1117" t="s">
        <v>1662</v>
      </c>
      <c r="C362" s="1118"/>
      <c r="D362" s="1119"/>
      <c r="E362" s="684" t="s">
        <v>2099</v>
      </c>
      <c r="F362" s="684"/>
      <c r="G362" s="685"/>
    </row>
    <row r="363" spans="1:7" ht="191.25" customHeight="1" x14ac:dyDescent="0.2">
      <c r="A363" s="671" t="s">
        <v>1336</v>
      </c>
      <c r="B363" s="1093" t="s">
        <v>1897</v>
      </c>
      <c r="C363" s="1094"/>
      <c r="D363" s="1095"/>
      <c r="E363" s="672" t="s">
        <v>2100</v>
      </c>
      <c r="F363" s="672" t="s">
        <v>2101</v>
      </c>
      <c r="G363" s="673">
        <f>ROUND(1.69  * 5.917 * 1,0)</f>
        <v>10</v>
      </c>
    </row>
    <row r="364" spans="1:7" ht="15.75" customHeight="1" x14ac:dyDescent="0.2">
      <c r="A364" s="674" t="s">
        <v>1654</v>
      </c>
      <c r="B364" s="1111" t="s">
        <v>1655</v>
      </c>
      <c r="C364" s="1112"/>
      <c r="D364" s="1113"/>
      <c r="E364" s="675"/>
      <c r="F364" s="675"/>
      <c r="G364" s="676"/>
    </row>
    <row r="365" spans="1:7" ht="12.75" customHeight="1" x14ac:dyDescent="0.2">
      <c r="A365" s="677" t="s">
        <v>1654</v>
      </c>
      <c r="B365" s="1108" t="s">
        <v>1656</v>
      </c>
      <c r="C365" s="1109"/>
      <c r="D365" s="1110"/>
      <c r="E365" s="678"/>
      <c r="F365" s="678"/>
      <c r="G365" s="679"/>
    </row>
    <row r="366" spans="1:7" ht="12.75" customHeight="1" x14ac:dyDescent="0.2">
      <c r="A366" s="677" t="s">
        <v>1654</v>
      </c>
      <c r="B366" s="1108" t="s">
        <v>1657</v>
      </c>
      <c r="C366" s="1109"/>
      <c r="D366" s="1110"/>
      <c r="E366" s="678" t="s">
        <v>1658</v>
      </c>
      <c r="F366" s="678"/>
      <c r="G366" s="679"/>
    </row>
    <row r="367" spans="1:7" ht="15.75" customHeight="1" x14ac:dyDescent="0.2">
      <c r="A367" s="677" t="s">
        <v>1654</v>
      </c>
      <c r="B367" s="1114" t="s">
        <v>1661</v>
      </c>
      <c r="C367" s="1115"/>
      <c r="D367" s="1116"/>
      <c r="E367" s="680"/>
      <c r="F367" s="680" t="s">
        <v>1895</v>
      </c>
      <c r="G367" s="681"/>
    </row>
    <row r="368" spans="1:7" ht="12.75" customHeight="1" x14ac:dyDescent="0.2">
      <c r="A368" s="682" t="s">
        <v>1654</v>
      </c>
      <c r="B368" s="1117" t="s">
        <v>1662</v>
      </c>
      <c r="C368" s="1118"/>
      <c r="D368" s="1119"/>
      <c r="E368" s="684" t="s">
        <v>2102</v>
      </c>
      <c r="F368" s="684"/>
      <c r="G368" s="685"/>
    </row>
    <row r="369" spans="1:7" ht="255" customHeight="1" x14ac:dyDescent="0.2">
      <c r="A369" s="671" t="s">
        <v>1337</v>
      </c>
      <c r="B369" s="1093" t="s">
        <v>1901</v>
      </c>
      <c r="C369" s="1094"/>
      <c r="D369" s="1095"/>
      <c r="E369" s="672" t="s">
        <v>2103</v>
      </c>
      <c r="F369" s="672" t="s">
        <v>2104</v>
      </c>
      <c r="G369" s="673">
        <f>ROUND(1.6  * 5.917 * 1 * 0.6 * 1.3,0)</f>
        <v>7</v>
      </c>
    </row>
    <row r="370" spans="1:7" ht="15.75" customHeight="1" x14ac:dyDescent="0.2">
      <c r="A370" s="674" t="s">
        <v>1654</v>
      </c>
      <c r="B370" s="1111" t="s">
        <v>1655</v>
      </c>
      <c r="C370" s="1112"/>
      <c r="D370" s="1113"/>
      <c r="E370" s="675"/>
      <c r="F370" s="675"/>
      <c r="G370" s="676"/>
    </row>
    <row r="371" spans="1:7" ht="12.75" customHeight="1" x14ac:dyDescent="0.2">
      <c r="A371" s="677" t="s">
        <v>1654</v>
      </c>
      <c r="B371" s="1108" t="s">
        <v>1656</v>
      </c>
      <c r="C371" s="1109"/>
      <c r="D371" s="1110"/>
      <c r="E371" s="678"/>
      <c r="F371" s="678"/>
      <c r="G371" s="679"/>
    </row>
    <row r="372" spans="1:7" ht="12.75" customHeight="1" x14ac:dyDescent="0.2">
      <c r="A372" s="677" t="s">
        <v>1654</v>
      </c>
      <c r="B372" s="1108" t="s">
        <v>1657</v>
      </c>
      <c r="C372" s="1109"/>
      <c r="D372" s="1110"/>
      <c r="E372" s="678" t="s">
        <v>1658</v>
      </c>
      <c r="F372" s="678"/>
      <c r="G372" s="679"/>
    </row>
    <row r="373" spans="1:7" ht="63.75" customHeight="1" x14ac:dyDescent="0.2">
      <c r="A373" s="677" t="s">
        <v>1654</v>
      </c>
      <c r="B373" s="1108" t="s">
        <v>1904</v>
      </c>
      <c r="C373" s="1109"/>
      <c r="D373" s="1110"/>
      <c r="E373" s="678" t="s">
        <v>1905</v>
      </c>
      <c r="F373" s="678"/>
      <c r="G373" s="679"/>
    </row>
    <row r="374" spans="1:7" ht="38.25" customHeight="1" x14ac:dyDescent="0.2">
      <c r="A374" s="677" t="s">
        <v>1654</v>
      </c>
      <c r="B374" s="1108" t="s">
        <v>1906</v>
      </c>
      <c r="C374" s="1109"/>
      <c r="D374" s="1110"/>
      <c r="E374" s="678" t="s">
        <v>1907</v>
      </c>
      <c r="F374" s="678"/>
      <c r="G374" s="679"/>
    </row>
    <row r="375" spans="1:7" ht="15.75" customHeight="1" x14ac:dyDescent="0.2">
      <c r="A375" s="677" t="s">
        <v>1654</v>
      </c>
      <c r="B375" s="1114" t="s">
        <v>1661</v>
      </c>
      <c r="C375" s="1115"/>
      <c r="D375" s="1116"/>
      <c r="E375" s="680"/>
      <c r="F375" s="680" t="s">
        <v>1895</v>
      </c>
      <c r="G375" s="681"/>
    </row>
    <row r="376" spans="1:7" ht="12.75" customHeight="1" x14ac:dyDescent="0.2">
      <c r="A376" s="682" t="s">
        <v>1654</v>
      </c>
      <c r="B376" s="1117" t="s">
        <v>1662</v>
      </c>
      <c r="C376" s="1118"/>
      <c r="D376" s="1119"/>
      <c r="E376" s="684" t="s">
        <v>2105</v>
      </c>
      <c r="F376" s="684"/>
      <c r="G376" s="685"/>
    </row>
    <row r="377" spans="1:7" ht="229.5" customHeight="1" x14ac:dyDescent="0.2">
      <c r="A377" s="671" t="s">
        <v>1338</v>
      </c>
      <c r="B377" s="1093" t="s">
        <v>1909</v>
      </c>
      <c r="C377" s="1094"/>
      <c r="D377" s="1095"/>
      <c r="E377" s="672" t="s">
        <v>2106</v>
      </c>
      <c r="F377" s="672" t="s">
        <v>2107</v>
      </c>
      <c r="G377" s="673">
        <f>ROUND(7.5  * 7 * 1 * 0.6 * 0.4,0)</f>
        <v>13</v>
      </c>
    </row>
    <row r="378" spans="1:7" ht="15.75" customHeight="1" x14ac:dyDescent="0.2">
      <c r="A378" s="674" t="s">
        <v>1654</v>
      </c>
      <c r="B378" s="1111" t="s">
        <v>1655</v>
      </c>
      <c r="C378" s="1112"/>
      <c r="D378" s="1113"/>
      <c r="E378" s="675"/>
      <c r="F378" s="675"/>
      <c r="G378" s="676"/>
    </row>
    <row r="379" spans="1:7" ht="12.75" customHeight="1" x14ac:dyDescent="0.2">
      <c r="A379" s="677" t="s">
        <v>1654</v>
      </c>
      <c r="B379" s="1108" t="s">
        <v>1656</v>
      </c>
      <c r="C379" s="1109"/>
      <c r="D379" s="1110"/>
      <c r="E379" s="678"/>
      <c r="F379" s="678"/>
      <c r="G379" s="679"/>
    </row>
    <row r="380" spans="1:7" ht="12.75" customHeight="1" x14ac:dyDescent="0.2">
      <c r="A380" s="677" t="s">
        <v>1654</v>
      </c>
      <c r="B380" s="1108" t="s">
        <v>1657</v>
      </c>
      <c r="C380" s="1109"/>
      <c r="D380" s="1110"/>
      <c r="E380" s="678" t="s">
        <v>1658</v>
      </c>
      <c r="F380" s="678"/>
      <c r="G380" s="679"/>
    </row>
    <row r="381" spans="1:7" ht="63.75" customHeight="1" x14ac:dyDescent="0.2">
      <c r="A381" s="677" t="s">
        <v>1654</v>
      </c>
      <c r="B381" s="1108" t="s">
        <v>1904</v>
      </c>
      <c r="C381" s="1109"/>
      <c r="D381" s="1110"/>
      <c r="E381" s="678" t="s">
        <v>1905</v>
      </c>
      <c r="F381" s="678"/>
      <c r="G381" s="679"/>
    </row>
    <row r="382" spans="1:7" ht="51" customHeight="1" x14ac:dyDescent="0.2">
      <c r="A382" s="677" t="s">
        <v>1654</v>
      </c>
      <c r="B382" s="1108" t="s">
        <v>1912</v>
      </c>
      <c r="C382" s="1109"/>
      <c r="D382" s="1110"/>
      <c r="E382" s="678" t="s">
        <v>1913</v>
      </c>
      <c r="F382" s="678"/>
      <c r="G382" s="679"/>
    </row>
    <row r="383" spans="1:7" ht="15.75" customHeight="1" x14ac:dyDescent="0.2">
      <c r="A383" s="677" t="s">
        <v>1654</v>
      </c>
      <c r="B383" s="1114" t="s">
        <v>1661</v>
      </c>
      <c r="C383" s="1115"/>
      <c r="D383" s="1116"/>
      <c r="E383" s="680"/>
      <c r="F383" s="680" t="s">
        <v>1895</v>
      </c>
      <c r="G383" s="681"/>
    </row>
    <row r="384" spans="1:7" ht="12.75" customHeight="1" x14ac:dyDescent="0.2">
      <c r="A384" s="682" t="s">
        <v>1654</v>
      </c>
      <c r="B384" s="1117" t="s">
        <v>1662</v>
      </c>
      <c r="C384" s="1118"/>
      <c r="D384" s="1119"/>
      <c r="E384" s="684" t="s">
        <v>2108</v>
      </c>
      <c r="F384" s="684"/>
      <c r="G384" s="685"/>
    </row>
    <row r="385" spans="1:7" ht="114.75" customHeight="1" x14ac:dyDescent="0.2">
      <c r="A385" s="671" t="s">
        <v>1339</v>
      </c>
      <c r="B385" s="1093" t="s">
        <v>2109</v>
      </c>
      <c r="C385" s="1094"/>
      <c r="D385" s="1095"/>
      <c r="E385" s="672" t="s">
        <v>2110</v>
      </c>
      <c r="F385" s="672" t="s">
        <v>2111</v>
      </c>
      <c r="G385" s="673">
        <f>ROUND(1439  * 1,0)</f>
        <v>1439</v>
      </c>
    </row>
    <row r="386" spans="1:7" ht="15.75" customHeight="1" x14ac:dyDescent="0.2">
      <c r="A386" s="674" t="s">
        <v>1654</v>
      </c>
      <c r="B386" s="1111" t="s">
        <v>1655</v>
      </c>
      <c r="C386" s="1112"/>
      <c r="D386" s="1113"/>
      <c r="E386" s="675"/>
      <c r="F386" s="675"/>
      <c r="G386" s="676"/>
    </row>
    <row r="387" spans="1:7" ht="12.75" customHeight="1" x14ac:dyDescent="0.2">
      <c r="A387" s="677" t="s">
        <v>1654</v>
      </c>
      <c r="B387" s="1108" t="s">
        <v>1656</v>
      </c>
      <c r="C387" s="1109"/>
      <c r="D387" s="1110"/>
      <c r="E387" s="678"/>
      <c r="F387" s="678"/>
      <c r="G387" s="679"/>
    </row>
    <row r="388" spans="1:7" ht="12.75" customHeight="1" x14ac:dyDescent="0.2">
      <c r="A388" s="677" t="s">
        <v>1654</v>
      </c>
      <c r="B388" s="1108" t="s">
        <v>1657</v>
      </c>
      <c r="C388" s="1109"/>
      <c r="D388" s="1110"/>
      <c r="E388" s="678" t="s">
        <v>1701</v>
      </c>
      <c r="F388" s="678"/>
      <c r="G388" s="679"/>
    </row>
    <row r="389" spans="1:7" ht="12.75" customHeight="1" x14ac:dyDescent="0.2">
      <c r="A389" s="682" t="s">
        <v>1654</v>
      </c>
      <c r="B389" s="1117"/>
      <c r="C389" s="1118"/>
      <c r="D389" s="1119"/>
      <c r="E389" s="684"/>
      <c r="F389" s="684"/>
      <c r="G389" s="685"/>
    </row>
    <row r="390" spans="1:7" ht="114.75" customHeight="1" x14ac:dyDescent="0.2">
      <c r="A390" s="671" t="s">
        <v>1340</v>
      </c>
      <c r="B390" s="1093" t="s">
        <v>2112</v>
      </c>
      <c r="C390" s="1094"/>
      <c r="D390" s="1095"/>
      <c r="E390" s="672" t="s">
        <v>2113</v>
      </c>
      <c r="F390" s="672" t="s">
        <v>1744</v>
      </c>
      <c r="G390" s="673">
        <f>ROUND(200  * 1 * 1,0)</f>
        <v>200</v>
      </c>
    </row>
    <row r="391" spans="1:7" ht="15.75" customHeight="1" x14ac:dyDescent="0.2">
      <c r="A391" s="674" t="s">
        <v>1654</v>
      </c>
      <c r="B391" s="1111" t="s">
        <v>1655</v>
      </c>
      <c r="C391" s="1112"/>
      <c r="D391" s="1113"/>
      <c r="E391" s="675"/>
      <c r="F391" s="675"/>
      <c r="G391" s="676"/>
    </row>
    <row r="392" spans="1:7" ht="12.75" customHeight="1" x14ac:dyDescent="0.2">
      <c r="A392" s="677" t="s">
        <v>1654</v>
      </c>
      <c r="B392" s="1108" t="s">
        <v>1656</v>
      </c>
      <c r="C392" s="1109"/>
      <c r="D392" s="1110"/>
      <c r="E392" s="678"/>
      <c r="F392" s="678"/>
      <c r="G392" s="679"/>
    </row>
    <row r="393" spans="1:7" ht="12.75" customHeight="1" x14ac:dyDescent="0.2">
      <c r="A393" s="677" t="s">
        <v>1654</v>
      </c>
      <c r="B393" s="1108" t="s">
        <v>1657</v>
      </c>
      <c r="C393" s="1109"/>
      <c r="D393" s="1110"/>
      <c r="E393" s="678" t="s">
        <v>1658</v>
      </c>
      <c r="F393" s="678"/>
      <c r="G393" s="679"/>
    </row>
    <row r="394" spans="1:7" ht="15.75" customHeight="1" x14ac:dyDescent="0.2">
      <c r="A394" s="677" t="s">
        <v>1654</v>
      </c>
      <c r="B394" s="1114" t="s">
        <v>1661</v>
      </c>
      <c r="C394" s="1115"/>
      <c r="D394" s="1116"/>
      <c r="E394" s="680"/>
      <c r="F394" s="680" t="s">
        <v>1895</v>
      </c>
      <c r="G394" s="681"/>
    </row>
    <row r="395" spans="1:7" ht="12.75" customHeight="1" x14ac:dyDescent="0.2">
      <c r="A395" s="682" t="s">
        <v>1654</v>
      </c>
      <c r="B395" s="1117" t="s">
        <v>1662</v>
      </c>
      <c r="C395" s="1118"/>
      <c r="D395" s="1119"/>
      <c r="E395" s="684" t="s">
        <v>2114</v>
      </c>
      <c r="F395" s="684"/>
      <c r="G395" s="685"/>
    </row>
    <row r="396" spans="1:7" ht="127.5" customHeight="1" x14ac:dyDescent="0.2">
      <c r="A396" s="671" t="s">
        <v>1341</v>
      </c>
      <c r="B396" s="1093" t="s">
        <v>2115</v>
      </c>
      <c r="C396" s="1094"/>
      <c r="D396" s="1095"/>
      <c r="E396" s="672" t="s">
        <v>2116</v>
      </c>
      <c r="F396" s="672" t="s">
        <v>2117</v>
      </c>
      <c r="G396" s="673">
        <f>ROUND(376  * 1,0)</f>
        <v>376</v>
      </c>
    </row>
    <row r="397" spans="1:7" ht="15.75" customHeight="1" x14ac:dyDescent="0.2">
      <c r="A397" s="674" t="s">
        <v>1654</v>
      </c>
      <c r="B397" s="1111" t="s">
        <v>1655</v>
      </c>
      <c r="C397" s="1112"/>
      <c r="D397" s="1113"/>
      <c r="E397" s="675"/>
      <c r="F397" s="675"/>
      <c r="G397" s="676"/>
    </row>
    <row r="398" spans="1:7" ht="12.75" customHeight="1" x14ac:dyDescent="0.2">
      <c r="A398" s="677" t="s">
        <v>1654</v>
      </c>
      <c r="B398" s="1108" t="s">
        <v>1656</v>
      </c>
      <c r="C398" s="1109"/>
      <c r="D398" s="1110"/>
      <c r="E398" s="678"/>
      <c r="F398" s="678"/>
      <c r="G398" s="679"/>
    </row>
    <row r="399" spans="1:7" ht="12.75" customHeight="1" x14ac:dyDescent="0.2">
      <c r="A399" s="677" t="s">
        <v>1654</v>
      </c>
      <c r="B399" s="1108" t="s">
        <v>1657</v>
      </c>
      <c r="C399" s="1109"/>
      <c r="D399" s="1110"/>
      <c r="E399" s="678" t="s">
        <v>1701</v>
      </c>
      <c r="F399" s="678"/>
      <c r="G399" s="679"/>
    </row>
    <row r="400" spans="1:7" ht="12.75" customHeight="1" x14ac:dyDescent="0.2">
      <c r="A400" s="682" t="s">
        <v>1654</v>
      </c>
      <c r="B400" s="1117"/>
      <c r="C400" s="1118"/>
      <c r="D400" s="1119"/>
      <c r="E400" s="684"/>
      <c r="F400" s="684"/>
      <c r="G400" s="685"/>
    </row>
    <row r="401" spans="1:8" ht="12.75" customHeight="1" x14ac:dyDescent="0.2">
      <c r="A401" s="686" t="s">
        <v>1342</v>
      </c>
      <c r="B401" s="1120" t="s">
        <v>1705</v>
      </c>
      <c r="C401" s="1121"/>
      <c r="D401" s="1122"/>
      <c r="E401" s="687"/>
      <c r="F401" s="687"/>
      <c r="G401" s="688">
        <f>ROUND((SUM($G$356:$G$396)),0)</f>
        <v>2165</v>
      </c>
    </row>
    <row r="402" spans="1:8" ht="12.75" customHeight="1" x14ac:dyDescent="0.2">
      <c r="A402" s="686" t="s">
        <v>1343</v>
      </c>
      <c r="B402" s="1120" t="s">
        <v>1706</v>
      </c>
      <c r="C402" s="1121"/>
      <c r="D402" s="1122"/>
      <c r="E402" s="687"/>
      <c r="F402" s="687"/>
      <c r="G402" s="688">
        <f>ROUND(($G$401),0)</f>
        <v>2165</v>
      </c>
    </row>
    <row r="403" spans="1:8" ht="102" customHeight="1" x14ac:dyDescent="0.2">
      <c r="A403" s="686" t="s">
        <v>483</v>
      </c>
      <c r="B403" s="1120" t="s">
        <v>1649</v>
      </c>
      <c r="C403" s="1121"/>
      <c r="D403" s="1122"/>
      <c r="E403" s="687" t="s">
        <v>2118</v>
      </c>
      <c r="F403" s="687"/>
      <c r="G403" s="691"/>
    </row>
    <row r="404" spans="1:8" ht="63.75" customHeight="1" x14ac:dyDescent="0.2">
      <c r="A404" s="686" t="s">
        <v>515</v>
      </c>
      <c r="B404" s="1123" t="s">
        <v>2119</v>
      </c>
      <c r="C404" s="1124"/>
      <c r="D404" s="1125"/>
      <c r="E404" s="689" t="s">
        <v>2120</v>
      </c>
      <c r="F404" s="689" t="s">
        <v>2121</v>
      </c>
      <c r="G404" s="690">
        <f>65596.22/61.09</f>
        <v>1073.763627434932</v>
      </c>
    </row>
    <row r="405" spans="1:8" ht="63.75" customHeight="1" x14ac:dyDescent="0.2">
      <c r="A405" s="686" t="s">
        <v>1354</v>
      </c>
      <c r="B405" s="1123" t="s">
        <v>2122</v>
      </c>
      <c r="C405" s="1124"/>
      <c r="D405" s="1125"/>
      <c r="E405" s="689" t="s">
        <v>2123</v>
      </c>
      <c r="F405" s="689" t="s">
        <v>2124</v>
      </c>
      <c r="G405" s="690">
        <f>125000/61.09</f>
        <v>2046.1614012113275</v>
      </c>
    </row>
    <row r="406" spans="1:8" ht="63.75" customHeight="1" x14ac:dyDescent="0.2">
      <c r="A406" s="686" t="s">
        <v>1355</v>
      </c>
      <c r="B406" s="1120" t="s">
        <v>2125</v>
      </c>
      <c r="C406" s="1121"/>
      <c r="D406" s="1122"/>
      <c r="E406" s="687"/>
      <c r="F406" s="687"/>
      <c r="G406" s="688">
        <f>ROUND((SUM($G$404:$G$405)),0)</f>
        <v>3120</v>
      </c>
    </row>
    <row r="407" spans="1:8" ht="63.75" customHeight="1" x14ac:dyDescent="0.2">
      <c r="A407" s="686" t="s">
        <v>1356</v>
      </c>
      <c r="B407" s="1120" t="s">
        <v>2126</v>
      </c>
      <c r="C407" s="1121"/>
      <c r="D407" s="1122"/>
      <c r="E407" s="687"/>
      <c r="F407" s="687"/>
      <c r="G407" s="688">
        <f>ROUND(($G$406),0)</f>
        <v>3120</v>
      </c>
    </row>
    <row r="408" spans="1:8" ht="12.75" customHeight="1" x14ac:dyDescent="0.2">
      <c r="A408" s="686" t="s">
        <v>485</v>
      </c>
      <c r="B408" s="1120" t="s">
        <v>1649</v>
      </c>
      <c r="C408" s="1121"/>
      <c r="D408" s="1122"/>
      <c r="E408" s="687" t="s">
        <v>1707</v>
      </c>
      <c r="F408" s="687"/>
      <c r="G408" s="691"/>
    </row>
    <row r="409" spans="1:8" ht="63.75" customHeight="1" x14ac:dyDescent="0.2">
      <c r="A409" s="686" t="s">
        <v>521</v>
      </c>
      <c r="B409" s="1123" t="s">
        <v>1708</v>
      </c>
      <c r="C409" s="1124"/>
      <c r="D409" s="1125"/>
      <c r="E409" s="689" t="s">
        <v>1709</v>
      </c>
      <c r="F409" s="689" t="s">
        <v>2127</v>
      </c>
      <c r="G409" s="690">
        <f>ROUND(($G$139) * 0.2 * 1,0)</f>
        <v>201</v>
      </c>
    </row>
    <row r="410" spans="1:8" ht="51" customHeight="1" x14ac:dyDescent="0.2">
      <c r="A410" s="686" t="s">
        <v>1374</v>
      </c>
      <c r="B410" s="1123" t="s">
        <v>1745</v>
      </c>
      <c r="C410" s="1124"/>
      <c r="D410" s="1125"/>
      <c r="E410" s="689" t="s">
        <v>1712</v>
      </c>
      <c r="F410" s="689" t="s">
        <v>2128</v>
      </c>
      <c r="G410" s="690">
        <f>ROUND(1205 * 8.75 / 100 * 1,0)</f>
        <v>105</v>
      </c>
      <c r="H410" s="692">
        <f>G409+G139</f>
        <v>1205</v>
      </c>
    </row>
    <row r="411" spans="1:8" ht="51" customHeight="1" x14ac:dyDescent="0.2">
      <c r="A411" s="686" t="s">
        <v>1375</v>
      </c>
      <c r="B411" s="1123" t="s">
        <v>1714</v>
      </c>
      <c r="C411" s="1124"/>
      <c r="D411" s="1125"/>
      <c r="E411" s="689" t="s">
        <v>1715</v>
      </c>
      <c r="F411" s="689" t="s">
        <v>2129</v>
      </c>
      <c r="G411" s="690">
        <f>ROUND(1310 * 19.6 / 100 * 1,0)</f>
        <v>257</v>
      </c>
    </row>
    <row r="412" spans="1:8" ht="76.5" customHeight="1" x14ac:dyDescent="0.2">
      <c r="A412" s="686" t="s">
        <v>1376</v>
      </c>
      <c r="B412" s="1123" t="s">
        <v>2130</v>
      </c>
      <c r="C412" s="1124"/>
      <c r="D412" s="1125"/>
      <c r="E412" s="689" t="s">
        <v>1718</v>
      </c>
      <c r="F412" s="689" t="s">
        <v>2131</v>
      </c>
      <c r="G412" s="690">
        <f>ROUND(1310 * 2.5 * 1 * 6 / 100 * 1,0)</f>
        <v>197</v>
      </c>
    </row>
    <row r="413" spans="1:8" ht="12.75" customHeight="1" x14ac:dyDescent="0.2">
      <c r="A413" s="686" t="s">
        <v>1377</v>
      </c>
      <c r="B413" s="1120" t="s">
        <v>1720</v>
      </c>
      <c r="C413" s="1121"/>
      <c r="D413" s="1122"/>
      <c r="E413" s="687"/>
      <c r="F413" s="687"/>
      <c r="G413" s="688">
        <f>ROUND((SUM($G$409:$G$412)),0)</f>
        <v>760</v>
      </c>
    </row>
    <row r="414" spans="1:8" ht="12.75" customHeight="1" x14ac:dyDescent="0.2">
      <c r="A414" s="686" t="s">
        <v>523</v>
      </c>
      <c r="B414" s="1120" t="s">
        <v>1721</v>
      </c>
      <c r="C414" s="1121"/>
      <c r="D414" s="1122"/>
      <c r="E414" s="687"/>
      <c r="F414" s="687"/>
      <c r="G414" s="688">
        <f>ROUND(($G$139 + $G$354 + $G$402 + $G$407 + $G$413),0)</f>
        <v>14301</v>
      </c>
    </row>
    <row r="415" spans="1:8" ht="12.75" customHeight="1" x14ac:dyDescent="0.2">
      <c r="A415" s="686"/>
      <c r="B415" s="1192" t="s">
        <v>2132</v>
      </c>
      <c r="C415" s="1193"/>
      <c r="D415" s="1194"/>
      <c r="E415" s="687"/>
      <c r="F415" s="687"/>
      <c r="G415" s="688"/>
    </row>
    <row r="416" spans="1:8" ht="51" customHeight="1" x14ac:dyDescent="0.2">
      <c r="A416" s="686" t="s">
        <v>573</v>
      </c>
      <c r="B416" s="1123" t="s">
        <v>1740</v>
      </c>
      <c r="C416" s="1124"/>
      <c r="D416" s="1125"/>
      <c r="E416" s="689" t="s">
        <v>1723</v>
      </c>
      <c r="F416" s="689" t="s">
        <v>2133</v>
      </c>
      <c r="G416" s="690">
        <f>ROUND(($G$414) * 61.09 * 1,0)</f>
        <v>873648</v>
      </c>
    </row>
    <row r="417" spans="1:7" ht="18.75" customHeight="1" x14ac:dyDescent="0.2">
      <c r="A417" s="686"/>
      <c r="B417" s="1192" t="s">
        <v>2134</v>
      </c>
      <c r="C417" s="1193"/>
      <c r="D417" s="1194"/>
      <c r="E417" s="689"/>
      <c r="F417" s="689"/>
      <c r="G417" s="690"/>
    </row>
    <row r="418" spans="1:7" ht="63.75" customHeight="1" x14ac:dyDescent="0.2">
      <c r="A418" s="686" t="s">
        <v>577</v>
      </c>
      <c r="B418" s="1123" t="s">
        <v>1722</v>
      </c>
      <c r="C418" s="1124"/>
      <c r="D418" s="1125"/>
      <c r="E418" s="689" t="s">
        <v>1723</v>
      </c>
      <c r="F418" s="689" t="s">
        <v>2135</v>
      </c>
      <c r="G418" s="690">
        <f>ROUND(($G$416) * 1/5.36 * 1,0)</f>
        <v>162994</v>
      </c>
    </row>
    <row r="419" spans="1:7" ht="63.75" customHeight="1" x14ac:dyDescent="0.2">
      <c r="A419" s="686" t="s">
        <v>581</v>
      </c>
      <c r="B419" s="1123" t="s">
        <v>1725</v>
      </c>
      <c r="C419" s="1124"/>
      <c r="D419" s="1125"/>
      <c r="E419" s="689" t="s">
        <v>1726</v>
      </c>
      <c r="F419" s="689" t="s">
        <v>2136</v>
      </c>
      <c r="G419" s="690">
        <f>ROUND(($G$418) * 1/1.266 * 1,0)</f>
        <v>128747</v>
      </c>
    </row>
    <row r="420" spans="1:7" ht="12.75" customHeight="1" x14ac:dyDescent="0.2">
      <c r="A420" s="686" t="s">
        <v>586</v>
      </c>
      <c r="B420" s="1120" t="s">
        <v>1728</v>
      </c>
      <c r="C420" s="1121"/>
      <c r="D420" s="1122"/>
      <c r="E420" s="687"/>
      <c r="F420" s="687"/>
      <c r="G420" s="688">
        <f>ROUND(($G$416),0)</f>
        <v>873648</v>
      </c>
    </row>
    <row r="421" spans="1:7" ht="39" customHeight="1" x14ac:dyDescent="0.2">
      <c r="A421" s="686"/>
      <c r="B421" s="1120" t="s">
        <v>1729</v>
      </c>
      <c r="C421" s="1121"/>
      <c r="D421" s="1122"/>
      <c r="E421" s="687" t="s">
        <v>1742</v>
      </c>
      <c r="F421" s="687"/>
      <c r="G421" s="688">
        <f>ROUND(G420*0.1,0)</f>
        <v>87365</v>
      </c>
    </row>
    <row r="423" spans="1:7" x14ac:dyDescent="0.2">
      <c r="B423" s="657" t="s">
        <v>1731</v>
      </c>
      <c r="E423" s="657" t="s">
        <v>1732</v>
      </c>
    </row>
    <row r="425" spans="1:7" x14ac:dyDescent="0.2">
      <c r="B425" s="657" t="s">
        <v>1733</v>
      </c>
      <c r="E425" s="657" t="s">
        <v>1734</v>
      </c>
    </row>
  </sheetData>
  <mergeCells count="433">
    <mergeCell ref="B418:D418"/>
    <mergeCell ref="B419:D419"/>
    <mergeCell ref="B420:D420"/>
    <mergeCell ref="B421:D421"/>
    <mergeCell ref="B412:D412"/>
    <mergeCell ref="B413:D413"/>
    <mergeCell ref="B414:D414"/>
    <mergeCell ref="B415:D415"/>
    <mergeCell ref="B416:D416"/>
    <mergeCell ref="B417:D417"/>
    <mergeCell ref="B406:D406"/>
    <mergeCell ref="B407:D407"/>
    <mergeCell ref="B408:D408"/>
    <mergeCell ref="B409:D409"/>
    <mergeCell ref="B410:D410"/>
    <mergeCell ref="B411:D411"/>
    <mergeCell ref="B400:D400"/>
    <mergeCell ref="B401:D401"/>
    <mergeCell ref="B402:D402"/>
    <mergeCell ref="B403:D403"/>
    <mergeCell ref="B404:D404"/>
    <mergeCell ref="B405:D405"/>
    <mergeCell ref="B394:D394"/>
    <mergeCell ref="B395:D395"/>
    <mergeCell ref="B396:D396"/>
    <mergeCell ref="B397:D397"/>
    <mergeCell ref="B398:D398"/>
    <mergeCell ref="B399:D399"/>
    <mergeCell ref="B388:D388"/>
    <mergeCell ref="B389:D389"/>
    <mergeCell ref="B390:D390"/>
    <mergeCell ref="B391:D391"/>
    <mergeCell ref="B392:D392"/>
    <mergeCell ref="B393:D393"/>
    <mergeCell ref="B382:D382"/>
    <mergeCell ref="B383:D383"/>
    <mergeCell ref="B384:D384"/>
    <mergeCell ref="B385:D385"/>
    <mergeCell ref="B386:D386"/>
    <mergeCell ref="B387:D387"/>
    <mergeCell ref="B376:D376"/>
    <mergeCell ref="B377:D377"/>
    <mergeCell ref="B378:D378"/>
    <mergeCell ref="B379:D379"/>
    <mergeCell ref="B380:D380"/>
    <mergeCell ref="B381:D381"/>
    <mergeCell ref="B370:D370"/>
    <mergeCell ref="B371:D371"/>
    <mergeCell ref="B372:D372"/>
    <mergeCell ref="B373:D373"/>
    <mergeCell ref="B374:D374"/>
    <mergeCell ref="B375:D375"/>
    <mergeCell ref="B364:D364"/>
    <mergeCell ref="B365:D365"/>
    <mergeCell ref="B366:D366"/>
    <mergeCell ref="B367:D367"/>
    <mergeCell ref="B368:D368"/>
    <mergeCell ref="B369:D369"/>
    <mergeCell ref="B358:D358"/>
    <mergeCell ref="B359:D359"/>
    <mergeCell ref="B360:D360"/>
    <mergeCell ref="B361:D361"/>
    <mergeCell ref="B362:D362"/>
    <mergeCell ref="B363:D363"/>
    <mergeCell ref="B352:D352"/>
    <mergeCell ref="B353:D353"/>
    <mergeCell ref="B354:D354"/>
    <mergeCell ref="B355:D355"/>
    <mergeCell ref="B356:D356"/>
    <mergeCell ref="B357:D357"/>
    <mergeCell ref="B346:D346"/>
    <mergeCell ref="B347:D347"/>
    <mergeCell ref="B348:D348"/>
    <mergeCell ref="B349:D349"/>
    <mergeCell ref="B350:D350"/>
    <mergeCell ref="B351:D351"/>
    <mergeCell ref="B340:D340"/>
    <mergeCell ref="B341:D341"/>
    <mergeCell ref="B342:D342"/>
    <mergeCell ref="B343:D343"/>
    <mergeCell ref="B344:D344"/>
    <mergeCell ref="B345:D345"/>
    <mergeCell ref="B334:D334"/>
    <mergeCell ref="B335:D335"/>
    <mergeCell ref="B336:D336"/>
    <mergeCell ref="B337:D337"/>
    <mergeCell ref="B338:D338"/>
    <mergeCell ref="B339:D339"/>
    <mergeCell ref="B328:D328"/>
    <mergeCell ref="B329:D329"/>
    <mergeCell ref="B330:D330"/>
    <mergeCell ref="B331:D331"/>
    <mergeCell ref="B332:D332"/>
    <mergeCell ref="B333:D333"/>
    <mergeCell ref="B322:D322"/>
    <mergeCell ref="B323:D323"/>
    <mergeCell ref="B324:D324"/>
    <mergeCell ref="B325:D325"/>
    <mergeCell ref="B326:D326"/>
    <mergeCell ref="B327:D327"/>
    <mergeCell ref="B316:D316"/>
    <mergeCell ref="B317:D317"/>
    <mergeCell ref="B318:D318"/>
    <mergeCell ref="B319:D319"/>
    <mergeCell ref="B320:D320"/>
    <mergeCell ref="B321:D321"/>
    <mergeCell ref="B310:D310"/>
    <mergeCell ref="B311:D311"/>
    <mergeCell ref="B312:D312"/>
    <mergeCell ref="B313:D313"/>
    <mergeCell ref="B314:D314"/>
    <mergeCell ref="B315:D315"/>
    <mergeCell ref="A304:G304"/>
    <mergeCell ref="B305:D305"/>
    <mergeCell ref="B306:D306"/>
    <mergeCell ref="B307:D307"/>
    <mergeCell ref="B308:D308"/>
    <mergeCell ref="B309:D309"/>
    <mergeCell ref="B298:D298"/>
    <mergeCell ref="B299:D299"/>
    <mergeCell ref="B300:D300"/>
    <mergeCell ref="B301:D301"/>
    <mergeCell ref="B302:D302"/>
    <mergeCell ref="A303:G303"/>
    <mergeCell ref="B292:D292"/>
    <mergeCell ref="B293:D293"/>
    <mergeCell ref="B294:D294"/>
    <mergeCell ref="B295:D295"/>
    <mergeCell ref="B296:D296"/>
    <mergeCell ref="B297:D297"/>
    <mergeCell ref="B286:D286"/>
    <mergeCell ref="B287:D287"/>
    <mergeCell ref="B288:D288"/>
    <mergeCell ref="B289:D289"/>
    <mergeCell ref="B290:D290"/>
    <mergeCell ref="B291:D291"/>
    <mergeCell ref="B280:D280"/>
    <mergeCell ref="B281:D281"/>
    <mergeCell ref="B282:D282"/>
    <mergeCell ref="B283:D283"/>
    <mergeCell ref="B284:D284"/>
    <mergeCell ref="B285:D285"/>
    <mergeCell ref="B274:D274"/>
    <mergeCell ref="B275:D275"/>
    <mergeCell ref="B276:D276"/>
    <mergeCell ref="B277:D277"/>
    <mergeCell ref="B278:D278"/>
    <mergeCell ref="B279:D279"/>
    <mergeCell ref="B268:D268"/>
    <mergeCell ref="B269:D269"/>
    <mergeCell ref="B270:D270"/>
    <mergeCell ref="B271:D271"/>
    <mergeCell ref="B272:D272"/>
    <mergeCell ref="B273:D273"/>
    <mergeCell ref="B262:D262"/>
    <mergeCell ref="B263:D263"/>
    <mergeCell ref="B264:D264"/>
    <mergeCell ref="B265:D265"/>
    <mergeCell ref="B266:D266"/>
    <mergeCell ref="B267:D267"/>
    <mergeCell ref="B256:D256"/>
    <mergeCell ref="B257:D257"/>
    <mergeCell ref="B258:D258"/>
    <mergeCell ref="B259:D259"/>
    <mergeCell ref="B260:D260"/>
    <mergeCell ref="B261:D261"/>
    <mergeCell ref="B250:D250"/>
    <mergeCell ref="B251:D251"/>
    <mergeCell ref="B252:D252"/>
    <mergeCell ref="B253:D253"/>
    <mergeCell ref="B254:D254"/>
    <mergeCell ref="B255:D255"/>
    <mergeCell ref="B244:D244"/>
    <mergeCell ref="B245:D245"/>
    <mergeCell ref="B246:D246"/>
    <mergeCell ref="B247:D247"/>
    <mergeCell ref="B248:D248"/>
    <mergeCell ref="B249:D249"/>
    <mergeCell ref="B238:D238"/>
    <mergeCell ref="B239:D239"/>
    <mergeCell ref="B240:D240"/>
    <mergeCell ref="B241:D241"/>
    <mergeCell ref="B242:D242"/>
    <mergeCell ref="B243:D243"/>
    <mergeCell ref="B232:D232"/>
    <mergeCell ref="B233:D233"/>
    <mergeCell ref="B234:D234"/>
    <mergeCell ref="B235:D235"/>
    <mergeCell ref="B236:D236"/>
    <mergeCell ref="B237:D237"/>
    <mergeCell ref="B226:D226"/>
    <mergeCell ref="B227:D227"/>
    <mergeCell ref="B228:D228"/>
    <mergeCell ref="B229:D229"/>
    <mergeCell ref="B230:D230"/>
    <mergeCell ref="B231:D231"/>
    <mergeCell ref="A222:G222"/>
    <mergeCell ref="A223:G223"/>
    <mergeCell ref="A224:A225"/>
    <mergeCell ref="B224:D225"/>
    <mergeCell ref="E224:E225"/>
    <mergeCell ref="F224:F225"/>
    <mergeCell ref="G224:G225"/>
    <mergeCell ref="B216:D216"/>
    <mergeCell ref="B217:D217"/>
    <mergeCell ref="B218:D218"/>
    <mergeCell ref="B219:D219"/>
    <mergeCell ref="B220:D220"/>
    <mergeCell ref="B221:D221"/>
    <mergeCell ref="B210:D210"/>
    <mergeCell ref="B211:D211"/>
    <mergeCell ref="B212:D212"/>
    <mergeCell ref="B213:D213"/>
    <mergeCell ref="B214:D214"/>
    <mergeCell ref="B215:D215"/>
    <mergeCell ref="B204:D204"/>
    <mergeCell ref="B205:D205"/>
    <mergeCell ref="B206:D206"/>
    <mergeCell ref="B207:D207"/>
    <mergeCell ref="B208:D208"/>
    <mergeCell ref="B209:D209"/>
    <mergeCell ref="B198:D198"/>
    <mergeCell ref="B199:D199"/>
    <mergeCell ref="B200:D200"/>
    <mergeCell ref="B201:D201"/>
    <mergeCell ref="B202:D202"/>
    <mergeCell ref="B203:D203"/>
    <mergeCell ref="B192:D192"/>
    <mergeCell ref="B193:D193"/>
    <mergeCell ref="B194:D194"/>
    <mergeCell ref="B195:D195"/>
    <mergeCell ref="B196:D196"/>
    <mergeCell ref="B197:D197"/>
    <mergeCell ref="B186:D186"/>
    <mergeCell ref="B187:D187"/>
    <mergeCell ref="B188:D188"/>
    <mergeCell ref="B189:D189"/>
    <mergeCell ref="B190:D190"/>
    <mergeCell ref="B191:D191"/>
    <mergeCell ref="B180:D180"/>
    <mergeCell ref="B181:D181"/>
    <mergeCell ref="B182:D182"/>
    <mergeCell ref="B183:D183"/>
    <mergeCell ref="B184:D184"/>
    <mergeCell ref="B185:D185"/>
    <mergeCell ref="B174:D174"/>
    <mergeCell ref="B175:D175"/>
    <mergeCell ref="B176:D176"/>
    <mergeCell ref="B177:D177"/>
    <mergeCell ref="B178:D178"/>
    <mergeCell ref="A179:G179"/>
    <mergeCell ref="B168:D168"/>
    <mergeCell ref="B169:D169"/>
    <mergeCell ref="B170:D170"/>
    <mergeCell ref="B171:D171"/>
    <mergeCell ref="B172:D172"/>
    <mergeCell ref="B173:D173"/>
    <mergeCell ref="B162:D162"/>
    <mergeCell ref="B163:D163"/>
    <mergeCell ref="B164:D164"/>
    <mergeCell ref="B165:D165"/>
    <mergeCell ref="B166:D166"/>
    <mergeCell ref="B167:D167"/>
    <mergeCell ref="B156:D156"/>
    <mergeCell ref="B157:D157"/>
    <mergeCell ref="B158:D158"/>
    <mergeCell ref="B159:D159"/>
    <mergeCell ref="B160:D160"/>
    <mergeCell ref="B161:D161"/>
    <mergeCell ref="B150:D150"/>
    <mergeCell ref="B151:D151"/>
    <mergeCell ref="B152:D152"/>
    <mergeCell ref="B153:D153"/>
    <mergeCell ref="B154:D154"/>
    <mergeCell ref="B155:D155"/>
    <mergeCell ref="B144:D144"/>
    <mergeCell ref="B145:D145"/>
    <mergeCell ref="B146:D146"/>
    <mergeCell ref="B147:D147"/>
    <mergeCell ref="B148:D148"/>
    <mergeCell ref="B149:D149"/>
    <mergeCell ref="B138:D138"/>
    <mergeCell ref="B139:D139"/>
    <mergeCell ref="B140:D140"/>
    <mergeCell ref="A141:G141"/>
    <mergeCell ref="A142:G142"/>
    <mergeCell ref="B143:D143"/>
    <mergeCell ref="B132:D132"/>
    <mergeCell ref="B133:D133"/>
    <mergeCell ref="B134:D134"/>
    <mergeCell ref="B135:D135"/>
    <mergeCell ref="B136:D136"/>
    <mergeCell ref="B137:D137"/>
    <mergeCell ref="B127:D127"/>
    <mergeCell ref="B128:D128"/>
    <mergeCell ref="A129:G129"/>
    <mergeCell ref="A130:A131"/>
    <mergeCell ref="B130:D131"/>
    <mergeCell ref="E130:E131"/>
    <mergeCell ref="F130:F131"/>
    <mergeCell ref="G130:G131"/>
    <mergeCell ref="B121:D121"/>
    <mergeCell ref="B122:D122"/>
    <mergeCell ref="B123:D123"/>
    <mergeCell ref="B124:D124"/>
    <mergeCell ref="B125:D125"/>
    <mergeCell ref="B126:D126"/>
    <mergeCell ref="G114:G115"/>
    <mergeCell ref="B116:D116"/>
    <mergeCell ref="B117:D117"/>
    <mergeCell ref="B118:D118"/>
    <mergeCell ref="B119:D119"/>
    <mergeCell ref="B120:D120"/>
    <mergeCell ref="B112:D112"/>
    <mergeCell ref="B113:D113"/>
    <mergeCell ref="A114:A115"/>
    <mergeCell ref="B114:D115"/>
    <mergeCell ref="E114:E115"/>
    <mergeCell ref="F114:F115"/>
    <mergeCell ref="B106:D106"/>
    <mergeCell ref="B107:D107"/>
    <mergeCell ref="B108:D108"/>
    <mergeCell ref="B109:D109"/>
    <mergeCell ref="B110:D110"/>
    <mergeCell ref="B111:D111"/>
    <mergeCell ref="G99:G100"/>
    <mergeCell ref="B101:D101"/>
    <mergeCell ref="B102:D102"/>
    <mergeCell ref="B103:D103"/>
    <mergeCell ref="B104:D104"/>
    <mergeCell ref="B105:D105"/>
    <mergeCell ref="B97:D97"/>
    <mergeCell ref="B98:D98"/>
    <mergeCell ref="A99:A100"/>
    <mergeCell ref="B99:D100"/>
    <mergeCell ref="E99:E100"/>
    <mergeCell ref="F99:F100"/>
    <mergeCell ref="B91:D91"/>
    <mergeCell ref="B92:D92"/>
    <mergeCell ref="B93:D93"/>
    <mergeCell ref="B94:D94"/>
    <mergeCell ref="B95:D95"/>
    <mergeCell ref="B96:D96"/>
    <mergeCell ref="G84:G85"/>
    <mergeCell ref="B86:D86"/>
    <mergeCell ref="B87:D87"/>
    <mergeCell ref="B88:D88"/>
    <mergeCell ref="B89:D89"/>
    <mergeCell ref="B90:D90"/>
    <mergeCell ref="B82:D82"/>
    <mergeCell ref="B83:D83"/>
    <mergeCell ref="A84:A85"/>
    <mergeCell ref="B84:D85"/>
    <mergeCell ref="E84:E85"/>
    <mergeCell ref="F84:F85"/>
    <mergeCell ref="B76:D76"/>
    <mergeCell ref="B77:D77"/>
    <mergeCell ref="B78:D78"/>
    <mergeCell ref="B79:D79"/>
    <mergeCell ref="B80:D80"/>
    <mergeCell ref="B81:D81"/>
    <mergeCell ref="B70:D70"/>
    <mergeCell ref="B71:D71"/>
    <mergeCell ref="B72:D72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B46:D46"/>
    <mergeCell ref="B47:D47"/>
    <mergeCell ref="B48:D48"/>
    <mergeCell ref="B49:D49"/>
    <mergeCell ref="A50:G50"/>
    <mergeCell ref="B51:D51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A15:G15"/>
    <mergeCell ref="A17:G17"/>
    <mergeCell ref="B18:D18"/>
    <mergeCell ref="B19:D19"/>
    <mergeCell ref="B20:D20"/>
    <mergeCell ref="B21:D21"/>
    <mergeCell ref="A9:C9"/>
    <mergeCell ref="D9:G9"/>
    <mergeCell ref="A11:C11"/>
    <mergeCell ref="D11:G12"/>
    <mergeCell ref="A13:C13"/>
    <mergeCell ref="D13:G14"/>
    <mergeCell ref="A1:B1"/>
    <mergeCell ref="C1:G1"/>
    <mergeCell ref="B4:F4"/>
    <mergeCell ref="B5:F5"/>
    <mergeCell ref="A7:C7"/>
    <mergeCell ref="D7:G7"/>
  </mergeCells>
  <pageMargins left="0.39374999999999999" right="0.39374999999999999" top="0.59027777777777779" bottom="0.82777777777777783" header="0.51180555555555562" footer="0.59027777777777779"/>
  <pageSetup paperSize="9" scale="99" orientation="portrait" useFirstPageNumber="1" horizontalDpi="300" verticalDpi="300" r:id="rId1"/>
  <headerFooter alignWithMargins="0"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0"/>
  <sheetViews>
    <sheetView topLeftCell="A201" zoomScaleNormal="100" workbookViewId="0">
      <selection activeCell="D233" sqref="D233"/>
    </sheetView>
  </sheetViews>
  <sheetFormatPr defaultRowHeight="15" outlineLevelRow="1" x14ac:dyDescent="0.25"/>
  <cols>
    <col min="1" max="1" width="9.140625" style="453"/>
    <col min="2" max="2" width="45" style="453" customWidth="1"/>
    <col min="3" max="3" width="20.5703125" style="518" customWidth="1"/>
    <col min="4" max="4" width="11" style="453" customWidth="1"/>
    <col min="5" max="5" width="29.42578125" style="453" customWidth="1"/>
    <col min="6" max="6" width="12.140625" style="453" customWidth="1"/>
    <col min="7" max="7" width="12.7109375" style="453" customWidth="1"/>
    <col min="8" max="8" width="11.28515625" style="453" customWidth="1"/>
    <col min="9" max="9" width="12.42578125" style="453" customWidth="1"/>
    <col min="10" max="10" width="17.85546875" style="453" customWidth="1"/>
    <col min="11" max="11" width="15" style="453" customWidth="1"/>
    <col min="12" max="12" width="16.42578125" style="796" customWidth="1"/>
    <col min="13" max="13" width="13.85546875" style="796" customWidth="1"/>
    <col min="14" max="14" width="12.42578125" style="453" bestFit="1" customWidth="1"/>
    <col min="15" max="15" width="13.42578125" style="453" customWidth="1"/>
    <col min="16" max="16384" width="9.140625" style="453"/>
  </cols>
  <sheetData>
    <row r="1" spans="1:14" ht="30.75" customHeight="1" x14ac:dyDescent="0.25">
      <c r="A1" s="1196" t="s">
        <v>1278</v>
      </c>
      <c r="B1" s="1197"/>
      <c r="C1" s="1197"/>
      <c r="D1" s="1197"/>
      <c r="E1" s="1197"/>
      <c r="F1" s="1197"/>
      <c r="G1" s="1197"/>
      <c r="H1" s="1197"/>
      <c r="I1" s="1197"/>
      <c r="J1" s="1197"/>
      <c r="K1" s="1197"/>
      <c r="L1" s="1197"/>
      <c r="M1" s="1197"/>
      <c r="N1" s="1197"/>
    </row>
    <row r="3" spans="1:14" x14ac:dyDescent="0.25">
      <c r="A3" s="1198" t="s">
        <v>1263</v>
      </c>
      <c r="B3" s="1198" t="s">
        <v>1264</v>
      </c>
      <c r="C3" s="1199" t="s">
        <v>1265</v>
      </c>
      <c r="D3" s="1201" t="s">
        <v>1266</v>
      </c>
      <c r="E3" s="1202" t="s">
        <v>1267</v>
      </c>
      <c r="F3" s="1203"/>
      <c r="G3" s="1203"/>
      <c r="H3" s="1203"/>
      <c r="I3" s="1204"/>
      <c r="J3" s="1199" t="s">
        <v>1268</v>
      </c>
      <c r="K3" s="1199" t="s">
        <v>2373</v>
      </c>
      <c r="L3" s="1205" t="s">
        <v>1269</v>
      </c>
      <c r="M3" s="1205" t="s">
        <v>1270</v>
      </c>
    </row>
    <row r="4" spans="1:14" ht="99.75" customHeight="1" x14ac:dyDescent="0.25">
      <c r="A4" s="1198"/>
      <c r="B4" s="1198"/>
      <c r="C4" s="1200"/>
      <c r="D4" s="1201"/>
      <c r="E4" s="514" t="s">
        <v>1271</v>
      </c>
      <c r="F4" s="441" t="s">
        <v>1272</v>
      </c>
      <c r="G4" s="515" t="s">
        <v>1273</v>
      </c>
      <c r="H4" s="515" t="s">
        <v>1266</v>
      </c>
      <c r="I4" s="515" t="s">
        <v>1274</v>
      </c>
      <c r="J4" s="1200"/>
      <c r="K4" s="1200"/>
      <c r="L4" s="1206"/>
      <c r="M4" s="1206"/>
    </row>
    <row r="5" spans="1:14" x14ac:dyDescent="0.25">
      <c r="A5" s="520"/>
      <c r="B5" s="521" t="s">
        <v>63</v>
      </c>
      <c r="C5" s="543"/>
      <c r="D5" s="521"/>
      <c r="E5" s="522"/>
      <c r="F5" s="522"/>
      <c r="G5" s="522"/>
      <c r="H5" s="522"/>
      <c r="I5" s="522"/>
      <c r="J5" s="522"/>
      <c r="K5" s="522"/>
      <c r="L5" s="804"/>
      <c r="M5" s="804"/>
    </row>
    <row r="6" spans="1:14" x14ac:dyDescent="0.25">
      <c r="A6" s="523" t="s">
        <v>365</v>
      </c>
      <c r="B6" s="397" t="s">
        <v>65</v>
      </c>
      <c r="C6" s="524" t="s">
        <v>0</v>
      </c>
      <c r="D6" s="525">
        <v>0.1</v>
      </c>
      <c r="E6" s="522"/>
      <c r="F6" s="522"/>
      <c r="G6" s="522"/>
      <c r="H6" s="522"/>
      <c r="I6" s="522"/>
      <c r="J6" s="522"/>
      <c r="K6" s="522"/>
      <c r="L6" s="804"/>
      <c r="M6" s="804"/>
    </row>
    <row r="7" spans="1:14" x14ac:dyDescent="0.25">
      <c r="A7" s="523" t="s">
        <v>366</v>
      </c>
      <c r="B7" s="397" t="s">
        <v>67</v>
      </c>
      <c r="C7" s="538" t="str">
        <f>'Расчёт по УНЦС'!D15</f>
        <v>100 п.м</v>
      </c>
      <c r="D7" s="525">
        <f>'Расчёт по УНЦС'!E15</f>
        <v>20</v>
      </c>
      <c r="E7" s="526" t="s">
        <v>1275</v>
      </c>
      <c r="F7" s="522"/>
      <c r="G7" s="522"/>
      <c r="H7" s="522"/>
      <c r="I7" s="522"/>
      <c r="J7" s="522"/>
      <c r="K7" s="802">
        <f>$L$227*$L$228*$L$229</f>
        <v>1.1686530960000003</v>
      </c>
      <c r="L7" s="804">
        <f>'Расчёт по УНЦС'!G19*K7</f>
        <v>23381.664889647025</v>
      </c>
      <c r="M7" s="804">
        <f t="shared" ref="M7:M26" si="0">L7*1.2</f>
        <v>28057.997867576429</v>
      </c>
    </row>
    <row r="8" spans="1:14" ht="38.25" x14ac:dyDescent="0.25">
      <c r="A8" s="523" t="s">
        <v>367</v>
      </c>
      <c r="B8" s="397" t="s">
        <v>1446</v>
      </c>
      <c r="C8" s="538" t="str">
        <f>'Расчёт по УНЦС'!D45</f>
        <v>1 км</v>
      </c>
      <c r="D8" s="525">
        <f>'Расчёт по УНЦС'!E45</f>
        <v>2.5</v>
      </c>
      <c r="E8" s="526" t="s">
        <v>1275</v>
      </c>
      <c r="F8" s="522"/>
      <c r="G8" s="522"/>
      <c r="H8" s="522"/>
      <c r="I8" s="522"/>
      <c r="J8" s="522"/>
      <c r="K8" s="802">
        <f t="shared" ref="K8:K22" si="1">$L$227*$L$228*$L$229</f>
        <v>1.1686530960000003</v>
      </c>
      <c r="L8" s="804">
        <f>'Расчёт по УНЦС'!G49*K8</f>
        <v>59880.680261864298</v>
      </c>
      <c r="M8" s="804">
        <f t="shared" si="0"/>
        <v>71856.816314237149</v>
      </c>
    </row>
    <row r="9" spans="1:14" hidden="1" outlineLevel="1" x14ac:dyDescent="0.25">
      <c r="A9" s="523" t="s">
        <v>1130</v>
      </c>
      <c r="B9" s="397" t="s">
        <v>71</v>
      </c>
      <c r="C9" s="524"/>
      <c r="D9" s="525"/>
      <c r="E9" s="526" t="s">
        <v>1275</v>
      </c>
      <c r="F9" s="522"/>
      <c r="G9" s="522"/>
      <c r="H9" s="522"/>
      <c r="I9" s="522"/>
      <c r="J9" s="522"/>
      <c r="K9" s="802">
        <f t="shared" si="1"/>
        <v>1.1686530960000003</v>
      </c>
      <c r="L9" s="804"/>
      <c r="M9" s="804">
        <f t="shared" si="0"/>
        <v>0</v>
      </c>
    </row>
    <row r="10" spans="1:14" hidden="1" outlineLevel="1" x14ac:dyDescent="0.25">
      <c r="A10" s="523" t="s">
        <v>1133</v>
      </c>
      <c r="B10" s="397" t="s">
        <v>628</v>
      </c>
      <c r="C10" s="524" t="s">
        <v>211</v>
      </c>
      <c r="D10" s="525">
        <v>4</v>
      </c>
      <c r="E10" s="526" t="s">
        <v>1275</v>
      </c>
      <c r="F10" s="522"/>
      <c r="G10" s="522"/>
      <c r="H10" s="522"/>
      <c r="I10" s="522"/>
      <c r="J10" s="522"/>
      <c r="K10" s="802">
        <f t="shared" si="1"/>
        <v>1.1686530960000003</v>
      </c>
      <c r="L10" s="804"/>
      <c r="M10" s="804">
        <f t="shared" si="0"/>
        <v>0</v>
      </c>
    </row>
    <row r="11" spans="1:14" ht="25.5" hidden="1" outlineLevel="1" x14ac:dyDescent="0.25">
      <c r="A11" s="523" t="s">
        <v>1136</v>
      </c>
      <c r="B11" s="397" t="s">
        <v>630</v>
      </c>
      <c r="C11" s="524" t="s">
        <v>211</v>
      </c>
      <c r="D11" s="525">
        <v>4</v>
      </c>
      <c r="E11" s="526" t="s">
        <v>1275</v>
      </c>
      <c r="F11" s="522"/>
      <c r="G11" s="522"/>
      <c r="H11" s="522"/>
      <c r="I11" s="522"/>
      <c r="J11" s="522"/>
      <c r="K11" s="802">
        <f t="shared" si="1"/>
        <v>1.1686530960000003</v>
      </c>
      <c r="L11" s="804"/>
      <c r="M11" s="804">
        <f t="shared" si="0"/>
        <v>0</v>
      </c>
    </row>
    <row r="12" spans="1:14" hidden="1" outlineLevel="1" x14ac:dyDescent="0.25">
      <c r="A12" s="523" t="s">
        <v>1310</v>
      </c>
      <c r="B12" s="528" t="s">
        <v>632</v>
      </c>
      <c r="C12" s="529" t="s">
        <v>211</v>
      </c>
      <c r="D12" s="530"/>
      <c r="E12" s="526" t="s">
        <v>1275</v>
      </c>
      <c r="F12" s="522"/>
      <c r="G12" s="522"/>
      <c r="H12" s="522"/>
      <c r="I12" s="522"/>
      <c r="J12" s="522"/>
      <c r="K12" s="802">
        <f t="shared" si="1"/>
        <v>1.1686530960000003</v>
      </c>
      <c r="L12" s="804"/>
      <c r="M12" s="804">
        <f t="shared" si="0"/>
        <v>0</v>
      </c>
    </row>
    <row r="13" spans="1:14" hidden="1" outlineLevel="1" x14ac:dyDescent="0.25">
      <c r="A13" s="523" t="s">
        <v>1311</v>
      </c>
      <c r="B13" s="528" t="s">
        <v>634</v>
      </c>
      <c r="C13" s="529" t="s">
        <v>211</v>
      </c>
      <c r="D13" s="530"/>
      <c r="E13" s="526" t="s">
        <v>1275</v>
      </c>
      <c r="F13" s="522"/>
      <c r="G13" s="522"/>
      <c r="H13" s="522"/>
      <c r="I13" s="522"/>
      <c r="J13" s="522"/>
      <c r="K13" s="802">
        <f t="shared" si="1"/>
        <v>1.1686530960000003</v>
      </c>
      <c r="L13" s="804"/>
      <c r="M13" s="804">
        <f t="shared" si="0"/>
        <v>0</v>
      </c>
    </row>
    <row r="14" spans="1:14" collapsed="1" x14ac:dyDescent="0.25">
      <c r="A14" s="523" t="s">
        <v>1312</v>
      </c>
      <c r="B14" s="397" t="s">
        <v>73</v>
      </c>
      <c r="C14" s="538" t="str">
        <f>'Расчёт по УНЦС'!D33</f>
        <v>100 м2</v>
      </c>
      <c r="D14" s="525">
        <f>'Расчёт по УНЦС'!E33</f>
        <v>10</v>
      </c>
      <c r="E14" s="526" t="s">
        <v>1275</v>
      </c>
      <c r="F14" s="522"/>
      <c r="G14" s="522"/>
      <c r="H14" s="522"/>
      <c r="I14" s="522"/>
      <c r="J14" s="522"/>
      <c r="K14" s="802">
        <f t="shared" si="1"/>
        <v>1.1686530960000003</v>
      </c>
      <c r="L14" s="804">
        <f>'Расчёт по УНЦС'!G37*K14</f>
        <v>197.18875347915747</v>
      </c>
      <c r="M14" s="804">
        <f t="shared" si="0"/>
        <v>236.62650417498895</v>
      </c>
    </row>
    <row r="15" spans="1:14" x14ac:dyDescent="0.25">
      <c r="A15" s="523" t="s">
        <v>1313</v>
      </c>
      <c r="B15" s="397" t="s">
        <v>75</v>
      </c>
      <c r="C15" s="538" t="str">
        <f>'Расчёт по УНЦС'!D27</f>
        <v>1 пункт</v>
      </c>
      <c r="D15" s="525">
        <f>'Расчёт по УНЦС'!E27</f>
        <v>1</v>
      </c>
      <c r="E15" s="526" t="s">
        <v>1275</v>
      </c>
      <c r="F15" s="522"/>
      <c r="G15" s="522"/>
      <c r="H15" s="522"/>
      <c r="I15" s="522"/>
      <c r="J15" s="522"/>
      <c r="K15" s="802">
        <f t="shared" si="1"/>
        <v>1.1686530960000003</v>
      </c>
      <c r="L15" s="804">
        <f>'Расчёт по УНЦС'!G31*K15</f>
        <v>1116.0973825876147</v>
      </c>
      <c r="M15" s="804">
        <f t="shared" si="0"/>
        <v>1339.3168591051376</v>
      </c>
    </row>
    <row r="16" spans="1:14" x14ac:dyDescent="0.25">
      <c r="A16" s="523" t="s">
        <v>797</v>
      </c>
      <c r="B16" s="397" t="s">
        <v>77</v>
      </c>
      <c r="C16" s="524" t="str">
        <f>'Расчёт по УНЦС'!D21</f>
        <v>шт.</v>
      </c>
      <c r="D16" s="525">
        <f>'Расчёт по УНЦС'!E21</f>
        <v>2</v>
      </c>
      <c r="E16" s="526" t="s">
        <v>1275</v>
      </c>
      <c r="F16" s="522"/>
      <c r="G16" s="522"/>
      <c r="H16" s="522"/>
      <c r="I16" s="522"/>
      <c r="J16" s="522"/>
      <c r="K16" s="802">
        <f t="shared" si="1"/>
        <v>1.1686530960000003</v>
      </c>
      <c r="L16" s="804">
        <f>'Расчёт по УНЦС'!G25*K16</f>
        <v>191.68807164233132</v>
      </c>
      <c r="M16" s="804">
        <f t="shared" si="0"/>
        <v>230.02568597079758</v>
      </c>
    </row>
    <row r="17" spans="1:14" x14ac:dyDescent="0.25">
      <c r="A17" s="523" t="s">
        <v>803</v>
      </c>
      <c r="B17" s="397" t="s">
        <v>79</v>
      </c>
      <c r="C17" s="538" t="str">
        <f>'Расчёт по УНЦС'!D39</f>
        <v>100 м2</v>
      </c>
      <c r="D17" s="540">
        <f>'Расчёт по УНЦС'!E39</f>
        <v>10</v>
      </c>
      <c r="E17" s="526" t="s">
        <v>1275</v>
      </c>
      <c r="F17" s="522"/>
      <c r="G17" s="522"/>
      <c r="H17" s="522"/>
      <c r="I17" s="522"/>
      <c r="J17" s="522"/>
      <c r="K17" s="802">
        <f t="shared" si="1"/>
        <v>1.1686530960000003</v>
      </c>
      <c r="L17" s="804">
        <f>'Расчёт по УНЦС'!G43*K17</f>
        <v>1910.1749382123414</v>
      </c>
      <c r="M17" s="804">
        <f t="shared" si="0"/>
        <v>2292.2099258548096</v>
      </c>
    </row>
    <row r="18" spans="1:14" x14ac:dyDescent="0.25">
      <c r="A18" s="523" t="s">
        <v>1314</v>
      </c>
      <c r="B18" s="531" t="s">
        <v>82</v>
      </c>
      <c r="C18" s="541" t="str">
        <f>'Расчёт по УНЦС'!D51</f>
        <v xml:space="preserve">1 м2  </v>
      </c>
      <c r="D18" s="542">
        <f>4*20</f>
        <v>80</v>
      </c>
      <c r="E18" s="526" t="s">
        <v>1275</v>
      </c>
      <c r="F18" s="522"/>
      <c r="G18" s="522"/>
      <c r="H18" s="522"/>
      <c r="I18" s="522"/>
      <c r="J18" s="522"/>
      <c r="K18" s="802">
        <f t="shared" si="1"/>
        <v>1.1686530960000003</v>
      </c>
      <c r="L18" s="804">
        <f>'Расчёт по УНЦС'!G55*K18</f>
        <v>3920.8393643977956</v>
      </c>
      <c r="M18" s="804">
        <f t="shared" si="0"/>
        <v>4705.0072372773548</v>
      </c>
    </row>
    <row r="19" spans="1:14" x14ac:dyDescent="0.25">
      <c r="A19" s="523" t="s">
        <v>1315</v>
      </c>
      <c r="B19" s="397" t="s">
        <v>679</v>
      </c>
      <c r="C19" s="538" t="str">
        <f>'Расчёт по УНЦС'!D57</f>
        <v>100 м</v>
      </c>
      <c r="D19" s="525">
        <f>'Расчёт по УНЦС'!E57</f>
        <v>2</v>
      </c>
      <c r="E19" s="526" t="s">
        <v>1275</v>
      </c>
      <c r="F19" s="522"/>
      <c r="G19" s="522"/>
      <c r="H19" s="522"/>
      <c r="I19" s="522"/>
      <c r="J19" s="522"/>
      <c r="K19" s="802">
        <f t="shared" si="1"/>
        <v>1.1686530960000003</v>
      </c>
      <c r="L19" s="804">
        <f>'Расчёт по УНЦС'!G62*K19</f>
        <v>1020.6777548247924</v>
      </c>
      <c r="M19" s="804">
        <f t="shared" si="0"/>
        <v>1224.8133057897508</v>
      </c>
    </row>
    <row r="20" spans="1:14" hidden="1" outlineLevel="1" x14ac:dyDescent="0.25">
      <c r="A20" s="523" t="s">
        <v>1316</v>
      </c>
      <c r="B20" s="532" t="s">
        <v>799</v>
      </c>
      <c r="C20" s="524" t="s">
        <v>660</v>
      </c>
      <c r="D20" s="525">
        <v>150</v>
      </c>
      <c r="E20" s="526" t="s">
        <v>1275</v>
      </c>
      <c r="F20" s="522"/>
      <c r="G20" s="522"/>
      <c r="H20" s="522"/>
      <c r="I20" s="522"/>
      <c r="J20" s="522"/>
      <c r="K20" s="802">
        <f t="shared" si="1"/>
        <v>1.1686530960000003</v>
      </c>
      <c r="L20" s="804"/>
      <c r="M20" s="804">
        <f t="shared" si="0"/>
        <v>0</v>
      </c>
    </row>
    <row r="21" spans="1:14" hidden="1" outlineLevel="1" x14ac:dyDescent="0.25">
      <c r="A21" s="523" t="s">
        <v>1317</v>
      </c>
      <c r="B21" s="532" t="s">
        <v>683</v>
      </c>
      <c r="C21" s="524" t="s">
        <v>660</v>
      </c>
      <c r="D21" s="525">
        <v>200</v>
      </c>
      <c r="E21" s="526" t="s">
        <v>1275</v>
      </c>
      <c r="F21" s="522"/>
      <c r="G21" s="522"/>
      <c r="H21" s="522"/>
      <c r="I21" s="522"/>
      <c r="J21" s="522"/>
      <c r="K21" s="802">
        <f t="shared" si="1"/>
        <v>1.1686530960000003</v>
      </c>
      <c r="L21" s="804"/>
      <c r="M21" s="804">
        <f t="shared" si="0"/>
        <v>0</v>
      </c>
    </row>
    <row r="22" spans="1:14" collapsed="1" x14ac:dyDescent="0.25">
      <c r="A22" s="523" t="s">
        <v>1318</v>
      </c>
      <c r="B22" s="532" t="s">
        <v>1447</v>
      </c>
      <c r="C22" s="538" t="str">
        <f>'Расчёт по УНЦС'!D64</f>
        <v>1 м</v>
      </c>
      <c r="D22" s="525">
        <f>'Расчёт по УНЦС'!E64</f>
        <v>200</v>
      </c>
      <c r="E22" s="526" t="s">
        <v>1275</v>
      </c>
      <c r="F22" s="522"/>
      <c r="G22" s="522"/>
      <c r="H22" s="522"/>
      <c r="I22" s="522"/>
      <c r="J22" s="522"/>
      <c r="K22" s="802">
        <f t="shared" si="1"/>
        <v>1.1686530960000003</v>
      </c>
      <c r="L22" s="804">
        <f>'Расчёт по УНЦС'!G68*K22</f>
        <v>4581.468198608889</v>
      </c>
      <c r="M22" s="804">
        <f>L22*1.2</f>
        <v>5497.7618383306663</v>
      </c>
    </row>
    <row r="23" spans="1:14" hidden="1" outlineLevel="1" x14ac:dyDescent="0.25">
      <c r="A23" s="523" t="s">
        <v>1319</v>
      </c>
      <c r="B23" s="397" t="s">
        <v>689</v>
      </c>
      <c r="C23" s="524"/>
      <c r="D23" s="525"/>
      <c r="E23" s="526" t="s">
        <v>1275</v>
      </c>
      <c r="F23" s="522"/>
      <c r="G23" s="522"/>
      <c r="H23" s="522"/>
      <c r="I23" s="522"/>
      <c r="J23" s="522"/>
      <c r="K23" s="522"/>
      <c r="L23" s="804"/>
      <c r="M23" s="804">
        <f t="shared" si="0"/>
        <v>0</v>
      </c>
    </row>
    <row r="24" spans="1:14" ht="51" hidden="1" outlineLevel="1" x14ac:dyDescent="0.25">
      <c r="A24" s="523" t="s">
        <v>1320</v>
      </c>
      <c r="B24" s="397" t="s">
        <v>805</v>
      </c>
      <c r="C24" s="524" t="s">
        <v>692</v>
      </c>
      <c r="D24" s="524" t="s">
        <v>806</v>
      </c>
      <c r="E24" s="526" t="s">
        <v>1275</v>
      </c>
      <c r="F24" s="522"/>
      <c r="G24" s="522"/>
      <c r="H24" s="522"/>
      <c r="I24" s="522"/>
      <c r="J24" s="522"/>
      <c r="K24" s="522"/>
      <c r="L24" s="804"/>
      <c r="M24" s="804">
        <f t="shared" si="0"/>
        <v>0</v>
      </c>
    </row>
    <row r="25" spans="1:14" hidden="1" outlineLevel="1" x14ac:dyDescent="0.25">
      <c r="A25" s="523" t="s">
        <v>1321</v>
      </c>
      <c r="B25" s="532" t="s">
        <v>698</v>
      </c>
      <c r="C25" s="524" t="s">
        <v>704</v>
      </c>
      <c r="D25" s="525">
        <v>1</v>
      </c>
      <c r="E25" s="526" t="s">
        <v>1275</v>
      </c>
      <c r="F25" s="522"/>
      <c r="G25" s="522"/>
      <c r="H25" s="522"/>
      <c r="I25" s="522"/>
      <c r="J25" s="522"/>
      <c r="K25" s="522"/>
      <c r="L25" s="804"/>
      <c r="M25" s="804">
        <f t="shared" si="0"/>
        <v>0</v>
      </c>
    </row>
    <row r="26" spans="1:14" hidden="1" outlineLevel="1" x14ac:dyDescent="0.25">
      <c r="A26" s="523" t="s">
        <v>1322</v>
      </c>
      <c r="B26" s="532" t="s">
        <v>695</v>
      </c>
      <c r="C26" s="524" t="s">
        <v>696</v>
      </c>
      <c r="D26" s="525">
        <v>10</v>
      </c>
      <c r="E26" s="526" t="s">
        <v>1275</v>
      </c>
      <c r="F26" s="522"/>
      <c r="G26" s="522"/>
      <c r="H26" s="522"/>
      <c r="I26" s="522"/>
      <c r="J26" s="522"/>
      <c r="K26" s="522"/>
      <c r="L26" s="804"/>
      <c r="M26" s="804">
        <f t="shared" si="0"/>
        <v>0</v>
      </c>
    </row>
    <row r="27" spans="1:14" collapsed="1" x14ac:dyDescent="0.25">
      <c r="A27" s="1207" t="s">
        <v>1279</v>
      </c>
      <c r="B27" s="1207"/>
      <c r="C27" s="1207"/>
      <c r="D27" s="1207"/>
      <c r="E27" s="1207"/>
      <c r="F27" s="1207"/>
      <c r="G27" s="1207"/>
      <c r="H27" s="1207"/>
      <c r="I27" s="1207"/>
      <c r="J27" s="1207"/>
      <c r="K27" s="1207"/>
      <c r="L27" s="805">
        <f>SUM(L7:L26)</f>
        <v>96200.479615264238</v>
      </c>
      <c r="M27" s="805">
        <f>SUM(M7:M26)</f>
        <v>115440.57553831709</v>
      </c>
      <c r="N27" s="803"/>
    </row>
    <row r="28" spans="1:14" x14ac:dyDescent="0.25">
      <c r="A28" s="527"/>
      <c r="B28" s="521" t="s">
        <v>83</v>
      </c>
      <c r="C28" s="543"/>
      <c r="D28" s="521"/>
      <c r="E28" s="522"/>
      <c r="F28" s="522"/>
      <c r="G28" s="522"/>
      <c r="H28" s="522"/>
      <c r="I28" s="522"/>
      <c r="J28" s="522"/>
      <c r="K28" s="522"/>
      <c r="L28" s="804"/>
      <c r="M28" s="804"/>
    </row>
    <row r="29" spans="1:14" x14ac:dyDescent="0.25">
      <c r="A29" s="523" t="s">
        <v>479</v>
      </c>
      <c r="B29" s="397" t="s">
        <v>65</v>
      </c>
      <c r="C29" s="524" t="s">
        <v>0</v>
      </c>
      <c r="D29" s="525">
        <v>0.5</v>
      </c>
      <c r="E29" s="522"/>
      <c r="F29" s="522"/>
      <c r="G29" s="522"/>
      <c r="H29" s="522"/>
      <c r="I29" s="522"/>
      <c r="J29" s="522"/>
      <c r="K29" s="522"/>
      <c r="L29" s="804"/>
      <c r="M29" s="804"/>
    </row>
    <row r="30" spans="1:14" x14ac:dyDescent="0.25">
      <c r="A30" s="523" t="s">
        <v>372</v>
      </c>
      <c r="B30" s="397" t="s">
        <v>86</v>
      </c>
      <c r="C30" s="538" t="str">
        <f>'Расчёт по УНЦС'!D72</f>
        <v>1 м2</v>
      </c>
      <c r="D30" s="525">
        <f>'Расчёт по УНЦС'!E72</f>
        <v>1452</v>
      </c>
      <c r="E30" s="526" t="s">
        <v>1275</v>
      </c>
      <c r="F30" s="522"/>
      <c r="G30" s="522"/>
      <c r="H30" s="522"/>
      <c r="I30" s="522"/>
      <c r="J30" s="522"/>
      <c r="K30" s="802">
        <f t="shared" ref="K30:K49" si="2">$L$227*$L$228*$L$229</f>
        <v>1.1686530960000003</v>
      </c>
      <c r="L30" s="804">
        <f>'Расчёт по УНЦС'!G77*K30</f>
        <v>7995.295529068464</v>
      </c>
      <c r="M30" s="804">
        <f t="shared" ref="M30:M53" si="3">L30*1.2</f>
        <v>9594.3546348821565</v>
      </c>
    </row>
    <row r="31" spans="1:14" x14ac:dyDescent="0.25">
      <c r="A31" s="523" t="s">
        <v>375</v>
      </c>
      <c r="B31" s="397" t="s">
        <v>88</v>
      </c>
      <c r="C31" s="538" t="str">
        <f>'Расчёт по УНЦС'!D91</f>
        <v>100 м2</v>
      </c>
      <c r="D31" s="525">
        <f>'Расчёт по УНЦС'!E91</f>
        <v>25</v>
      </c>
      <c r="E31" s="526" t="s">
        <v>1275</v>
      </c>
      <c r="F31" s="522"/>
      <c r="G31" s="522"/>
      <c r="H31" s="522"/>
      <c r="I31" s="522"/>
      <c r="J31" s="522"/>
      <c r="K31" s="802">
        <f t="shared" si="2"/>
        <v>1.1686530960000003</v>
      </c>
      <c r="L31" s="804">
        <f>'Расчёт по УНЦС'!G96*K31</f>
        <v>20279.964332310312</v>
      </c>
      <c r="M31" s="804">
        <f t="shared" si="3"/>
        <v>24335.957198772372</v>
      </c>
    </row>
    <row r="32" spans="1:14" x14ac:dyDescent="0.25">
      <c r="A32" s="523" t="s">
        <v>378</v>
      </c>
      <c r="B32" s="397" t="s">
        <v>90</v>
      </c>
      <c r="C32" s="538" t="str">
        <f>'Расчёт по УНЦС'!D128</f>
        <v>1 м2</v>
      </c>
      <c r="D32" s="525">
        <f>'Расчёт по УНЦС'!E128</f>
        <v>7</v>
      </c>
      <c r="E32" s="526" t="s">
        <v>1275</v>
      </c>
      <c r="F32" s="522"/>
      <c r="G32" s="522"/>
      <c r="H32" s="522"/>
      <c r="I32" s="522"/>
      <c r="J32" s="522"/>
      <c r="K32" s="802">
        <f t="shared" si="2"/>
        <v>1.1686530960000003</v>
      </c>
      <c r="L32" s="804">
        <f>'Расчёт по УНЦС'!G132*K32</f>
        <v>35.689641811727917</v>
      </c>
      <c r="M32" s="804">
        <f t="shared" si="3"/>
        <v>42.8275701740735</v>
      </c>
    </row>
    <row r="33" spans="1:13" ht="27" customHeight="1" x14ac:dyDescent="0.25">
      <c r="A33" s="523" t="s">
        <v>1191</v>
      </c>
      <c r="B33" s="397" t="s">
        <v>92</v>
      </c>
      <c r="C33" s="538" t="str">
        <f>'Расчёт по УНЦС'!D79</f>
        <v>1 посещение  в смену</v>
      </c>
      <c r="D33" s="525">
        <f>'Расчёт по УНЦС'!E79</f>
        <v>40</v>
      </c>
      <c r="E33" s="526" t="s">
        <v>1275</v>
      </c>
      <c r="F33" s="522"/>
      <c r="G33" s="522"/>
      <c r="H33" s="522"/>
      <c r="I33" s="522"/>
      <c r="J33" s="522"/>
      <c r="K33" s="802">
        <f t="shared" si="2"/>
        <v>1.1686530960000003</v>
      </c>
      <c r="L33" s="806">
        <f>'Расчёт по УНЦС'!G83*K33</f>
        <v>206719.97880542252</v>
      </c>
      <c r="M33" s="804">
        <f t="shared" si="3"/>
        <v>248063.97456650701</v>
      </c>
    </row>
    <row r="34" spans="1:13" x14ac:dyDescent="0.25">
      <c r="A34" s="523" t="s">
        <v>1193</v>
      </c>
      <c r="B34" s="397" t="s">
        <v>763</v>
      </c>
      <c r="C34" s="538" t="str">
        <f>'Расчёт по УНЦС'!D85</f>
        <v>1 м2</v>
      </c>
      <c r="D34" s="525">
        <f>'Расчёт по УНЦС'!E85</f>
        <v>30</v>
      </c>
      <c r="E34" s="526" t="s">
        <v>1275</v>
      </c>
      <c r="F34" s="522"/>
      <c r="G34" s="522"/>
      <c r="H34" s="522"/>
      <c r="I34" s="522"/>
      <c r="J34" s="522"/>
      <c r="K34" s="802">
        <f t="shared" si="2"/>
        <v>1.1686530960000003</v>
      </c>
      <c r="L34" s="806">
        <f>'Расчёт по УНЦС'!G89*K34</f>
        <v>2779.8227404234376</v>
      </c>
      <c r="M34" s="804">
        <f t="shared" si="3"/>
        <v>3335.7872885081251</v>
      </c>
    </row>
    <row r="35" spans="1:13" x14ac:dyDescent="0.25">
      <c r="A35" s="523" t="s">
        <v>1194</v>
      </c>
      <c r="B35" s="397" t="s">
        <v>73</v>
      </c>
      <c r="C35" s="524" t="s">
        <v>620</v>
      </c>
      <c r="D35" s="525">
        <v>250</v>
      </c>
      <c r="E35" s="526" t="s">
        <v>1275</v>
      </c>
      <c r="F35" s="522"/>
      <c r="G35" s="522"/>
      <c r="H35" s="522"/>
      <c r="I35" s="522"/>
      <c r="J35" s="522"/>
      <c r="K35" s="802">
        <f t="shared" si="2"/>
        <v>1.1686530960000003</v>
      </c>
      <c r="L35" s="806">
        <f>'Расчёт по УНЦС'!G108*K35</f>
        <v>985.9437673957874</v>
      </c>
      <c r="M35" s="804">
        <f t="shared" si="3"/>
        <v>1183.1325208749449</v>
      </c>
    </row>
    <row r="36" spans="1:13" x14ac:dyDescent="0.25">
      <c r="A36" s="523" t="s">
        <v>1195</v>
      </c>
      <c r="B36" s="397" t="s">
        <v>71</v>
      </c>
      <c r="C36" s="538" t="str">
        <f>'Расчёт по УНЦС'!D122</f>
        <v>1 км</v>
      </c>
      <c r="D36" s="525">
        <f>'Расчёт по УНЦС'!E122</f>
        <v>2.5</v>
      </c>
      <c r="E36" s="526" t="s">
        <v>1275</v>
      </c>
      <c r="F36" s="522"/>
      <c r="G36" s="522"/>
      <c r="H36" s="522"/>
      <c r="I36" s="522"/>
      <c r="J36" s="522"/>
      <c r="K36" s="802">
        <f t="shared" si="2"/>
        <v>1.1686530960000003</v>
      </c>
      <c r="L36" s="806">
        <f>'Расчёт по УНЦС'!G126*K36</f>
        <v>59880.680261864298</v>
      </c>
      <c r="M36" s="804">
        <f t="shared" si="3"/>
        <v>71856.816314237149</v>
      </c>
    </row>
    <row r="37" spans="1:13" hidden="1" outlineLevel="1" x14ac:dyDescent="0.25">
      <c r="A37" s="523" t="s">
        <v>1196</v>
      </c>
      <c r="B37" s="397" t="s">
        <v>628</v>
      </c>
      <c r="C37" s="524" t="s">
        <v>211</v>
      </c>
      <c r="D37" s="525">
        <v>6</v>
      </c>
      <c r="E37" s="526" t="s">
        <v>1275</v>
      </c>
      <c r="F37" s="522"/>
      <c r="G37" s="522"/>
      <c r="H37" s="522"/>
      <c r="I37" s="522"/>
      <c r="J37" s="522"/>
      <c r="K37" s="802">
        <f t="shared" si="2"/>
        <v>1.1686530960000003</v>
      </c>
      <c r="L37" s="806"/>
      <c r="M37" s="804">
        <f t="shared" si="3"/>
        <v>0</v>
      </c>
    </row>
    <row r="38" spans="1:13" ht="25.5" hidden="1" outlineLevel="1" x14ac:dyDescent="0.25">
      <c r="A38" s="523" t="s">
        <v>1197</v>
      </c>
      <c r="B38" s="397" t="s">
        <v>630</v>
      </c>
      <c r="C38" s="524" t="s">
        <v>211</v>
      </c>
      <c r="D38" s="525">
        <v>6</v>
      </c>
      <c r="E38" s="526" t="s">
        <v>1275</v>
      </c>
      <c r="F38" s="522"/>
      <c r="G38" s="522"/>
      <c r="H38" s="522"/>
      <c r="I38" s="522"/>
      <c r="J38" s="522"/>
      <c r="K38" s="802">
        <f t="shared" si="2"/>
        <v>1.1686530960000003</v>
      </c>
      <c r="L38" s="806"/>
      <c r="M38" s="804">
        <f t="shared" si="3"/>
        <v>0</v>
      </c>
    </row>
    <row r="39" spans="1:13" hidden="1" outlineLevel="1" x14ac:dyDescent="0.25">
      <c r="A39" s="523" t="s">
        <v>1198</v>
      </c>
      <c r="B39" s="528" t="s">
        <v>632</v>
      </c>
      <c r="C39" s="529" t="s">
        <v>211</v>
      </c>
      <c r="D39" s="530"/>
      <c r="E39" s="526" t="s">
        <v>1275</v>
      </c>
      <c r="F39" s="522"/>
      <c r="G39" s="522"/>
      <c r="H39" s="522"/>
      <c r="I39" s="522"/>
      <c r="J39" s="522"/>
      <c r="K39" s="802">
        <f t="shared" si="2"/>
        <v>1.1686530960000003</v>
      </c>
      <c r="L39" s="806"/>
      <c r="M39" s="804">
        <f t="shared" si="3"/>
        <v>0</v>
      </c>
    </row>
    <row r="40" spans="1:13" hidden="1" outlineLevel="1" x14ac:dyDescent="0.25">
      <c r="A40" s="523" t="s">
        <v>1323</v>
      </c>
      <c r="B40" s="528" t="s">
        <v>634</v>
      </c>
      <c r="C40" s="529" t="s">
        <v>211</v>
      </c>
      <c r="D40" s="530"/>
      <c r="E40" s="526" t="s">
        <v>1275</v>
      </c>
      <c r="F40" s="522"/>
      <c r="G40" s="522"/>
      <c r="H40" s="522"/>
      <c r="I40" s="522"/>
      <c r="J40" s="522"/>
      <c r="K40" s="802">
        <f t="shared" si="2"/>
        <v>1.1686530960000003</v>
      </c>
      <c r="L40" s="806"/>
      <c r="M40" s="804">
        <f t="shared" si="3"/>
        <v>0</v>
      </c>
    </row>
    <row r="41" spans="1:13" collapsed="1" x14ac:dyDescent="0.25">
      <c r="A41" s="523" t="s">
        <v>1324</v>
      </c>
      <c r="B41" s="397" t="s">
        <v>98</v>
      </c>
      <c r="C41" s="538" t="str">
        <f>'Расчёт по УНЦС'!D110</f>
        <v>100 м</v>
      </c>
      <c r="D41" s="525">
        <f>'Расчёт по УНЦС'!E110</f>
        <v>30</v>
      </c>
      <c r="E41" s="526" t="s">
        <v>1275</v>
      </c>
      <c r="F41" s="522"/>
      <c r="G41" s="522"/>
      <c r="H41" s="522"/>
      <c r="I41" s="522"/>
      <c r="J41" s="522"/>
      <c r="K41" s="802">
        <f t="shared" si="2"/>
        <v>1.1686530960000003</v>
      </c>
      <c r="L41" s="806">
        <f>'Расчёт по УНЦС'!G114*K41</f>
        <v>11814.865571322518</v>
      </c>
      <c r="M41" s="804">
        <f t="shared" si="3"/>
        <v>14177.838685587021</v>
      </c>
    </row>
    <row r="42" spans="1:13" x14ac:dyDescent="0.25">
      <c r="A42" s="523" t="s">
        <v>770</v>
      </c>
      <c r="B42" s="397" t="s">
        <v>79</v>
      </c>
      <c r="C42" s="538" t="str">
        <f>'Расчёт по УНЦС'!D116</f>
        <v>100 м2</v>
      </c>
      <c r="D42" s="539">
        <f>'Расчёт по УНЦС'!E116</f>
        <v>25</v>
      </c>
      <c r="E42" s="526" t="s">
        <v>1275</v>
      </c>
      <c r="F42" s="522"/>
      <c r="G42" s="522"/>
      <c r="H42" s="522"/>
      <c r="I42" s="522"/>
      <c r="J42" s="522"/>
      <c r="K42" s="802">
        <f t="shared" si="2"/>
        <v>1.1686530960000003</v>
      </c>
      <c r="L42" s="806">
        <f>'Расчёт по УНЦС'!G120*K42</f>
        <v>4775.4373455308532</v>
      </c>
      <c r="M42" s="804">
        <f t="shared" si="3"/>
        <v>5730.5248146370241</v>
      </c>
    </row>
    <row r="43" spans="1:13" hidden="1" outlineLevel="1" x14ac:dyDescent="0.25">
      <c r="A43" s="523" t="s">
        <v>773</v>
      </c>
      <c r="B43" s="397" t="s">
        <v>101</v>
      </c>
      <c r="C43" s="524" t="s">
        <v>648</v>
      </c>
      <c r="D43" s="525">
        <v>1</v>
      </c>
      <c r="E43" s="526" t="s">
        <v>1275</v>
      </c>
      <c r="F43" s="522"/>
      <c r="G43" s="522"/>
      <c r="H43" s="522"/>
      <c r="I43" s="522"/>
      <c r="J43" s="522"/>
      <c r="K43" s="802">
        <f t="shared" si="2"/>
        <v>1.1686530960000003</v>
      </c>
      <c r="L43" s="806"/>
      <c r="M43" s="804">
        <f t="shared" si="3"/>
        <v>0</v>
      </c>
    </row>
    <row r="44" spans="1:13" collapsed="1" x14ac:dyDescent="0.25">
      <c r="A44" s="523" t="s">
        <v>1325</v>
      </c>
      <c r="B44" s="531" t="s">
        <v>82</v>
      </c>
      <c r="C44" s="541" t="str">
        <f>'Расчёт по УНЦС'!D134</f>
        <v xml:space="preserve">1 м2  </v>
      </c>
      <c r="D44" s="542">
        <f>'Расчёт по УНЦС'!E134</f>
        <v>80</v>
      </c>
      <c r="E44" s="526" t="s">
        <v>1275</v>
      </c>
      <c r="F44" s="522"/>
      <c r="G44" s="522"/>
      <c r="H44" s="522"/>
      <c r="I44" s="522"/>
      <c r="J44" s="522"/>
      <c r="K44" s="802">
        <f t="shared" si="2"/>
        <v>1.1686530960000003</v>
      </c>
      <c r="L44" s="806">
        <f>'Расчёт по УНЦС'!G138*K44</f>
        <v>3920.8393643977956</v>
      </c>
      <c r="M44" s="804">
        <f t="shared" si="3"/>
        <v>4705.0072372773548</v>
      </c>
    </row>
    <row r="45" spans="1:13" x14ac:dyDescent="0.25">
      <c r="A45" s="523" t="s">
        <v>1326</v>
      </c>
      <c r="B45" s="397" t="s">
        <v>104</v>
      </c>
      <c r="C45" s="538" t="str">
        <f>'Расчёт по УНЦС'!D98</f>
        <v>100 м.п</v>
      </c>
      <c r="D45" s="525">
        <f>'Расчёт по УНЦС'!E98</f>
        <v>5</v>
      </c>
      <c r="E45" s="526" t="s">
        <v>1275</v>
      </c>
      <c r="F45" s="522"/>
      <c r="G45" s="522"/>
      <c r="H45" s="522"/>
      <c r="I45" s="522"/>
      <c r="J45" s="522"/>
      <c r="K45" s="802">
        <f t="shared" si="2"/>
        <v>1.1686530960000003</v>
      </c>
      <c r="L45" s="806">
        <f>'Расчёт по УНЦС'!G102*K45</f>
        <v>1467.4477985010046</v>
      </c>
      <c r="M45" s="804">
        <f t="shared" si="3"/>
        <v>1760.9373582012056</v>
      </c>
    </row>
    <row r="46" spans="1:13" x14ac:dyDescent="0.25">
      <c r="A46" s="523" t="s">
        <v>1327</v>
      </c>
      <c r="B46" s="397" t="s">
        <v>679</v>
      </c>
      <c r="C46" s="538" t="str">
        <f>'Расчёт по УНЦС'!D140</f>
        <v>100 м</v>
      </c>
      <c r="D46" s="525">
        <f>'Расчёт по УНЦС'!E140</f>
        <v>2</v>
      </c>
      <c r="E46" s="526" t="s">
        <v>1275</v>
      </c>
      <c r="F46" s="522"/>
      <c r="G46" s="522"/>
      <c r="H46" s="522"/>
      <c r="I46" s="522"/>
      <c r="J46" s="522"/>
      <c r="K46" s="802">
        <f t="shared" si="2"/>
        <v>1.1686530960000003</v>
      </c>
      <c r="L46" s="806">
        <f>'Расчёт по УНЦС'!G145*K46</f>
        <v>811.2436672212516</v>
      </c>
      <c r="M46" s="804">
        <f t="shared" si="3"/>
        <v>973.49240066550192</v>
      </c>
    </row>
    <row r="47" spans="1:13" hidden="1" outlineLevel="1" x14ac:dyDescent="0.25">
      <c r="A47" s="523" t="s">
        <v>1328</v>
      </c>
      <c r="B47" s="532" t="s">
        <v>681</v>
      </c>
      <c r="C47" s="524" t="s">
        <v>660</v>
      </c>
      <c r="D47" s="525">
        <v>150</v>
      </c>
      <c r="E47" s="526" t="s">
        <v>1275</v>
      </c>
      <c r="F47" s="522"/>
      <c r="G47" s="522"/>
      <c r="H47" s="522"/>
      <c r="I47" s="522"/>
      <c r="J47" s="522"/>
      <c r="K47" s="802">
        <f t="shared" si="2"/>
        <v>1.1686530960000003</v>
      </c>
      <c r="L47" s="806"/>
      <c r="M47" s="804">
        <f t="shared" si="3"/>
        <v>0</v>
      </c>
    </row>
    <row r="48" spans="1:13" hidden="1" outlineLevel="1" x14ac:dyDescent="0.25">
      <c r="A48" s="523" t="s">
        <v>1329</v>
      </c>
      <c r="B48" s="532" t="s">
        <v>683</v>
      </c>
      <c r="C48" s="524" t="s">
        <v>660</v>
      </c>
      <c r="D48" s="525">
        <v>200</v>
      </c>
      <c r="E48" s="526" t="s">
        <v>1275</v>
      </c>
      <c r="F48" s="522"/>
      <c r="G48" s="522"/>
      <c r="H48" s="522"/>
      <c r="I48" s="522"/>
      <c r="J48" s="522"/>
      <c r="K48" s="802">
        <f t="shared" si="2"/>
        <v>1.1686530960000003</v>
      </c>
      <c r="L48" s="806"/>
      <c r="M48" s="804">
        <f t="shared" si="3"/>
        <v>0</v>
      </c>
    </row>
    <row r="49" spans="1:14" collapsed="1" x14ac:dyDescent="0.25">
      <c r="A49" s="523" t="s">
        <v>1330</v>
      </c>
      <c r="B49" s="397" t="s">
        <v>1448</v>
      </c>
      <c r="C49" s="538" t="str">
        <f>'Расчёт по УНЦС'!D147</f>
        <v>1 м</v>
      </c>
      <c r="D49" s="525">
        <f>'Расчёт по УНЦС'!E147</f>
        <v>1000</v>
      </c>
      <c r="E49" s="526" t="s">
        <v>1275</v>
      </c>
      <c r="F49" s="522"/>
      <c r="G49" s="522"/>
      <c r="H49" s="522"/>
      <c r="I49" s="522"/>
      <c r="J49" s="522"/>
      <c r="K49" s="802">
        <f t="shared" si="2"/>
        <v>1.1686530960000003</v>
      </c>
      <c r="L49" s="806">
        <f>'Расчёт по УНЦС'!G151*K49</f>
        <v>22907.340993044447</v>
      </c>
      <c r="M49" s="804">
        <f t="shared" si="3"/>
        <v>27488.809191653334</v>
      </c>
    </row>
    <row r="50" spans="1:14" ht="51" hidden="1" outlineLevel="1" x14ac:dyDescent="0.25">
      <c r="A50" s="523" t="s">
        <v>1331</v>
      </c>
      <c r="B50" s="397" t="s">
        <v>691</v>
      </c>
      <c r="C50" s="524" t="s">
        <v>692</v>
      </c>
      <c r="D50" s="524" t="s">
        <v>775</v>
      </c>
      <c r="E50" s="526" t="s">
        <v>1275</v>
      </c>
      <c r="F50" s="522"/>
      <c r="G50" s="522"/>
      <c r="H50" s="522"/>
      <c r="I50" s="522"/>
      <c r="J50" s="522"/>
      <c r="K50" s="522"/>
      <c r="L50" s="804"/>
      <c r="M50" s="804">
        <f t="shared" si="3"/>
        <v>0</v>
      </c>
    </row>
    <row r="51" spans="1:14" hidden="1" outlineLevel="1" x14ac:dyDescent="0.25">
      <c r="A51" s="523" t="s">
        <v>1332</v>
      </c>
      <c r="B51" s="532" t="s">
        <v>695</v>
      </c>
      <c r="C51" s="524" t="s">
        <v>696</v>
      </c>
      <c r="D51" s="525">
        <v>16</v>
      </c>
      <c r="E51" s="526" t="s">
        <v>1275</v>
      </c>
      <c r="F51" s="522"/>
      <c r="G51" s="522"/>
      <c r="H51" s="522"/>
      <c r="I51" s="522"/>
      <c r="J51" s="522"/>
      <c r="K51" s="522"/>
      <c r="L51" s="804"/>
      <c r="M51" s="804">
        <f t="shared" si="3"/>
        <v>0</v>
      </c>
    </row>
    <row r="52" spans="1:14" hidden="1" outlineLevel="1" x14ac:dyDescent="0.25">
      <c r="A52" s="523" t="s">
        <v>1333</v>
      </c>
      <c r="B52" s="397" t="s">
        <v>698</v>
      </c>
      <c r="C52" s="524" t="s">
        <v>704</v>
      </c>
      <c r="D52" s="525">
        <v>1</v>
      </c>
      <c r="E52" s="526" t="s">
        <v>1275</v>
      </c>
      <c r="F52" s="522"/>
      <c r="G52" s="522"/>
      <c r="H52" s="522"/>
      <c r="I52" s="522"/>
      <c r="J52" s="522"/>
      <c r="K52" s="522"/>
      <c r="L52" s="804"/>
      <c r="M52" s="804">
        <f t="shared" si="3"/>
        <v>0</v>
      </c>
    </row>
    <row r="53" spans="1:14" ht="25.5" hidden="1" outlineLevel="1" x14ac:dyDescent="0.25">
      <c r="A53" s="523" t="s">
        <v>1334</v>
      </c>
      <c r="B53" s="397" t="s">
        <v>700</v>
      </c>
      <c r="C53" s="524" t="s">
        <v>701</v>
      </c>
      <c r="D53" s="525">
        <v>8</v>
      </c>
      <c r="E53" s="526" t="s">
        <v>1275</v>
      </c>
      <c r="F53" s="522"/>
      <c r="G53" s="522"/>
      <c r="H53" s="522"/>
      <c r="I53" s="522"/>
      <c r="J53" s="522"/>
      <c r="K53" s="522"/>
      <c r="L53" s="804"/>
      <c r="M53" s="804">
        <f t="shared" si="3"/>
        <v>0</v>
      </c>
    </row>
    <row r="54" spans="1:14" collapsed="1" x14ac:dyDescent="0.25">
      <c r="A54" s="1207" t="s">
        <v>1279</v>
      </c>
      <c r="B54" s="1207"/>
      <c r="C54" s="1207"/>
      <c r="D54" s="1207"/>
      <c r="E54" s="1207"/>
      <c r="F54" s="1207"/>
      <c r="G54" s="1207"/>
      <c r="H54" s="1207"/>
      <c r="I54" s="1207"/>
      <c r="J54" s="1207"/>
      <c r="K54" s="1207"/>
      <c r="L54" s="805">
        <f>SUM(L30:L53)</f>
        <v>344374.54981831438</v>
      </c>
      <c r="M54" s="805">
        <f>SUM(M30:M53)</f>
        <v>413249.45978197729</v>
      </c>
      <c r="N54" s="803"/>
    </row>
    <row r="55" spans="1:14" x14ac:dyDescent="0.25">
      <c r="A55" s="527"/>
      <c r="B55" s="521" t="s">
        <v>105</v>
      </c>
      <c r="C55" s="543"/>
      <c r="D55" s="521"/>
      <c r="E55" s="522"/>
      <c r="F55" s="522"/>
      <c r="G55" s="522"/>
      <c r="H55" s="522"/>
      <c r="I55" s="522"/>
      <c r="J55" s="522"/>
      <c r="K55" s="522"/>
      <c r="L55" s="804"/>
      <c r="M55" s="804"/>
    </row>
    <row r="56" spans="1:14" x14ac:dyDescent="0.25">
      <c r="A56" s="523" t="s">
        <v>481</v>
      </c>
      <c r="B56" s="397" t="s">
        <v>65</v>
      </c>
      <c r="C56" s="524" t="s">
        <v>0</v>
      </c>
      <c r="D56" s="525">
        <v>8.8000000000000007</v>
      </c>
      <c r="E56" s="526" t="s">
        <v>1275</v>
      </c>
      <c r="F56" s="522"/>
      <c r="G56" s="522"/>
      <c r="H56" s="522"/>
      <c r="I56" s="522"/>
      <c r="J56" s="522"/>
      <c r="K56" s="522"/>
      <c r="L56" s="804"/>
      <c r="M56" s="804"/>
    </row>
    <row r="57" spans="1:14" x14ac:dyDescent="0.25">
      <c r="A57" s="523" t="s">
        <v>556</v>
      </c>
      <c r="B57" s="397" t="s">
        <v>108</v>
      </c>
      <c r="C57" s="538" t="str">
        <f>'Расчёт по УНЦС'!D155</f>
        <v>100 м2</v>
      </c>
      <c r="D57" s="525">
        <f>'Расчёт по УНЦС'!E155</f>
        <v>25</v>
      </c>
      <c r="E57" s="526" t="s">
        <v>1275</v>
      </c>
      <c r="F57" s="522"/>
      <c r="G57" s="522"/>
      <c r="H57" s="522"/>
      <c r="I57" s="522"/>
      <c r="J57" s="522"/>
      <c r="K57" s="802">
        <f t="shared" ref="K57:K78" si="4">$L$227*$L$228*$L$229</f>
        <v>1.1686530960000003</v>
      </c>
      <c r="L57" s="806">
        <f>'Расчёт по УНЦС'!G160*K57</f>
        <v>20279.964332310312</v>
      </c>
      <c r="M57" s="804">
        <f t="shared" ref="M57:M77" si="5">L57*1.2</f>
        <v>24335.957198772372</v>
      </c>
    </row>
    <row r="58" spans="1:14" x14ac:dyDescent="0.25">
      <c r="A58" s="523" t="s">
        <v>1336</v>
      </c>
      <c r="B58" s="397" t="s">
        <v>110</v>
      </c>
      <c r="C58" s="538" t="str">
        <f>'Расчёт по УНЦС'!D168</f>
        <v>100 м2</v>
      </c>
      <c r="D58" s="525">
        <f>'Расчёт по УНЦС'!E168</f>
        <v>18</v>
      </c>
      <c r="E58" s="526" t="s">
        <v>1275</v>
      </c>
      <c r="F58" s="522"/>
      <c r="G58" s="522"/>
      <c r="H58" s="522"/>
      <c r="I58" s="522"/>
      <c r="J58" s="522"/>
      <c r="K58" s="802">
        <f t="shared" si="4"/>
        <v>1.1686530960000003</v>
      </c>
      <c r="L58" s="806">
        <f>'Расчёт по УНЦС'!G172*K58</f>
        <v>6999.1681032614042</v>
      </c>
      <c r="M58" s="804">
        <f t="shared" si="5"/>
        <v>8399.0017239136851</v>
      </c>
    </row>
    <row r="59" spans="1:14" x14ac:dyDescent="0.25">
      <c r="A59" s="523" t="s">
        <v>1337</v>
      </c>
      <c r="B59" s="397" t="s">
        <v>73</v>
      </c>
      <c r="C59" s="538" t="str">
        <f>'Расчёт по УНЦС'!D174</f>
        <v>100 м2</v>
      </c>
      <c r="D59" s="525">
        <f>'Расчёт по УНЦС'!E174</f>
        <v>880</v>
      </c>
      <c r="E59" s="526" t="s">
        <v>1275</v>
      </c>
      <c r="F59" s="522"/>
      <c r="G59" s="522"/>
      <c r="H59" s="522"/>
      <c r="I59" s="522"/>
      <c r="J59" s="522"/>
      <c r="K59" s="802">
        <f t="shared" si="4"/>
        <v>1.1686530960000003</v>
      </c>
      <c r="L59" s="806">
        <f>'Расчёт по УНЦС'!G178*K59</f>
        <v>17352.610306165861</v>
      </c>
      <c r="M59" s="804">
        <f t="shared" si="5"/>
        <v>20823.132367399034</v>
      </c>
    </row>
    <row r="60" spans="1:14" x14ac:dyDescent="0.25">
      <c r="A60" s="523" t="s">
        <v>1338</v>
      </c>
      <c r="B60" s="397" t="s">
        <v>98</v>
      </c>
      <c r="C60" s="538" t="str">
        <f>'Расчёт по УНЦС'!D180</f>
        <v>100 м</v>
      </c>
      <c r="D60" s="525">
        <f>'Расчёт по УНЦС'!E180</f>
        <v>50</v>
      </c>
      <c r="E60" s="526" t="s">
        <v>1275</v>
      </c>
      <c r="F60" s="522"/>
      <c r="G60" s="522"/>
      <c r="H60" s="522"/>
      <c r="I60" s="522"/>
      <c r="J60" s="522"/>
      <c r="K60" s="802">
        <f t="shared" si="4"/>
        <v>1.1686530960000003</v>
      </c>
      <c r="L60" s="806">
        <f>'Расчёт по УНЦС'!G184*K60</f>
        <v>19691.44261887086</v>
      </c>
      <c r="M60" s="804">
        <f t="shared" si="5"/>
        <v>23629.731142645032</v>
      </c>
    </row>
    <row r="61" spans="1:14" x14ac:dyDescent="0.25">
      <c r="A61" s="523" t="s">
        <v>1339</v>
      </c>
      <c r="B61" s="397" t="s">
        <v>71</v>
      </c>
      <c r="C61" s="538" t="str">
        <f>'Расчёт по УНЦС'!D192</f>
        <v>1 км</v>
      </c>
      <c r="D61" s="525">
        <f>'Расчёт по УНЦС'!E192</f>
        <v>1</v>
      </c>
      <c r="E61" s="526" t="s">
        <v>1275</v>
      </c>
      <c r="F61" s="522"/>
      <c r="G61" s="522"/>
      <c r="H61" s="522"/>
      <c r="I61" s="522"/>
      <c r="J61" s="522"/>
      <c r="K61" s="802">
        <f t="shared" si="4"/>
        <v>1.1686530960000003</v>
      </c>
      <c r="L61" s="806">
        <f>'Расчёт по УНЦС'!G196*K61</f>
        <v>23952.27210474572</v>
      </c>
      <c r="M61" s="804">
        <f t="shared" si="5"/>
        <v>28742.726525694863</v>
      </c>
    </row>
    <row r="62" spans="1:14" hidden="1" outlineLevel="1" x14ac:dyDescent="0.25">
      <c r="A62" s="523" t="s">
        <v>1340</v>
      </c>
      <c r="B62" s="397" t="s">
        <v>628</v>
      </c>
      <c r="C62" s="524" t="s">
        <v>211</v>
      </c>
      <c r="D62" s="525">
        <v>18</v>
      </c>
      <c r="E62" s="526" t="s">
        <v>1275</v>
      </c>
      <c r="F62" s="522"/>
      <c r="G62" s="522"/>
      <c r="H62" s="522"/>
      <c r="I62" s="522"/>
      <c r="J62" s="522"/>
      <c r="K62" s="802">
        <f t="shared" si="4"/>
        <v>1.1686530960000003</v>
      </c>
      <c r="L62" s="806"/>
      <c r="M62" s="804">
        <f t="shared" si="5"/>
        <v>0</v>
      </c>
    </row>
    <row r="63" spans="1:14" ht="25.5" hidden="1" outlineLevel="1" x14ac:dyDescent="0.25">
      <c r="A63" s="523" t="s">
        <v>1341</v>
      </c>
      <c r="B63" s="397" t="s">
        <v>630</v>
      </c>
      <c r="C63" s="524" t="s">
        <v>211</v>
      </c>
      <c r="D63" s="525">
        <v>18</v>
      </c>
      <c r="E63" s="526" t="s">
        <v>1275</v>
      </c>
      <c r="F63" s="522"/>
      <c r="G63" s="522"/>
      <c r="H63" s="522"/>
      <c r="I63" s="522"/>
      <c r="J63" s="522"/>
      <c r="K63" s="802">
        <f t="shared" si="4"/>
        <v>1.1686530960000003</v>
      </c>
      <c r="L63" s="806"/>
      <c r="M63" s="804">
        <f t="shared" si="5"/>
        <v>0</v>
      </c>
    </row>
    <row r="64" spans="1:14" hidden="1" outlineLevel="1" x14ac:dyDescent="0.25">
      <c r="A64" s="523" t="s">
        <v>1342</v>
      </c>
      <c r="B64" s="376" t="s">
        <v>632</v>
      </c>
      <c r="C64" s="533" t="s">
        <v>211</v>
      </c>
      <c r="D64" s="534"/>
      <c r="E64" s="526" t="s">
        <v>1275</v>
      </c>
      <c r="F64" s="522"/>
      <c r="G64" s="522"/>
      <c r="H64" s="522"/>
      <c r="I64" s="522"/>
      <c r="J64" s="522"/>
      <c r="K64" s="802">
        <f t="shared" si="4"/>
        <v>1.1686530960000003</v>
      </c>
      <c r="L64" s="806"/>
      <c r="M64" s="804">
        <f t="shared" si="5"/>
        <v>0</v>
      </c>
    </row>
    <row r="65" spans="1:14" hidden="1" outlineLevel="1" x14ac:dyDescent="0.25">
      <c r="A65" s="523" t="s">
        <v>1343</v>
      </c>
      <c r="B65" s="376" t="s">
        <v>634</v>
      </c>
      <c r="C65" s="533" t="s">
        <v>211</v>
      </c>
      <c r="D65" s="534"/>
      <c r="E65" s="526" t="s">
        <v>1275</v>
      </c>
      <c r="F65" s="522"/>
      <c r="G65" s="522"/>
      <c r="H65" s="522"/>
      <c r="I65" s="522"/>
      <c r="J65" s="522"/>
      <c r="K65" s="802">
        <f t="shared" si="4"/>
        <v>1.1686530960000003</v>
      </c>
      <c r="L65" s="806"/>
      <c r="M65" s="804">
        <f t="shared" si="5"/>
        <v>0</v>
      </c>
    </row>
    <row r="66" spans="1:14" ht="25.5" collapsed="1" x14ac:dyDescent="0.25">
      <c r="A66" s="523" t="s">
        <v>730</v>
      </c>
      <c r="B66" s="397" t="s">
        <v>115</v>
      </c>
      <c r="C66" s="538" t="str">
        <f>'Расчёт по УНЦС'!D198</f>
        <v>1 пункт</v>
      </c>
      <c r="D66" s="525">
        <f>'Расчёт по УНЦС'!E198</f>
        <v>3</v>
      </c>
      <c r="E66" s="526" t="s">
        <v>1275</v>
      </c>
      <c r="F66" s="522"/>
      <c r="G66" s="522"/>
      <c r="H66" s="522"/>
      <c r="I66" s="522"/>
      <c r="J66" s="522"/>
      <c r="K66" s="802">
        <f t="shared" si="4"/>
        <v>1.1686530960000003</v>
      </c>
      <c r="L66" s="806">
        <f>'Расчёт по УНЦС'!G202*K66</f>
        <v>3348.2921477628438</v>
      </c>
      <c r="M66" s="804">
        <f t="shared" si="5"/>
        <v>4017.9505773154124</v>
      </c>
    </row>
    <row r="67" spans="1:14" x14ac:dyDescent="0.25">
      <c r="A67" s="523" t="s">
        <v>733</v>
      </c>
      <c r="B67" s="531" t="s">
        <v>117</v>
      </c>
      <c r="C67" s="541" t="str">
        <f>'Расчёт по УНЦС'!D204</f>
        <v>1 м2</v>
      </c>
      <c r="D67" s="535">
        <f>'Расчёт по УНЦС'!E204</f>
        <v>150</v>
      </c>
      <c r="E67" s="526" t="s">
        <v>1275</v>
      </c>
      <c r="F67" s="522"/>
      <c r="G67" s="522"/>
      <c r="H67" s="522"/>
      <c r="I67" s="522"/>
      <c r="J67" s="522"/>
      <c r="K67" s="802">
        <f t="shared" si="4"/>
        <v>1.1686530960000003</v>
      </c>
      <c r="L67" s="806">
        <f>'Расчёт по УНЦС'!G208*K67</f>
        <v>13899.113702117191</v>
      </c>
      <c r="M67" s="804">
        <f t="shared" si="5"/>
        <v>16678.936442540627</v>
      </c>
    </row>
    <row r="68" spans="1:14" x14ac:dyDescent="0.25">
      <c r="A68" s="523" t="s">
        <v>740</v>
      </c>
      <c r="B68" s="397" t="s">
        <v>104</v>
      </c>
      <c r="C68" s="538" t="str">
        <f>'Расчёт по УНЦС'!D162</f>
        <v>100 м.п</v>
      </c>
      <c r="D68" s="525">
        <f>'Расчёт по УНЦС'!E162</f>
        <v>18</v>
      </c>
      <c r="E68" s="526" t="s">
        <v>1275</v>
      </c>
      <c r="F68" s="522"/>
      <c r="G68" s="522"/>
      <c r="H68" s="522"/>
      <c r="I68" s="522"/>
      <c r="J68" s="522"/>
      <c r="K68" s="802">
        <f t="shared" si="4"/>
        <v>1.1686530960000003</v>
      </c>
      <c r="L68" s="806">
        <f>'Расчёт по УНЦС'!G166*K68</f>
        <v>5282.8120746036166</v>
      </c>
      <c r="M68" s="804">
        <f t="shared" si="5"/>
        <v>6339.3744895243399</v>
      </c>
    </row>
    <row r="69" spans="1:14" x14ac:dyDescent="0.25">
      <c r="A69" s="523" t="s">
        <v>1344</v>
      </c>
      <c r="B69" s="397" t="s">
        <v>679</v>
      </c>
      <c r="C69" s="538" t="str">
        <f>'Расчёт по УНЦС'!D210</f>
        <v>100 м</v>
      </c>
      <c r="D69" s="525">
        <f>'Расчёт по УНЦС'!E210</f>
        <v>2</v>
      </c>
      <c r="E69" s="526" t="s">
        <v>1275</v>
      </c>
      <c r="F69" s="522"/>
      <c r="G69" s="522"/>
      <c r="H69" s="522"/>
      <c r="I69" s="522"/>
      <c r="J69" s="522"/>
      <c r="K69" s="802">
        <f t="shared" si="4"/>
        <v>1.1686530960000003</v>
      </c>
      <c r="L69" s="806">
        <f>'Расчёт по УНЦС'!G215*K69</f>
        <v>811.2436672212516</v>
      </c>
      <c r="M69" s="804">
        <f t="shared" si="5"/>
        <v>973.49240066550192</v>
      </c>
    </row>
    <row r="70" spans="1:14" hidden="1" outlineLevel="1" x14ac:dyDescent="0.25">
      <c r="A70" s="523" t="s">
        <v>1345</v>
      </c>
      <c r="B70" s="532" t="s">
        <v>681</v>
      </c>
      <c r="C70" s="524" t="s">
        <v>660</v>
      </c>
      <c r="D70" s="525">
        <v>150</v>
      </c>
      <c r="E70" s="526" t="s">
        <v>1275</v>
      </c>
      <c r="F70" s="522"/>
      <c r="G70" s="522"/>
      <c r="H70" s="522"/>
      <c r="I70" s="522"/>
      <c r="J70" s="522"/>
      <c r="K70" s="802">
        <f t="shared" si="4"/>
        <v>1.1686530960000003</v>
      </c>
      <c r="L70" s="806"/>
      <c r="M70" s="804">
        <f t="shared" si="5"/>
        <v>0</v>
      </c>
    </row>
    <row r="71" spans="1:14" hidden="1" outlineLevel="1" x14ac:dyDescent="0.25">
      <c r="A71" s="523" t="s">
        <v>1346</v>
      </c>
      <c r="B71" s="532" t="s">
        <v>683</v>
      </c>
      <c r="C71" s="524" t="s">
        <v>660</v>
      </c>
      <c r="D71" s="525">
        <v>200</v>
      </c>
      <c r="E71" s="526" t="s">
        <v>1275</v>
      </c>
      <c r="F71" s="522"/>
      <c r="G71" s="522"/>
      <c r="H71" s="522"/>
      <c r="I71" s="522"/>
      <c r="J71" s="522"/>
      <c r="K71" s="802">
        <f t="shared" si="4"/>
        <v>1.1686530960000003</v>
      </c>
      <c r="L71" s="806"/>
      <c r="M71" s="804">
        <f t="shared" si="5"/>
        <v>0</v>
      </c>
    </row>
    <row r="72" spans="1:14" collapsed="1" x14ac:dyDescent="0.25">
      <c r="A72" s="523" t="s">
        <v>1347</v>
      </c>
      <c r="B72" s="397" t="s">
        <v>1449</v>
      </c>
      <c r="C72" s="538" t="str">
        <f>'Расчёт по УНЦС'!D217</f>
        <v>1 м</v>
      </c>
      <c r="D72" s="525">
        <f>'Расчёт по УНЦС'!E217</f>
        <v>1800</v>
      </c>
      <c r="E72" s="526" t="s">
        <v>1275</v>
      </c>
      <c r="F72" s="522"/>
      <c r="G72" s="522"/>
      <c r="H72" s="522"/>
      <c r="I72" s="522"/>
      <c r="J72" s="522"/>
      <c r="K72" s="802">
        <f t="shared" si="4"/>
        <v>1.1686530960000003</v>
      </c>
      <c r="L72" s="806">
        <f>'Расчёт по УНЦС'!G221*K72</f>
        <v>41233.21378748001</v>
      </c>
      <c r="M72" s="804">
        <f t="shared" si="5"/>
        <v>49479.856544976014</v>
      </c>
    </row>
    <row r="73" spans="1:14" ht="51" hidden="1" outlineLevel="1" x14ac:dyDescent="0.25">
      <c r="A73" s="523" t="s">
        <v>1348</v>
      </c>
      <c r="B73" s="397" t="s">
        <v>691</v>
      </c>
      <c r="C73" s="524" t="s">
        <v>692</v>
      </c>
      <c r="D73" s="524" t="s">
        <v>735</v>
      </c>
      <c r="E73" s="526" t="s">
        <v>1275</v>
      </c>
      <c r="F73" s="522"/>
      <c r="G73" s="522"/>
      <c r="H73" s="522"/>
      <c r="I73" s="522"/>
      <c r="J73" s="522"/>
      <c r="K73" s="802">
        <f t="shared" si="4"/>
        <v>1.1686530960000003</v>
      </c>
      <c r="L73" s="804"/>
      <c r="M73" s="804">
        <f t="shared" si="5"/>
        <v>0</v>
      </c>
    </row>
    <row r="74" spans="1:14" hidden="1" outlineLevel="1" x14ac:dyDescent="0.25">
      <c r="A74" s="523" t="s">
        <v>1349</v>
      </c>
      <c r="B74" s="532" t="s">
        <v>737</v>
      </c>
      <c r="C74" s="524" t="s">
        <v>696</v>
      </c>
      <c r="D74" s="525">
        <v>20</v>
      </c>
      <c r="E74" s="526" t="s">
        <v>1275</v>
      </c>
      <c r="F74" s="522"/>
      <c r="G74" s="522"/>
      <c r="H74" s="522"/>
      <c r="I74" s="522"/>
      <c r="J74" s="522"/>
      <c r="K74" s="802">
        <f t="shared" si="4"/>
        <v>1.1686530960000003</v>
      </c>
      <c r="L74" s="804"/>
      <c r="M74" s="804">
        <f t="shared" si="5"/>
        <v>0</v>
      </c>
    </row>
    <row r="75" spans="1:14" hidden="1" outlineLevel="1" x14ac:dyDescent="0.25">
      <c r="A75" s="523" t="s">
        <v>1350</v>
      </c>
      <c r="B75" s="397" t="s">
        <v>698</v>
      </c>
      <c r="C75" s="524"/>
      <c r="D75" s="525"/>
      <c r="E75" s="526" t="s">
        <v>1275</v>
      </c>
      <c r="F75" s="522"/>
      <c r="G75" s="522"/>
      <c r="H75" s="522"/>
      <c r="I75" s="522"/>
      <c r="J75" s="522"/>
      <c r="K75" s="802">
        <f t="shared" si="4"/>
        <v>1.1686530960000003</v>
      </c>
      <c r="L75" s="804"/>
      <c r="M75" s="804">
        <f t="shared" si="5"/>
        <v>0</v>
      </c>
    </row>
    <row r="76" spans="1:14" ht="25.5" hidden="1" outlineLevel="1" x14ac:dyDescent="0.25">
      <c r="A76" s="523" t="s">
        <v>1351</v>
      </c>
      <c r="B76" s="397" t="s">
        <v>700</v>
      </c>
      <c r="C76" s="524" t="s">
        <v>701</v>
      </c>
      <c r="D76" s="525">
        <v>8</v>
      </c>
      <c r="E76" s="526" t="s">
        <v>1275</v>
      </c>
      <c r="F76" s="522"/>
      <c r="G76" s="522"/>
      <c r="H76" s="522"/>
      <c r="I76" s="522"/>
      <c r="J76" s="522"/>
      <c r="K76" s="802">
        <f t="shared" si="4"/>
        <v>1.1686530960000003</v>
      </c>
      <c r="L76" s="804"/>
      <c r="M76" s="804">
        <f t="shared" si="5"/>
        <v>0</v>
      </c>
    </row>
    <row r="77" spans="1:14" hidden="1" outlineLevel="1" x14ac:dyDescent="0.25">
      <c r="A77" s="523" t="s">
        <v>1352</v>
      </c>
      <c r="B77" s="532" t="s">
        <v>703</v>
      </c>
      <c r="C77" s="524" t="s">
        <v>704</v>
      </c>
      <c r="D77" s="525">
        <v>3</v>
      </c>
      <c r="E77" s="526" t="s">
        <v>1275</v>
      </c>
      <c r="F77" s="522"/>
      <c r="G77" s="522"/>
      <c r="H77" s="522"/>
      <c r="I77" s="522"/>
      <c r="J77" s="522"/>
      <c r="K77" s="802">
        <f t="shared" si="4"/>
        <v>1.1686530960000003</v>
      </c>
      <c r="L77" s="804"/>
      <c r="M77" s="804">
        <f t="shared" si="5"/>
        <v>0</v>
      </c>
    </row>
    <row r="78" spans="1:14" collapsed="1" x14ac:dyDescent="0.25">
      <c r="A78" s="523" t="s">
        <v>1353</v>
      </c>
      <c r="B78" s="532" t="s">
        <v>2374</v>
      </c>
      <c r="C78" s="524" t="s">
        <v>660</v>
      </c>
      <c r="D78" s="525">
        <v>260</v>
      </c>
      <c r="E78" s="526" t="s">
        <v>1275</v>
      </c>
      <c r="F78" s="522"/>
      <c r="G78" s="522"/>
      <c r="H78" s="522"/>
      <c r="I78" s="522"/>
      <c r="J78" s="522"/>
      <c r="K78" s="802">
        <f t="shared" si="4"/>
        <v>1.1686530960000003</v>
      </c>
      <c r="L78" s="804">
        <f>'Расчёт по УНЦС'!G227*K78</f>
        <v>115010.51054080366</v>
      </c>
      <c r="M78" s="804">
        <f>L78*1.2</f>
        <v>138012.61264896439</v>
      </c>
    </row>
    <row r="79" spans="1:14" x14ac:dyDescent="0.25">
      <c r="A79" s="1207" t="s">
        <v>1279</v>
      </c>
      <c r="B79" s="1207"/>
      <c r="C79" s="1207"/>
      <c r="D79" s="1207"/>
      <c r="E79" s="1207"/>
      <c r="F79" s="1207"/>
      <c r="G79" s="1207"/>
      <c r="H79" s="1207"/>
      <c r="I79" s="1207"/>
      <c r="J79" s="1207"/>
      <c r="K79" s="1207"/>
      <c r="L79" s="805">
        <f>SUM(L57:L78)</f>
        <v>267860.64338534273</v>
      </c>
      <c r="M79" s="805">
        <f>SUM(M57:M78)</f>
        <v>321432.77206241124</v>
      </c>
      <c r="N79" s="803"/>
    </row>
    <row r="80" spans="1:14" x14ac:dyDescent="0.25">
      <c r="A80" s="527"/>
      <c r="B80" s="521" t="s">
        <v>119</v>
      </c>
      <c r="C80" s="543"/>
      <c r="D80" s="521"/>
      <c r="E80" s="522"/>
      <c r="F80" s="522"/>
      <c r="G80" s="522"/>
      <c r="H80" s="522"/>
      <c r="I80" s="522"/>
      <c r="J80" s="522"/>
      <c r="K80" s="522"/>
      <c r="L80" s="804"/>
      <c r="M80" s="804"/>
    </row>
    <row r="81" spans="1:13" x14ac:dyDescent="0.25">
      <c r="A81" s="523" t="s">
        <v>483</v>
      </c>
      <c r="B81" s="397" t="s">
        <v>65</v>
      </c>
      <c r="C81" s="524" t="s">
        <v>0</v>
      </c>
      <c r="D81" s="525">
        <v>1.6</v>
      </c>
      <c r="E81" s="522"/>
      <c r="F81" s="522"/>
      <c r="G81" s="522"/>
      <c r="H81" s="522"/>
      <c r="I81" s="522"/>
      <c r="J81" s="522"/>
      <c r="K81" s="522"/>
      <c r="L81" s="804"/>
      <c r="M81" s="804"/>
    </row>
    <row r="82" spans="1:13" x14ac:dyDescent="0.25">
      <c r="A82" s="523" t="s">
        <v>515</v>
      </c>
      <c r="B82" s="397" t="s">
        <v>122</v>
      </c>
      <c r="C82" s="538" t="str">
        <f>'Расчёт по УНЦС'!D231</f>
        <v>100 м2</v>
      </c>
      <c r="D82" s="525">
        <f>'Расчёт по УНЦС'!E231</f>
        <v>9</v>
      </c>
      <c r="E82" s="526" t="s">
        <v>1275</v>
      </c>
      <c r="F82" s="522"/>
      <c r="G82" s="522"/>
      <c r="H82" s="522"/>
      <c r="I82" s="522"/>
      <c r="J82" s="522"/>
      <c r="K82" s="802">
        <f t="shared" ref="K82:K100" si="6">$L$227*$L$228*$L$229</f>
        <v>1.1686530960000003</v>
      </c>
      <c r="L82" s="804">
        <f>'Расчёт по УНЦС'!G236*K82</f>
        <v>7300.7871596317127</v>
      </c>
      <c r="M82" s="804">
        <f t="shared" ref="M82:M105" si="7">L82*1.2</f>
        <v>8760.9445915580545</v>
      </c>
    </row>
    <row r="83" spans="1:13" x14ac:dyDescent="0.25">
      <c r="A83" s="523" t="s">
        <v>1354</v>
      </c>
      <c r="B83" s="397" t="s">
        <v>124</v>
      </c>
      <c r="C83" s="538" t="str">
        <f>'Расчёт по УНЦС'!D238</f>
        <v>100 м2</v>
      </c>
      <c r="D83" s="525">
        <f>'Расчёт по УНЦС'!E238</f>
        <v>1</v>
      </c>
      <c r="E83" s="526" t="s">
        <v>1275</v>
      </c>
      <c r="F83" s="522"/>
      <c r="G83" s="522"/>
      <c r="H83" s="522"/>
      <c r="I83" s="522"/>
      <c r="J83" s="522"/>
      <c r="K83" s="802">
        <f t="shared" si="6"/>
        <v>1.1686530960000003</v>
      </c>
      <c r="L83" s="804">
        <f>'Расчёт по УНЦС'!G243*K83</f>
        <v>811.19857329241256</v>
      </c>
      <c r="M83" s="804">
        <f t="shared" si="7"/>
        <v>973.43828795089507</v>
      </c>
    </row>
    <row r="84" spans="1:13" x14ac:dyDescent="0.25">
      <c r="A84" s="523" t="s">
        <v>1355</v>
      </c>
      <c r="B84" s="397" t="s">
        <v>73</v>
      </c>
      <c r="C84" s="538" t="str">
        <f>'Расчёт по УНЦС'!D245</f>
        <v>100 м2</v>
      </c>
      <c r="D84" s="525">
        <f>'Расчёт по УНЦС'!E245</f>
        <v>160</v>
      </c>
      <c r="E84" s="526" t="s">
        <v>1275</v>
      </c>
      <c r="F84" s="522"/>
      <c r="G84" s="522"/>
      <c r="H84" s="522"/>
      <c r="I84" s="522"/>
      <c r="J84" s="522"/>
      <c r="K84" s="802">
        <f t="shared" si="6"/>
        <v>1.1686530960000003</v>
      </c>
      <c r="L84" s="804">
        <f>'Расчёт по УНЦС'!G249*K84</f>
        <v>3155.0200556665195</v>
      </c>
      <c r="M84" s="804">
        <f t="shared" si="7"/>
        <v>3786.0240667998232</v>
      </c>
    </row>
    <row r="85" spans="1:13" x14ac:dyDescent="0.25">
      <c r="A85" s="523" t="s">
        <v>1356</v>
      </c>
      <c r="B85" s="397" t="s">
        <v>127</v>
      </c>
      <c r="C85" s="538" t="str">
        <f>'Расчёт по УНЦС'!D251</f>
        <v>га</v>
      </c>
      <c r="D85" s="525">
        <f>'Расчёт по УНЦС'!E251</f>
        <v>1</v>
      </c>
      <c r="E85" s="526" t="s">
        <v>1275</v>
      </c>
      <c r="F85" s="522"/>
      <c r="G85" s="522"/>
      <c r="H85" s="522"/>
      <c r="I85" s="522"/>
      <c r="J85" s="522"/>
      <c r="K85" s="802">
        <f t="shared" si="6"/>
        <v>1.1686530960000003</v>
      </c>
      <c r="L85" s="804">
        <f>'Расчёт по УНЦС'!G254*K85</f>
        <v>20661.100504182032</v>
      </c>
      <c r="M85" s="804">
        <f t="shared" si="7"/>
        <v>24793.320605018438</v>
      </c>
    </row>
    <row r="86" spans="1:13" x14ac:dyDescent="0.25">
      <c r="A86" s="523" t="s">
        <v>1357</v>
      </c>
      <c r="B86" s="397" t="s">
        <v>71</v>
      </c>
      <c r="C86" s="523" t="str">
        <f>'Расчёт по УНЦС'!D262</f>
        <v>1 км</v>
      </c>
      <c r="D86" s="525">
        <f>'Расчёт по УНЦС'!E262</f>
        <v>0.9</v>
      </c>
      <c r="E86" s="526" t="s">
        <v>1275</v>
      </c>
      <c r="F86" s="522"/>
      <c r="G86" s="522"/>
      <c r="H86" s="522"/>
      <c r="I86" s="522"/>
      <c r="J86" s="522"/>
      <c r="K86" s="802">
        <f t="shared" si="6"/>
        <v>1.1686530960000003</v>
      </c>
      <c r="L86" s="804">
        <f>'Расчёт по УНЦС'!G266*K86</f>
        <v>21557.044894271152</v>
      </c>
      <c r="M86" s="804">
        <f t="shared" si="7"/>
        <v>25868.453873125382</v>
      </c>
    </row>
    <row r="87" spans="1:13" hidden="1" outlineLevel="1" x14ac:dyDescent="0.25">
      <c r="A87" s="523" t="s">
        <v>1358</v>
      </c>
      <c r="B87" s="397" t="s">
        <v>628</v>
      </c>
      <c r="C87" s="524" t="s">
        <v>211</v>
      </c>
      <c r="D87" s="525">
        <v>6</v>
      </c>
      <c r="E87" s="526" t="s">
        <v>1275</v>
      </c>
      <c r="F87" s="522"/>
      <c r="G87" s="522"/>
      <c r="H87" s="522"/>
      <c r="I87" s="522"/>
      <c r="J87" s="522"/>
      <c r="K87" s="802">
        <f t="shared" si="6"/>
        <v>1.1686530960000003</v>
      </c>
      <c r="L87" s="804"/>
      <c r="M87" s="804">
        <f t="shared" si="7"/>
        <v>0</v>
      </c>
    </row>
    <row r="88" spans="1:13" ht="25.5" hidden="1" outlineLevel="1" x14ac:dyDescent="0.25">
      <c r="A88" s="523" t="s">
        <v>1359</v>
      </c>
      <c r="B88" s="376" t="s">
        <v>630</v>
      </c>
      <c r="C88" s="533" t="s">
        <v>211</v>
      </c>
      <c r="D88" s="530"/>
      <c r="E88" s="526" t="s">
        <v>1275</v>
      </c>
      <c r="F88" s="522"/>
      <c r="G88" s="522"/>
      <c r="H88" s="522"/>
      <c r="I88" s="522"/>
      <c r="J88" s="522"/>
      <c r="K88" s="802">
        <f t="shared" si="6"/>
        <v>1.1686530960000003</v>
      </c>
      <c r="L88" s="804"/>
      <c r="M88" s="804">
        <f t="shared" si="7"/>
        <v>0</v>
      </c>
    </row>
    <row r="89" spans="1:13" hidden="1" outlineLevel="1" x14ac:dyDescent="0.25">
      <c r="A89" s="523" t="s">
        <v>1360</v>
      </c>
      <c r="B89" s="397" t="s">
        <v>632</v>
      </c>
      <c r="C89" s="524" t="s">
        <v>211</v>
      </c>
      <c r="D89" s="525">
        <v>3</v>
      </c>
      <c r="E89" s="526" t="s">
        <v>1275</v>
      </c>
      <c r="F89" s="522"/>
      <c r="G89" s="522"/>
      <c r="H89" s="522"/>
      <c r="I89" s="522"/>
      <c r="J89" s="522"/>
      <c r="K89" s="802">
        <f t="shared" si="6"/>
        <v>1.1686530960000003</v>
      </c>
      <c r="L89" s="804"/>
      <c r="M89" s="804">
        <f t="shared" si="7"/>
        <v>0</v>
      </c>
    </row>
    <row r="90" spans="1:13" hidden="1" outlineLevel="1" x14ac:dyDescent="0.25">
      <c r="A90" s="523" t="s">
        <v>1361</v>
      </c>
      <c r="B90" s="376" t="s">
        <v>634</v>
      </c>
      <c r="C90" s="533" t="s">
        <v>211</v>
      </c>
      <c r="D90" s="530"/>
      <c r="E90" s="526" t="s">
        <v>1275</v>
      </c>
      <c r="F90" s="522"/>
      <c r="G90" s="522"/>
      <c r="H90" s="522"/>
      <c r="I90" s="522"/>
      <c r="J90" s="522"/>
      <c r="K90" s="802">
        <f t="shared" si="6"/>
        <v>1.1686530960000003</v>
      </c>
      <c r="L90" s="804"/>
      <c r="M90" s="804">
        <f t="shared" si="7"/>
        <v>0</v>
      </c>
    </row>
    <row r="91" spans="1:13" collapsed="1" x14ac:dyDescent="0.25">
      <c r="A91" s="523" t="s">
        <v>678</v>
      </c>
      <c r="B91" s="397" t="s">
        <v>79</v>
      </c>
      <c r="C91" s="538" t="str">
        <f>'Расчёт по УНЦС'!D256</f>
        <v>100 м2</v>
      </c>
      <c r="D91" s="539">
        <f>'Расчёт по УНЦС'!E256</f>
        <v>9</v>
      </c>
      <c r="E91" s="526" t="s">
        <v>1275</v>
      </c>
      <c r="F91" s="522"/>
      <c r="G91" s="522"/>
      <c r="H91" s="522"/>
      <c r="I91" s="522"/>
      <c r="J91" s="522"/>
      <c r="K91" s="802">
        <f t="shared" si="6"/>
        <v>1.1686530960000003</v>
      </c>
      <c r="L91" s="804">
        <f>'Расчёт по УНЦС'!G260*K91</f>
        <v>1719.1574443911072</v>
      </c>
      <c r="M91" s="804">
        <f t="shared" si="7"/>
        <v>2062.9889332693288</v>
      </c>
    </row>
    <row r="92" spans="1:13" x14ac:dyDescent="0.25">
      <c r="A92" s="523" t="s">
        <v>688</v>
      </c>
      <c r="B92" s="531" t="s">
        <v>82</v>
      </c>
      <c r="C92" s="541" t="str">
        <f>'Расчёт по УНЦС'!D268</f>
        <v xml:space="preserve">1 м2  </v>
      </c>
      <c r="D92" s="542">
        <f>'Расчёт по УНЦС'!E268</f>
        <v>80</v>
      </c>
      <c r="E92" s="526" t="s">
        <v>1275</v>
      </c>
      <c r="F92" s="522"/>
      <c r="G92" s="522"/>
      <c r="H92" s="522"/>
      <c r="I92" s="522"/>
      <c r="J92" s="522"/>
      <c r="K92" s="802">
        <f t="shared" si="6"/>
        <v>1.1686530960000003</v>
      </c>
      <c r="L92" s="804">
        <f>'Расчёт по УНЦС'!G272*K92</f>
        <v>3920.8393643977956</v>
      </c>
      <c r="M92" s="804">
        <f t="shared" si="7"/>
        <v>4705.0072372773548</v>
      </c>
    </row>
    <row r="93" spans="1:13" x14ac:dyDescent="0.25">
      <c r="A93" s="523" t="s">
        <v>702</v>
      </c>
      <c r="B93" s="397" t="s">
        <v>1280</v>
      </c>
      <c r="C93" s="524" t="s">
        <v>660</v>
      </c>
      <c r="D93" s="525">
        <v>25</v>
      </c>
      <c r="E93" s="526" t="s">
        <v>1275</v>
      </c>
      <c r="F93" s="522"/>
      <c r="G93" s="522"/>
      <c r="H93" s="522"/>
      <c r="I93" s="522"/>
      <c r="J93" s="522"/>
      <c r="K93" s="802">
        <f t="shared" si="6"/>
        <v>1.1686530960000003</v>
      </c>
      <c r="L93" s="804">
        <f>'Расчёт по УНЦС'!G279*K93</f>
        <v>16658.453590616184</v>
      </c>
      <c r="M93" s="804">
        <f t="shared" si="7"/>
        <v>19990.144308739418</v>
      </c>
    </row>
    <row r="94" spans="1:13" x14ac:dyDescent="0.25">
      <c r="A94" s="523" t="s">
        <v>1362</v>
      </c>
      <c r="B94" s="397" t="s">
        <v>1281</v>
      </c>
      <c r="C94" s="524" t="s">
        <v>660</v>
      </c>
      <c r="D94" s="525">
        <v>25</v>
      </c>
      <c r="E94" s="526"/>
      <c r="F94" s="522"/>
      <c r="G94" s="522"/>
      <c r="H94" s="522"/>
      <c r="I94" s="522"/>
      <c r="J94" s="522"/>
      <c r="K94" s="802">
        <f t="shared" si="6"/>
        <v>1.1686530960000003</v>
      </c>
      <c r="L94" s="804">
        <f>'Расчёт по УНЦС'!G286*K94</f>
        <v>6831.1153018969162</v>
      </c>
      <c r="M94" s="804">
        <f t="shared" si="7"/>
        <v>8197.3383622762994</v>
      </c>
    </row>
    <row r="95" spans="1:13" x14ac:dyDescent="0.25">
      <c r="A95" s="523" t="s">
        <v>1363</v>
      </c>
      <c r="B95" s="397" t="s">
        <v>679</v>
      </c>
      <c r="C95" s="538" t="str">
        <f>'Расчёт по УНЦС'!D288</f>
        <v>100 м</v>
      </c>
      <c r="D95" s="525">
        <f>'Расчёт по УНЦС'!E288</f>
        <v>4</v>
      </c>
      <c r="E95" s="526" t="s">
        <v>1275</v>
      </c>
      <c r="F95" s="522"/>
      <c r="G95" s="522"/>
      <c r="H95" s="522"/>
      <c r="I95" s="522"/>
      <c r="J95" s="522"/>
      <c r="K95" s="802">
        <f t="shared" si="6"/>
        <v>1.1686530960000003</v>
      </c>
      <c r="L95" s="804">
        <f>'Расчёт по УНЦС'!G293*K95</f>
        <v>2941.2515085237133</v>
      </c>
      <c r="M95" s="804">
        <f>L95*1.2</f>
        <v>3529.5018102284557</v>
      </c>
    </row>
    <row r="96" spans="1:13" hidden="1" outlineLevel="1" x14ac:dyDescent="0.25">
      <c r="A96" s="523" t="s">
        <v>1364</v>
      </c>
      <c r="B96" s="532" t="s">
        <v>681</v>
      </c>
      <c r="C96" s="524" t="s">
        <v>660</v>
      </c>
      <c r="D96" s="525">
        <v>300</v>
      </c>
      <c r="E96" s="526" t="s">
        <v>1275</v>
      </c>
      <c r="F96" s="522"/>
      <c r="G96" s="522"/>
      <c r="H96" s="522"/>
      <c r="I96" s="522"/>
      <c r="J96" s="522"/>
      <c r="K96" s="802">
        <f t="shared" si="6"/>
        <v>1.1686530960000003</v>
      </c>
      <c r="L96" s="807"/>
      <c r="M96" s="804">
        <f t="shared" si="7"/>
        <v>0</v>
      </c>
    </row>
    <row r="97" spans="1:14" hidden="1" outlineLevel="1" x14ac:dyDescent="0.25">
      <c r="A97" s="523" t="s">
        <v>1365</v>
      </c>
      <c r="B97" s="532" t="s">
        <v>683</v>
      </c>
      <c r="C97" s="524" t="s">
        <v>660</v>
      </c>
      <c r="D97" s="525">
        <v>400</v>
      </c>
      <c r="E97" s="526" t="s">
        <v>1275</v>
      </c>
      <c r="F97" s="522"/>
      <c r="G97" s="522"/>
      <c r="H97" s="522"/>
      <c r="I97" s="522"/>
      <c r="J97" s="522"/>
      <c r="K97" s="802">
        <f t="shared" si="6"/>
        <v>1.1686530960000003</v>
      </c>
      <c r="L97" s="807"/>
      <c r="M97" s="804">
        <f t="shared" si="7"/>
        <v>0</v>
      </c>
    </row>
    <row r="98" spans="1:14" collapsed="1" x14ac:dyDescent="0.25">
      <c r="A98" s="523" t="s">
        <v>1366</v>
      </c>
      <c r="B98" s="532" t="s">
        <v>685</v>
      </c>
      <c r="C98" s="524" t="s">
        <v>660</v>
      </c>
      <c r="D98" s="525">
        <f>400+D97+D99</f>
        <v>1200</v>
      </c>
      <c r="E98" s="526" t="s">
        <v>1275</v>
      </c>
      <c r="F98" s="522"/>
      <c r="G98" s="522"/>
      <c r="H98" s="522"/>
      <c r="I98" s="522"/>
      <c r="J98" s="522"/>
      <c r="K98" s="802">
        <f t="shared" si="6"/>
        <v>1.1686530960000003</v>
      </c>
      <c r="L98" s="804">
        <f>'Расчёт по УНЦС'!G299*K98</f>
        <v>1138.4312202094577</v>
      </c>
      <c r="M98" s="804">
        <f>L98*1.2</f>
        <v>1366.1174642513492</v>
      </c>
    </row>
    <row r="99" spans="1:14" hidden="1" outlineLevel="1" x14ac:dyDescent="0.25">
      <c r="A99" s="523" t="s">
        <v>1367</v>
      </c>
      <c r="B99" s="532" t="s">
        <v>687</v>
      </c>
      <c r="C99" s="524" t="s">
        <v>660</v>
      </c>
      <c r="D99" s="525">
        <v>400</v>
      </c>
      <c r="E99" s="526" t="s">
        <v>1275</v>
      </c>
      <c r="F99" s="522"/>
      <c r="G99" s="522"/>
      <c r="H99" s="522"/>
      <c r="I99" s="522"/>
      <c r="J99" s="522"/>
      <c r="K99" s="802">
        <f t="shared" si="6"/>
        <v>1.1686530960000003</v>
      </c>
      <c r="L99" s="804"/>
      <c r="M99" s="804">
        <f t="shared" si="7"/>
        <v>0</v>
      </c>
    </row>
    <row r="100" spans="1:14" collapsed="1" x14ac:dyDescent="0.25">
      <c r="A100" s="523" t="s">
        <v>1368</v>
      </c>
      <c r="B100" s="532" t="s">
        <v>1448</v>
      </c>
      <c r="C100" s="538" t="str">
        <f>'Расчёт по УНЦС'!D301</f>
        <v>1 м</v>
      </c>
      <c r="D100" s="525">
        <f>'Расчёт по УНЦС'!E301</f>
        <v>900</v>
      </c>
      <c r="E100" s="526" t="s">
        <v>1275</v>
      </c>
      <c r="F100" s="522"/>
      <c r="G100" s="522"/>
      <c r="H100" s="522"/>
      <c r="I100" s="522"/>
      <c r="J100" s="522"/>
      <c r="K100" s="802">
        <f t="shared" si="6"/>
        <v>1.1686530960000003</v>
      </c>
      <c r="L100" s="804">
        <f>'Расчёт по УНЦС'!G305*K100</f>
        <v>20616.606893740005</v>
      </c>
      <c r="M100" s="804">
        <f t="shared" si="7"/>
        <v>24739.928272488007</v>
      </c>
    </row>
    <row r="101" spans="1:14" ht="51" hidden="1" outlineLevel="1" x14ac:dyDescent="0.25">
      <c r="A101" s="523" t="s">
        <v>1369</v>
      </c>
      <c r="B101" s="397" t="s">
        <v>691</v>
      </c>
      <c r="C101" s="524" t="s">
        <v>692</v>
      </c>
      <c r="D101" s="524" t="s">
        <v>693</v>
      </c>
      <c r="E101" s="526" t="s">
        <v>1275</v>
      </c>
      <c r="F101" s="522"/>
      <c r="G101" s="522"/>
      <c r="H101" s="522"/>
      <c r="I101" s="522"/>
      <c r="J101" s="522"/>
      <c r="K101" s="522"/>
      <c r="L101" s="804"/>
      <c r="M101" s="804">
        <f t="shared" si="7"/>
        <v>0</v>
      </c>
    </row>
    <row r="102" spans="1:14" hidden="1" outlineLevel="1" x14ac:dyDescent="0.25">
      <c r="A102" s="523" t="s">
        <v>1370</v>
      </c>
      <c r="B102" s="532" t="s">
        <v>695</v>
      </c>
      <c r="C102" s="524" t="s">
        <v>696</v>
      </c>
      <c r="D102" s="525">
        <v>26</v>
      </c>
      <c r="E102" s="526" t="s">
        <v>1275</v>
      </c>
      <c r="F102" s="522"/>
      <c r="G102" s="522"/>
      <c r="H102" s="522"/>
      <c r="I102" s="522"/>
      <c r="J102" s="522"/>
      <c r="K102" s="522"/>
      <c r="L102" s="804"/>
      <c r="M102" s="804">
        <f t="shared" si="7"/>
        <v>0</v>
      </c>
    </row>
    <row r="103" spans="1:14" hidden="1" outlineLevel="1" x14ac:dyDescent="0.25">
      <c r="A103" s="523" t="s">
        <v>1371</v>
      </c>
      <c r="B103" s="397" t="s">
        <v>698</v>
      </c>
      <c r="C103" s="524"/>
      <c r="D103" s="525"/>
      <c r="E103" s="526" t="s">
        <v>1275</v>
      </c>
      <c r="F103" s="522"/>
      <c r="G103" s="522"/>
      <c r="H103" s="522"/>
      <c r="I103" s="522"/>
      <c r="J103" s="522"/>
      <c r="K103" s="522"/>
      <c r="L103" s="804"/>
      <c r="M103" s="804">
        <f t="shared" si="7"/>
        <v>0</v>
      </c>
    </row>
    <row r="104" spans="1:14" ht="25.5" hidden="1" outlineLevel="1" x14ac:dyDescent="0.25">
      <c r="A104" s="523" t="s">
        <v>1372</v>
      </c>
      <c r="B104" s="397" t="s">
        <v>700</v>
      </c>
      <c r="C104" s="524" t="s">
        <v>701</v>
      </c>
      <c r="D104" s="525">
        <v>10</v>
      </c>
      <c r="E104" s="526" t="s">
        <v>1275</v>
      </c>
      <c r="F104" s="522"/>
      <c r="G104" s="522"/>
      <c r="H104" s="522"/>
      <c r="I104" s="522"/>
      <c r="J104" s="522"/>
      <c r="K104" s="522"/>
      <c r="L104" s="804"/>
      <c r="M104" s="804">
        <f t="shared" si="7"/>
        <v>0</v>
      </c>
    </row>
    <row r="105" spans="1:14" hidden="1" outlineLevel="1" x14ac:dyDescent="0.25">
      <c r="A105" s="523" t="s">
        <v>1373</v>
      </c>
      <c r="B105" s="532" t="s">
        <v>703</v>
      </c>
      <c r="C105" s="524" t="s">
        <v>704</v>
      </c>
      <c r="D105" s="525">
        <v>0</v>
      </c>
      <c r="E105" s="526" t="s">
        <v>1275</v>
      </c>
      <c r="F105" s="522"/>
      <c r="G105" s="522"/>
      <c r="H105" s="522"/>
      <c r="I105" s="522"/>
      <c r="J105" s="522"/>
      <c r="K105" s="522"/>
      <c r="L105" s="804"/>
      <c r="M105" s="804">
        <f t="shared" si="7"/>
        <v>0</v>
      </c>
    </row>
    <row r="106" spans="1:14" collapsed="1" x14ac:dyDescent="0.25">
      <c r="A106" s="523" t="s">
        <v>1369</v>
      </c>
      <c r="B106" s="532" t="s">
        <v>2374</v>
      </c>
      <c r="C106" s="524" t="s">
        <v>660</v>
      </c>
      <c r="D106" s="525">
        <v>510</v>
      </c>
      <c r="E106" s="526" t="s">
        <v>1275</v>
      </c>
      <c r="F106" s="522"/>
      <c r="G106" s="522"/>
      <c r="H106" s="522"/>
      <c r="I106" s="522"/>
      <c r="J106" s="522"/>
      <c r="K106" s="802">
        <f t="shared" ref="K106" si="8">$L$227*$L$228*$L$229</f>
        <v>1.1686530960000003</v>
      </c>
      <c r="L106" s="804">
        <f>'Расчёт по УНЦС'!G311*K106</f>
        <v>225597.53990696103</v>
      </c>
      <c r="M106" s="804">
        <f>L106*1.2</f>
        <v>270717.04788835323</v>
      </c>
    </row>
    <row r="107" spans="1:14" x14ac:dyDescent="0.25">
      <c r="A107" s="1207" t="s">
        <v>1279</v>
      </c>
      <c r="B107" s="1207"/>
      <c r="C107" s="1207"/>
      <c r="D107" s="1207"/>
      <c r="E107" s="1207"/>
      <c r="F107" s="1207"/>
      <c r="G107" s="1207"/>
      <c r="H107" s="1207"/>
      <c r="I107" s="1207"/>
      <c r="J107" s="1207"/>
      <c r="K107" s="1207"/>
      <c r="L107" s="805">
        <f>SUM(L82:L106)</f>
        <v>332908.54641778005</v>
      </c>
      <c r="M107" s="805">
        <f>SUM(M82:M106)</f>
        <v>399490.25570133602</v>
      </c>
      <c r="N107" s="803"/>
    </row>
    <row r="108" spans="1:14" x14ac:dyDescent="0.25">
      <c r="A108" s="527"/>
      <c r="B108" s="521" t="s">
        <v>133</v>
      </c>
      <c r="C108" s="543"/>
      <c r="D108" s="521"/>
      <c r="E108" s="522"/>
      <c r="F108" s="522"/>
      <c r="G108" s="522"/>
      <c r="H108" s="522"/>
      <c r="I108" s="522"/>
      <c r="J108" s="522"/>
      <c r="K108" s="522"/>
      <c r="L108" s="804"/>
      <c r="M108" s="804"/>
    </row>
    <row r="109" spans="1:14" x14ac:dyDescent="0.25">
      <c r="A109" s="523" t="s">
        <v>485</v>
      </c>
      <c r="B109" s="397" t="s">
        <v>65</v>
      </c>
      <c r="C109" s="524" t="s">
        <v>0</v>
      </c>
      <c r="D109" s="525">
        <v>1.2</v>
      </c>
      <c r="E109" s="526" t="s">
        <v>1275</v>
      </c>
      <c r="F109" s="522"/>
      <c r="G109" s="522"/>
      <c r="H109" s="522"/>
      <c r="I109" s="522"/>
      <c r="J109" s="522"/>
      <c r="K109" s="522"/>
      <c r="L109" s="804"/>
      <c r="M109" s="804"/>
    </row>
    <row r="110" spans="1:14" x14ac:dyDescent="0.25">
      <c r="A110" s="523" t="s">
        <v>521</v>
      </c>
      <c r="B110" s="397" t="s">
        <v>122</v>
      </c>
      <c r="C110" s="538" t="str">
        <f>'Расчёт по УНЦС'!D315</f>
        <v>100 м2</v>
      </c>
      <c r="D110" s="525">
        <f>'Расчёт по УНЦС'!E315</f>
        <v>7</v>
      </c>
      <c r="E110" s="526" t="s">
        <v>1275</v>
      </c>
      <c r="F110" s="522"/>
      <c r="G110" s="522"/>
      <c r="H110" s="522"/>
      <c r="I110" s="522"/>
      <c r="J110" s="522"/>
      <c r="K110" s="802">
        <f t="shared" ref="K110:K122" si="9">$L$227*$L$228*$L$229</f>
        <v>1.1686530960000003</v>
      </c>
      <c r="L110" s="804">
        <f>'Расчёт по УНЦС'!G320*K110</f>
        <v>5678.3900130468874</v>
      </c>
      <c r="M110" s="804">
        <f t="shared" ref="M110:M121" si="10">L110*1.2</f>
        <v>6814.0680156562648</v>
      </c>
    </row>
    <row r="111" spans="1:14" x14ac:dyDescent="0.25">
      <c r="A111" s="523" t="s">
        <v>1374</v>
      </c>
      <c r="B111" s="397" t="s">
        <v>73</v>
      </c>
      <c r="C111" s="538" t="str">
        <f>'Расчёт по УНЦС'!D322</f>
        <v>100 м2</v>
      </c>
      <c r="D111" s="525">
        <f>'Расчёт по УНЦС'!E322</f>
        <v>120</v>
      </c>
      <c r="E111" s="526" t="s">
        <v>1275</v>
      </c>
      <c r="F111" s="522"/>
      <c r="G111" s="522"/>
      <c r="H111" s="522"/>
      <c r="I111" s="522"/>
      <c r="J111" s="522"/>
      <c r="K111" s="802">
        <f t="shared" si="9"/>
        <v>1.1686530960000003</v>
      </c>
      <c r="L111" s="804">
        <f>'Расчёт по УНЦС'!G326*K111</f>
        <v>2366.2650417498894</v>
      </c>
      <c r="M111" s="804">
        <f t="shared" si="10"/>
        <v>2839.5180500998672</v>
      </c>
    </row>
    <row r="112" spans="1:14" x14ac:dyDescent="0.25">
      <c r="A112" s="523" t="s">
        <v>1375</v>
      </c>
      <c r="B112" s="397" t="s">
        <v>127</v>
      </c>
      <c r="C112" s="538" t="str">
        <f>'Расчёт по УНЦС'!D328</f>
        <v>га</v>
      </c>
      <c r="D112" s="525">
        <f>'Расчёт по УНЦС'!E328</f>
        <v>0.8</v>
      </c>
      <c r="E112" s="526" t="s">
        <v>1275</v>
      </c>
      <c r="F112" s="522"/>
      <c r="G112" s="522"/>
      <c r="H112" s="522"/>
      <c r="I112" s="522"/>
      <c r="J112" s="522"/>
      <c r="K112" s="802">
        <f t="shared" si="9"/>
        <v>1.1686530960000003</v>
      </c>
      <c r="L112" s="804">
        <f>'Расчёт по УНЦС'!G331*K112</f>
        <v>16528.880403345629</v>
      </c>
      <c r="M112" s="804">
        <f t="shared" si="10"/>
        <v>19834.656484014755</v>
      </c>
    </row>
    <row r="113" spans="1:14" ht="15.75" customHeight="1" x14ac:dyDescent="0.25">
      <c r="A113" s="523" t="s">
        <v>1376</v>
      </c>
      <c r="B113" s="397" t="s">
        <v>71</v>
      </c>
      <c r="C113" s="538" t="str">
        <f>'Расчёт по УНЦС'!D339</f>
        <v>1 км</v>
      </c>
      <c r="D113" s="525">
        <f>'Расчёт по УНЦС'!E339</f>
        <v>0.7</v>
      </c>
      <c r="E113" s="526" t="s">
        <v>1275</v>
      </c>
      <c r="F113" s="522"/>
      <c r="G113" s="522"/>
      <c r="H113" s="522"/>
      <c r="I113" s="522"/>
      <c r="J113" s="522"/>
      <c r="K113" s="802">
        <f t="shared" si="9"/>
        <v>1.1686530960000003</v>
      </c>
      <c r="L113" s="804">
        <f>'Расчёт по УНЦС'!G343*K113</f>
        <v>16766.590473322001</v>
      </c>
      <c r="M113" s="804">
        <f t="shared" si="10"/>
        <v>20119.9085679864</v>
      </c>
    </row>
    <row r="114" spans="1:14" hidden="1" outlineLevel="1" x14ac:dyDescent="0.25">
      <c r="A114" s="523" t="s">
        <v>1377</v>
      </c>
      <c r="B114" s="397" t="s">
        <v>628</v>
      </c>
      <c r="C114" s="524" t="s">
        <v>211</v>
      </c>
      <c r="D114" s="525">
        <v>8</v>
      </c>
      <c r="E114" s="526" t="s">
        <v>1275</v>
      </c>
      <c r="F114" s="522"/>
      <c r="G114" s="522"/>
      <c r="H114" s="522"/>
      <c r="I114" s="522"/>
      <c r="J114" s="522"/>
      <c r="K114" s="802">
        <f t="shared" si="9"/>
        <v>1.1686530960000003</v>
      </c>
      <c r="L114" s="804"/>
      <c r="M114" s="804">
        <f t="shared" si="10"/>
        <v>0</v>
      </c>
    </row>
    <row r="115" spans="1:14" ht="25.5" hidden="1" outlineLevel="1" x14ac:dyDescent="0.25">
      <c r="A115" s="523" t="s">
        <v>1378</v>
      </c>
      <c r="B115" s="376" t="s">
        <v>630</v>
      </c>
      <c r="C115" s="533" t="s">
        <v>211</v>
      </c>
      <c r="D115" s="530"/>
      <c r="E115" s="526" t="s">
        <v>1275</v>
      </c>
      <c r="F115" s="522"/>
      <c r="G115" s="522"/>
      <c r="H115" s="522"/>
      <c r="I115" s="522"/>
      <c r="J115" s="522"/>
      <c r="K115" s="802">
        <f t="shared" si="9"/>
        <v>1.1686530960000003</v>
      </c>
      <c r="L115" s="804"/>
      <c r="M115" s="804">
        <f t="shared" si="10"/>
        <v>0</v>
      </c>
    </row>
    <row r="116" spans="1:14" hidden="1" outlineLevel="1" x14ac:dyDescent="0.25">
      <c r="A116" s="523" t="s">
        <v>1379</v>
      </c>
      <c r="B116" s="376" t="s">
        <v>632</v>
      </c>
      <c r="C116" s="533" t="s">
        <v>211</v>
      </c>
      <c r="D116" s="530"/>
      <c r="E116" s="526" t="s">
        <v>1275</v>
      </c>
      <c r="F116" s="522"/>
      <c r="G116" s="522"/>
      <c r="H116" s="522"/>
      <c r="I116" s="522"/>
      <c r="J116" s="522"/>
      <c r="K116" s="802">
        <f t="shared" si="9"/>
        <v>1.1686530960000003</v>
      </c>
      <c r="L116" s="804"/>
      <c r="M116" s="804">
        <f t="shared" si="10"/>
        <v>0</v>
      </c>
    </row>
    <row r="117" spans="1:14" hidden="1" outlineLevel="1" x14ac:dyDescent="0.25">
      <c r="A117" s="523" t="s">
        <v>1380</v>
      </c>
      <c r="B117" s="397" t="s">
        <v>634</v>
      </c>
      <c r="C117" s="524" t="s">
        <v>211</v>
      </c>
      <c r="D117" s="525">
        <v>4</v>
      </c>
      <c r="E117" s="526" t="s">
        <v>1275</v>
      </c>
      <c r="F117" s="522"/>
      <c r="G117" s="522"/>
      <c r="H117" s="522"/>
      <c r="I117" s="522"/>
      <c r="J117" s="522"/>
      <c r="K117" s="802">
        <f t="shared" si="9"/>
        <v>1.1686530960000003</v>
      </c>
      <c r="L117" s="804"/>
      <c r="M117" s="804">
        <f t="shared" si="10"/>
        <v>0</v>
      </c>
    </row>
    <row r="118" spans="1:14" collapsed="1" x14ac:dyDescent="0.25">
      <c r="A118" s="523" t="s">
        <v>1381</v>
      </c>
      <c r="B118" s="397" t="s">
        <v>79</v>
      </c>
      <c r="C118" s="538" t="str">
        <f>'Расчёт по УНЦС'!D333</f>
        <v>100 м2</v>
      </c>
      <c r="D118" s="540">
        <f>'Расчёт по УНЦС'!E333</f>
        <v>120</v>
      </c>
      <c r="E118" s="526" t="s">
        <v>1275</v>
      </c>
      <c r="F118" s="522"/>
      <c r="G118" s="522"/>
      <c r="H118" s="522"/>
      <c r="I118" s="522"/>
      <c r="J118" s="522"/>
      <c r="K118" s="802">
        <f t="shared" si="9"/>
        <v>1.1686530960000003</v>
      </c>
      <c r="L118" s="804">
        <f>'Расчёт по УНЦС'!G337*K118</f>
        <v>22922.099258548093</v>
      </c>
      <c r="M118" s="804">
        <f t="shared" si="10"/>
        <v>27506.519110257712</v>
      </c>
    </row>
    <row r="119" spans="1:14" x14ac:dyDescent="0.25">
      <c r="A119" s="523" t="s">
        <v>1382</v>
      </c>
      <c r="B119" s="531" t="s">
        <v>82</v>
      </c>
      <c r="C119" s="541" t="str">
        <f>'Расчёт по УНЦС'!D345</f>
        <v xml:space="preserve">1 м2  </v>
      </c>
      <c r="D119" s="542">
        <f>'Расчёт по УНЦС'!E345</f>
        <v>80</v>
      </c>
      <c r="E119" s="526" t="s">
        <v>1275</v>
      </c>
      <c r="F119" s="522"/>
      <c r="G119" s="522"/>
      <c r="H119" s="522"/>
      <c r="I119" s="522"/>
      <c r="J119" s="522"/>
      <c r="K119" s="802">
        <f t="shared" si="9"/>
        <v>1.1686530960000003</v>
      </c>
      <c r="L119" s="804">
        <f>'Расчёт по УНЦС'!G349*K119</f>
        <v>3920.8393643977956</v>
      </c>
      <c r="M119" s="804">
        <f t="shared" si="10"/>
        <v>4705.0072372773548</v>
      </c>
    </row>
    <row r="120" spans="1:14" x14ac:dyDescent="0.25">
      <c r="A120" s="523" t="s">
        <v>1383</v>
      </c>
      <c r="B120" s="397" t="s">
        <v>1280</v>
      </c>
      <c r="C120" s="524" t="s">
        <v>660</v>
      </c>
      <c r="D120" s="525">
        <v>30</v>
      </c>
      <c r="E120" s="526" t="s">
        <v>1275</v>
      </c>
      <c r="F120" s="522"/>
      <c r="G120" s="522"/>
      <c r="H120" s="522"/>
      <c r="I120" s="522"/>
      <c r="J120" s="522"/>
      <c r="K120" s="802">
        <f t="shared" si="9"/>
        <v>1.1686530960000003</v>
      </c>
      <c r="L120" s="804">
        <f>'Расчёт по УНЦС'!G362*K120</f>
        <v>19990.144308739422</v>
      </c>
      <c r="M120" s="804">
        <f t="shared" si="10"/>
        <v>23988.173170487305</v>
      </c>
    </row>
    <row r="121" spans="1:14" x14ac:dyDescent="0.25">
      <c r="A121" s="523" t="s">
        <v>1384</v>
      </c>
      <c r="B121" s="397" t="s">
        <v>1281</v>
      </c>
      <c r="C121" s="524" t="s">
        <v>660</v>
      </c>
      <c r="D121" s="525">
        <v>20</v>
      </c>
      <c r="E121" s="526" t="s">
        <v>1275</v>
      </c>
      <c r="F121" s="522"/>
      <c r="G121" s="522"/>
      <c r="H121" s="522"/>
      <c r="I121" s="522"/>
      <c r="J121" s="522"/>
      <c r="K121" s="802">
        <f t="shared" si="9"/>
        <v>1.1686530960000003</v>
      </c>
      <c r="L121" s="804">
        <f>'Расчёт по УНЦС'!G369*K121</f>
        <v>5464.8922415175321</v>
      </c>
      <c r="M121" s="804">
        <f t="shared" si="10"/>
        <v>6557.8706898210385</v>
      </c>
    </row>
    <row r="122" spans="1:14" collapsed="1" x14ac:dyDescent="0.25">
      <c r="A122" s="523" t="s">
        <v>1369</v>
      </c>
      <c r="B122" s="532" t="s">
        <v>2374</v>
      </c>
      <c r="C122" s="524" t="s">
        <v>660</v>
      </c>
      <c r="D122" s="525">
        <v>520</v>
      </c>
      <c r="E122" s="526" t="s">
        <v>1275</v>
      </c>
      <c r="F122" s="522"/>
      <c r="G122" s="522"/>
      <c r="H122" s="522"/>
      <c r="I122" s="522"/>
      <c r="J122" s="522"/>
      <c r="K122" s="802">
        <f t="shared" si="9"/>
        <v>1.1686530960000003</v>
      </c>
      <c r="L122" s="804">
        <f>'Расчёт по УНЦС'!G375*K122</f>
        <v>230021.02108160732</v>
      </c>
      <c r="M122" s="804">
        <f>L122*1.2</f>
        <v>276025.22529792879</v>
      </c>
    </row>
    <row r="123" spans="1:14" x14ac:dyDescent="0.25">
      <c r="A123" s="1207" t="s">
        <v>1279</v>
      </c>
      <c r="B123" s="1207"/>
      <c r="C123" s="1207"/>
      <c r="D123" s="1207"/>
      <c r="E123" s="1207"/>
      <c r="F123" s="1207"/>
      <c r="G123" s="1207"/>
      <c r="H123" s="1207"/>
      <c r="I123" s="1207"/>
      <c r="J123" s="1207"/>
      <c r="K123" s="1207"/>
      <c r="L123" s="805">
        <f>SUM(L110:L122)</f>
        <v>323659.12218627456</v>
      </c>
      <c r="M123" s="805">
        <f>SUM(M110:M122)</f>
        <v>388390.94662352948</v>
      </c>
      <c r="N123" s="803"/>
    </row>
    <row r="124" spans="1:14" x14ac:dyDescent="0.25">
      <c r="A124" s="527"/>
      <c r="B124" s="521" t="s">
        <v>142</v>
      </c>
      <c r="C124" s="543"/>
      <c r="D124" s="521"/>
      <c r="E124" s="522"/>
      <c r="F124" s="522"/>
      <c r="G124" s="522"/>
      <c r="H124" s="522"/>
      <c r="I124" s="522"/>
      <c r="J124" s="522"/>
      <c r="K124" s="522"/>
      <c r="L124" s="804"/>
      <c r="M124" s="804"/>
    </row>
    <row r="125" spans="1:14" x14ac:dyDescent="0.25">
      <c r="A125" s="523" t="s">
        <v>523</v>
      </c>
      <c r="B125" s="397" t="s">
        <v>65</v>
      </c>
      <c r="C125" s="524" t="s">
        <v>0</v>
      </c>
      <c r="D125" s="536">
        <f>D127+D158+D171</f>
        <v>4</v>
      </c>
      <c r="E125" s="522"/>
      <c r="F125" s="522"/>
      <c r="G125" s="522"/>
      <c r="H125" s="522"/>
      <c r="I125" s="522"/>
      <c r="J125" s="522"/>
      <c r="K125" s="522"/>
      <c r="L125" s="804"/>
      <c r="M125" s="804"/>
    </row>
    <row r="126" spans="1:14" x14ac:dyDescent="0.25">
      <c r="A126" s="527"/>
      <c r="B126" s="537" t="s">
        <v>144</v>
      </c>
      <c r="C126" s="544"/>
      <c r="D126" s="537"/>
      <c r="E126" s="522"/>
      <c r="F126" s="522"/>
      <c r="G126" s="522"/>
      <c r="H126" s="522"/>
      <c r="I126" s="522"/>
      <c r="J126" s="522"/>
      <c r="K126" s="522"/>
      <c r="L126" s="804"/>
      <c r="M126" s="804"/>
    </row>
    <row r="127" spans="1:14" x14ac:dyDescent="0.25">
      <c r="A127" s="523" t="s">
        <v>606</v>
      </c>
      <c r="B127" s="397" t="s">
        <v>65</v>
      </c>
      <c r="C127" s="524" t="s">
        <v>0</v>
      </c>
      <c r="D127" s="525">
        <v>1.8</v>
      </c>
      <c r="E127" s="522"/>
      <c r="F127" s="522"/>
      <c r="G127" s="522"/>
      <c r="H127" s="522"/>
      <c r="I127" s="522"/>
      <c r="J127" s="522"/>
      <c r="K127" s="522"/>
      <c r="L127" s="804"/>
      <c r="M127" s="804"/>
    </row>
    <row r="128" spans="1:14" ht="27.75" customHeight="1" x14ac:dyDescent="0.25">
      <c r="A128" s="523" t="s">
        <v>1286</v>
      </c>
      <c r="B128" s="397" t="s">
        <v>147</v>
      </c>
      <c r="C128" s="538" t="str">
        <f>'Расчёт по УНЦС'!D379</f>
        <v>1 место на стрельбище</v>
      </c>
      <c r="D128" s="525">
        <f>'Расчёт по УНЦС'!E379</f>
        <v>30</v>
      </c>
      <c r="E128" s="526" t="s">
        <v>1275</v>
      </c>
      <c r="F128" s="522"/>
      <c r="G128" s="522"/>
      <c r="H128" s="522"/>
      <c r="I128" s="522"/>
      <c r="J128" s="522"/>
      <c r="K128" s="802">
        <f t="shared" ref="K128:K141" si="11">$L$227*$L$228*$L$229</f>
        <v>1.1686530960000003</v>
      </c>
      <c r="L128" s="804">
        <f>'Расчёт по УНЦС'!G383*K128</f>
        <v>230119.77734110868</v>
      </c>
      <c r="M128" s="804">
        <f t="shared" ref="M128:M141" si="12">L128*1.2</f>
        <v>276143.73280933039</v>
      </c>
    </row>
    <row r="129" spans="1:14" x14ac:dyDescent="0.25">
      <c r="A129" s="523" t="s">
        <v>1285</v>
      </c>
      <c r="B129" s="528" t="s">
        <v>149</v>
      </c>
      <c r="C129" s="546" t="str">
        <f>'Расчёт по УНЦС'!D385</f>
        <v>100 м2</v>
      </c>
      <c r="D129" s="547">
        <f>'Расчёт по УНЦС'!E385</f>
        <v>4.2</v>
      </c>
      <c r="E129" s="526" t="s">
        <v>1275</v>
      </c>
      <c r="F129" s="522"/>
      <c r="G129" s="522"/>
      <c r="H129" s="522"/>
      <c r="I129" s="522"/>
      <c r="J129" s="522"/>
      <c r="K129" s="802">
        <f t="shared" si="11"/>
        <v>1.1686530960000003</v>
      </c>
      <c r="L129" s="804">
        <f>'Расчёт по УНЦС'!G389*K129</f>
        <v>721.9440821932285</v>
      </c>
      <c r="M129" s="804">
        <f t="shared" si="12"/>
        <v>866.33289863187417</v>
      </c>
    </row>
    <row r="130" spans="1:14" x14ac:dyDescent="0.25">
      <c r="A130" s="523" t="s">
        <v>1287</v>
      </c>
      <c r="B130" s="397" t="s">
        <v>71</v>
      </c>
      <c r="C130" s="538" t="str">
        <f>'Расчёт по УНЦС'!D408</f>
        <v>1 км</v>
      </c>
      <c r="D130" s="525">
        <f>'Расчёт по УНЦС'!E408</f>
        <v>0.1</v>
      </c>
      <c r="E130" s="526" t="s">
        <v>1275</v>
      </c>
      <c r="F130" s="522"/>
      <c r="G130" s="522"/>
      <c r="H130" s="522"/>
      <c r="I130" s="522"/>
      <c r="J130" s="522"/>
      <c r="K130" s="802">
        <f t="shared" si="11"/>
        <v>1.1686530960000003</v>
      </c>
      <c r="L130" s="804">
        <f>'Расчёт по УНЦС'!G412*K130</f>
        <v>2395.2272104745716</v>
      </c>
      <c r="M130" s="804">
        <f t="shared" si="12"/>
        <v>2874.2726525694857</v>
      </c>
    </row>
    <row r="131" spans="1:14" hidden="1" outlineLevel="1" x14ac:dyDescent="0.25">
      <c r="A131" s="523" t="s">
        <v>1288</v>
      </c>
      <c r="B131" s="397" t="s">
        <v>628</v>
      </c>
      <c r="C131" s="524" t="s">
        <v>211</v>
      </c>
      <c r="D131" s="525">
        <v>10</v>
      </c>
      <c r="E131" s="526" t="s">
        <v>1275</v>
      </c>
      <c r="F131" s="522"/>
      <c r="G131" s="522"/>
      <c r="H131" s="522"/>
      <c r="I131" s="522"/>
      <c r="J131" s="522"/>
      <c r="K131" s="802">
        <f t="shared" si="11"/>
        <v>1.1686530960000003</v>
      </c>
      <c r="L131" s="804"/>
      <c r="M131" s="804">
        <f t="shared" si="12"/>
        <v>0</v>
      </c>
    </row>
    <row r="132" spans="1:14" ht="25.5" hidden="1" outlineLevel="1" x14ac:dyDescent="0.25">
      <c r="A132" s="523" t="s">
        <v>1289</v>
      </c>
      <c r="B132" s="376" t="s">
        <v>630</v>
      </c>
      <c r="C132" s="533" t="s">
        <v>211</v>
      </c>
      <c r="D132" s="530"/>
      <c r="E132" s="526" t="s">
        <v>1275</v>
      </c>
      <c r="F132" s="522"/>
      <c r="G132" s="522"/>
      <c r="H132" s="522"/>
      <c r="I132" s="522"/>
      <c r="J132" s="522"/>
      <c r="K132" s="802">
        <f t="shared" si="11"/>
        <v>1.1686530960000003</v>
      </c>
      <c r="L132" s="804"/>
      <c r="M132" s="804">
        <f t="shared" si="12"/>
        <v>0</v>
      </c>
    </row>
    <row r="133" spans="1:14" hidden="1" outlineLevel="1" x14ac:dyDescent="0.25">
      <c r="A133" s="523" t="s">
        <v>1290</v>
      </c>
      <c r="B133" s="376" t="s">
        <v>632</v>
      </c>
      <c r="C133" s="533" t="s">
        <v>211</v>
      </c>
      <c r="D133" s="530"/>
      <c r="E133" s="526" t="s">
        <v>1275</v>
      </c>
      <c r="F133" s="522"/>
      <c r="G133" s="522"/>
      <c r="H133" s="522"/>
      <c r="I133" s="522"/>
      <c r="J133" s="522"/>
      <c r="K133" s="802">
        <f t="shared" si="11"/>
        <v>1.1686530960000003</v>
      </c>
      <c r="L133" s="804"/>
      <c r="M133" s="804">
        <f t="shared" si="12"/>
        <v>0</v>
      </c>
    </row>
    <row r="134" spans="1:14" hidden="1" outlineLevel="1" x14ac:dyDescent="0.25">
      <c r="A134" s="523" t="s">
        <v>1291</v>
      </c>
      <c r="B134" s="397" t="s">
        <v>634</v>
      </c>
      <c r="C134" s="524" t="s">
        <v>211</v>
      </c>
      <c r="D134" s="525">
        <v>10</v>
      </c>
      <c r="E134" s="526" t="s">
        <v>1275</v>
      </c>
      <c r="F134" s="522"/>
      <c r="G134" s="522"/>
      <c r="H134" s="522"/>
      <c r="I134" s="522"/>
      <c r="J134" s="522"/>
      <c r="K134" s="802">
        <f t="shared" si="11"/>
        <v>1.1686530960000003</v>
      </c>
      <c r="L134" s="804"/>
      <c r="M134" s="804">
        <f t="shared" si="12"/>
        <v>0</v>
      </c>
    </row>
    <row r="135" spans="1:14" collapsed="1" x14ac:dyDescent="0.25">
      <c r="A135" s="523" t="s">
        <v>1292</v>
      </c>
      <c r="B135" s="397" t="s">
        <v>79</v>
      </c>
      <c r="C135" s="538" t="str">
        <f>'Расчёт по УНЦС'!D402</f>
        <v>100 м2</v>
      </c>
      <c r="D135" s="540">
        <f>'Расчёт по УНЦС'!E402</f>
        <v>40</v>
      </c>
      <c r="E135" s="526" t="s">
        <v>1275</v>
      </c>
      <c r="F135" s="522"/>
      <c r="G135" s="522"/>
      <c r="H135" s="522"/>
      <c r="I135" s="522"/>
      <c r="J135" s="522"/>
      <c r="K135" s="802">
        <f t="shared" si="11"/>
        <v>1.1686530960000003</v>
      </c>
      <c r="L135" s="804">
        <f>'Расчёт по УНЦС'!G406*K135</f>
        <v>7640.6997528493657</v>
      </c>
      <c r="M135" s="804">
        <f t="shared" si="12"/>
        <v>9168.8397034192385</v>
      </c>
    </row>
    <row r="136" spans="1:14" x14ac:dyDescent="0.25">
      <c r="A136" s="523" t="s">
        <v>1293</v>
      </c>
      <c r="B136" s="397" t="s">
        <v>117</v>
      </c>
      <c r="C136" s="538" t="str">
        <f>'Расчёт по УНЦС'!D420</f>
        <v>1 м2</v>
      </c>
      <c r="D136" s="525">
        <f>'Расчёт по УНЦС'!E420</f>
        <v>300</v>
      </c>
      <c r="E136" s="526" t="s">
        <v>1275</v>
      </c>
      <c r="F136" s="522"/>
      <c r="G136" s="522"/>
      <c r="H136" s="522"/>
      <c r="I136" s="522"/>
      <c r="J136" s="522"/>
      <c r="K136" s="802">
        <f t="shared" si="11"/>
        <v>1.1686530960000003</v>
      </c>
      <c r="L136" s="804">
        <f>'Расчёт по УНЦС'!G424*K136</f>
        <v>27798.227404234382</v>
      </c>
      <c r="M136" s="804">
        <f t="shared" si="12"/>
        <v>33357.872885081255</v>
      </c>
    </row>
    <row r="137" spans="1:14" x14ac:dyDescent="0.25">
      <c r="A137" s="523" t="s">
        <v>621</v>
      </c>
      <c r="B137" s="531" t="s">
        <v>82</v>
      </c>
      <c r="C137" s="541" t="str">
        <f>'Расчёт по УНЦС'!D414</f>
        <v xml:space="preserve">1 м2  </v>
      </c>
      <c r="D137" s="542">
        <f>'Расчёт по УНЦС'!E414</f>
        <v>60</v>
      </c>
      <c r="E137" s="526" t="s">
        <v>1275</v>
      </c>
      <c r="F137" s="522"/>
      <c r="G137" s="522"/>
      <c r="H137" s="522"/>
      <c r="I137" s="522"/>
      <c r="J137" s="522"/>
      <c r="K137" s="802">
        <f t="shared" si="11"/>
        <v>1.1686530960000003</v>
      </c>
      <c r="L137" s="804">
        <f>'Расчёт по УНЦС'!G418*K137</f>
        <v>2940.6295232983471</v>
      </c>
      <c r="M137" s="804">
        <f t="shared" si="12"/>
        <v>3528.7554279580163</v>
      </c>
    </row>
    <row r="138" spans="1:14" x14ac:dyDescent="0.25">
      <c r="A138" s="523" t="s">
        <v>1294</v>
      </c>
      <c r="B138" s="397" t="s">
        <v>1280</v>
      </c>
      <c r="C138" s="524" t="s">
        <v>660</v>
      </c>
      <c r="D138" s="525">
        <v>30</v>
      </c>
      <c r="E138" s="526" t="s">
        <v>1275</v>
      </c>
      <c r="F138" s="522"/>
      <c r="G138" s="522"/>
      <c r="H138" s="522"/>
      <c r="I138" s="522"/>
      <c r="J138" s="522"/>
      <c r="K138" s="802">
        <f t="shared" si="11"/>
        <v>1.1686530960000003</v>
      </c>
      <c r="L138" s="804">
        <f>'Расчёт по УНЦС'!G431*K138</f>
        <v>19990.144308739422</v>
      </c>
      <c r="M138" s="804">
        <f t="shared" si="12"/>
        <v>23988.173170487305</v>
      </c>
    </row>
    <row r="139" spans="1:14" x14ac:dyDescent="0.25">
      <c r="A139" s="523" t="s">
        <v>1295</v>
      </c>
      <c r="B139" s="397" t="s">
        <v>1281</v>
      </c>
      <c r="C139" s="524" t="s">
        <v>660</v>
      </c>
      <c r="D139" s="525">
        <v>20</v>
      </c>
      <c r="E139" s="526" t="s">
        <v>1275</v>
      </c>
      <c r="F139" s="522"/>
      <c r="G139" s="522"/>
      <c r="H139" s="522"/>
      <c r="I139" s="522"/>
      <c r="J139" s="522"/>
      <c r="K139" s="802">
        <f t="shared" si="11"/>
        <v>1.1686530960000003</v>
      </c>
      <c r="L139" s="804">
        <f>'Расчёт по УНЦС'!G438*K139</f>
        <v>5464.8922415175321</v>
      </c>
      <c r="M139" s="804">
        <f t="shared" si="12"/>
        <v>6557.8706898210385</v>
      </c>
    </row>
    <row r="140" spans="1:14" x14ac:dyDescent="0.25">
      <c r="A140" s="523" t="s">
        <v>1296</v>
      </c>
      <c r="B140" s="397" t="s">
        <v>73</v>
      </c>
      <c r="C140" s="538" t="str">
        <f>'Расчёт по УНЦС'!D391</f>
        <v>100 м2</v>
      </c>
      <c r="D140" s="525">
        <f>'Расчёт по УНЦС'!E391</f>
        <v>180</v>
      </c>
      <c r="E140" s="526" t="s">
        <v>1275</v>
      </c>
      <c r="F140" s="522"/>
      <c r="G140" s="522"/>
      <c r="H140" s="522"/>
      <c r="I140" s="522"/>
      <c r="J140" s="522"/>
      <c r="K140" s="802">
        <f t="shared" si="11"/>
        <v>1.1686530960000003</v>
      </c>
      <c r="L140" s="804">
        <f>'Расчёт по УНЦС'!G395*K140</f>
        <v>3549.3975626248348</v>
      </c>
      <c r="M140" s="804">
        <f t="shared" si="12"/>
        <v>4259.2770751498019</v>
      </c>
    </row>
    <row r="141" spans="1:14" x14ac:dyDescent="0.25">
      <c r="A141" s="523" t="s">
        <v>1297</v>
      </c>
      <c r="B141" s="397" t="s">
        <v>127</v>
      </c>
      <c r="C141" s="538" t="str">
        <f>'Расчёт по УНЦС'!D397</f>
        <v>га</v>
      </c>
      <c r="D141" s="525">
        <f>'Расчёт по УНЦС'!E397</f>
        <v>1</v>
      </c>
      <c r="E141" s="526" t="s">
        <v>1275</v>
      </c>
      <c r="F141" s="522"/>
      <c r="G141" s="522"/>
      <c r="H141" s="522"/>
      <c r="I141" s="522"/>
      <c r="J141" s="522"/>
      <c r="K141" s="802">
        <f t="shared" si="11"/>
        <v>1.1686530960000003</v>
      </c>
      <c r="L141" s="804">
        <f>'Расчёт по УНЦС'!G400*K141</f>
        <v>20661.100504182032</v>
      </c>
      <c r="M141" s="804">
        <f t="shared" si="12"/>
        <v>24793.320605018438</v>
      </c>
    </row>
    <row r="142" spans="1:14" x14ac:dyDescent="0.25">
      <c r="A142" s="1207" t="s">
        <v>1279</v>
      </c>
      <c r="B142" s="1207"/>
      <c r="C142" s="1207"/>
      <c r="D142" s="1207"/>
      <c r="E142" s="1207"/>
      <c r="F142" s="1207"/>
      <c r="G142" s="1207"/>
      <c r="H142" s="1207"/>
      <c r="I142" s="1207"/>
      <c r="J142" s="1207"/>
      <c r="K142" s="1207"/>
      <c r="L142" s="805">
        <f>SUM(L128:L141)</f>
        <v>321282.03993122239</v>
      </c>
      <c r="M142" s="805">
        <f>SUM(M128:M141)</f>
        <v>385538.44791746687</v>
      </c>
      <c r="N142" s="803"/>
    </row>
    <row r="143" spans="1:14" x14ac:dyDescent="0.25">
      <c r="A143" s="527"/>
      <c r="B143" s="537" t="s">
        <v>155</v>
      </c>
      <c r="C143" s="544"/>
      <c r="D143" s="537"/>
      <c r="E143" s="522"/>
      <c r="F143" s="522"/>
      <c r="G143" s="522"/>
      <c r="H143" s="522"/>
      <c r="I143" s="522"/>
      <c r="J143" s="522"/>
      <c r="K143" s="522"/>
      <c r="L143" s="804"/>
      <c r="M143" s="804"/>
    </row>
    <row r="144" spans="1:14" x14ac:dyDescent="0.25">
      <c r="A144" s="523" t="s">
        <v>1445</v>
      </c>
      <c r="B144" s="397" t="s">
        <v>65</v>
      </c>
      <c r="C144" s="524" t="s">
        <v>0</v>
      </c>
      <c r="D144" s="525">
        <v>4.7</v>
      </c>
      <c r="E144" s="526" t="s">
        <v>1275</v>
      </c>
      <c r="F144" s="522"/>
      <c r="G144" s="522"/>
      <c r="H144" s="522"/>
      <c r="I144" s="522"/>
      <c r="J144" s="522"/>
      <c r="K144" s="522"/>
      <c r="L144" s="804"/>
      <c r="M144" s="804"/>
    </row>
    <row r="145" spans="1:14" x14ac:dyDescent="0.25">
      <c r="A145" s="523" t="s">
        <v>1385</v>
      </c>
      <c r="B145" s="397" t="s">
        <v>158</v>
      </c>
      <c r="C145" s="538" t="str">
        <f>'Расчёт по УНЦС'!D442</f>
        <v>1 место</v>
      </c>
      <c r="D145" s="525">
        <f>'Расчёт по УНЦС'!E442</f>
        <v>40</v>
      </c>
      <c r="E145" s="526" t="s">
        <v>1275</v>
      </c>
      <c r="F145" s="522"/>
      <c r="G145" s="522"/>
      <c r="H145" s="522"/>
      <c r="I145" s="522"/>
      <c r="J145" s="522"/>
      <c r="K145" s="802">
        <f t="shared" ref="K145:K155" si="13">$L$227*$L$228*$L$229</f>
        <v>1.1686530960000003</v>
      </c>
      <c r="L145" s="804">
        <f>'Расчёт по УНЦС'!G446*K145</f>
        <v>3272.4197669542596</v>
      </c>
      <c r="M145" s="804">
        <f t="shared" ref="M145:M155" si="14">L145*1.2</f>
        <v>3926.9037203451112</v>
      </c>
    </row>
    <row r="146" spans="1:14" ht="25.5" x14ac:dyDescent="0.25">
      <c r="A146" s="523" t="s">
        <v>1386</v>
      </c>
      <c r="B146" s="397" t="s">
        <v>161</v>
      </c>
      <c r="C146" s="524" t="s">
        <v>211</v>
      </c>
      <c r="D146" s="525">
        <v>1</v>
      </c>
      <c r="E146" s="526" t="s">
        <v>1275</v>
      </c>
      <c r="F146" s="522"/>
      <c r="G146" s="522"/>
      <c r="H146" s="522"/>
      <c r="I146" s="522"/>
      <c r="J146" s="522"/>
      <c r="K146" s="802">
        <f t="shared" si="13"/>
        <v>1.1686530960000003</v>
      </c>
      <c r="L146" s="804">
        <f>'Расчёт по УНЦС'!G452*K146</f>
        <v>721.9440821932285</v>
      </c>
      <c r="M146" s="804">
        <f>L146*1.2</f>
        <v>866.33289863187417</v>
      </c>
    </row>
    <row r="147" spans="1:14" hidden="1" outlineLevel="1" x14ac:dyDescent="0.25">
      <c r="A147" s="523" t="s">
        <v>1387</v>
      </c>
      <c r="B147" s="397" t="s">
        <v>163</v>
      </c>
      <c r="C147" s="538" t="str">
        <f>'Расчёт по УНЦС'!D448</f>
        <v>100 м2</v>
      </c>
      <c r="D147" s="539">
        <f>'Расчёт по УНЦС'!E448</f>
        <v>4.2</v>
      </c>
      <c r="E147" s="526" t="s">
        <v>1275</v>
      </c>
      <c r="F147" s="522"/>
      <c r="G147" s="522"/>
      <c r="H147" s="522"/>
      <c r="I147" s="522"/>
      <c r="J147" s="522"/>
      <c r="K147" s="802">
        <f t="shared" si="13"/>
        <v>1.1686530960000003</v>
      </c>
      <c r="L147" s="804"/>
      <c r="M147" s="804">
        <f t="shared" si="14"/>
        <v>0</v>
      </c>
    </row>
    <row r="148" spans="1:14" collapsed="1" x14ac:dyDescent="0.25">
      <c r="A148" s="523" t="s">
        <v>1388</v>
      </c>
      <c r="B148" s="397" t="s">
        <v>71</v>
      </c>
      <c r="C148" s="538" t="str">
        <f>'Расчёт по УНЦС'!D454</f>
        <v>1 км</v>
      </c>
      <c r="D148" s="525">
        <f>'Расчёт по УНЦС'!E454</f>
        <v>0.1</v>
      </c>
      <c r="E148" s="526" t="s">
        <v>1275</v>
      </c>
      <c r="F148" s="522"/>
      <c r="G148" s="522"/>
      <c r="H148" s="522"/>
      <c r="I148" s="522"/>
      <c r="J148" s="522"/>
      <c r="K148" s="802">
        <f t="shared" si="13"/>
        <v>1.1686530960000003</v>
      </c>
      <c r="L148" s="804">
        <f>'Расчёт по УНЦС'!G458*K148</f>
        <v>2395.2272104745716</v>
      </c>
      <c r="M148" s="804">
        <f t="shared" si="14"/>
        <v>2874.2726525694857</v>
      </c>
    </row>
    <row r="149" spans="1:14" hidden="1" outlineLevel="1" x14ac:dyDescent="0.25">
      <c r="A149" s="523" t="s">
        <v>1389</v>
      </c>
      <c r="B149" s="397" t="s">
        <v>628</v>
      </c>
      <c r="C149" s="524" t="s">
        <v>211</v>
      </c>
      <c r="D149" s="525">
        <v>6</v>
      </c>
      <c r="E149" s="526" t="s">
        <v>1275</v>
      </c>
      <c r="F149" s="522"/>
      <c r="G149" s="522"/>
      <c r="H149" s="522"/>
      <c r="I149" s="522"/>
      <c r="J149" s="522"/>
      <c r="K149" s="802">
        <f t="shared" si="13"/>
        <v>1.1686530960000003</v>
      </c>
      <c r="L149" s="804"/>
      <c r="M149" s="804">
        <f t="shared" si="14"/>
        <v>0</v>
      </c>
    </row>
    <row r="150" spans="1:14" ht="25.5" hidden="1" outlineLevel="1" x14ac:dyDescent="0.25">
      <c r="A150" s="523" t="s">
        <v>1390</v>
      </c>
      <c r="B150" s="376" t="s">
        <v>630</v>
      </c>
      <c r="C150" s="533" t="s">
        <v>211</v>
      </c>
      <c r="D150" s="530"/>
      <c r="E150" s="526" t="s">
        <v>1275</v>
      </c>
      <c r="F150" s="522"/>
      <c r="G150" s="522"/>
      <c r="H150" s="522"/>
      <c r="I150" s="522"/>
      <c r="J150" s="522"/>
      <c r="K150" s="802">
        <f t="shared" si="13"/>
        <v>1.1686530960000003</v>
      </c>
      <c r="L150" s="804"/>
      <c r="M150" s="804">
        <f t="shared" si="14"/>
        <v>0</v>
      </c>
    </row>
    <row r="151" spans="1:14" hidden="1" outlineLevel="1" x14ac:dyDescent="0.25">
      <c r="A151" s="523" t="s">
        <v>1391</v>
      </c>
      <c r="B151" s="397" t="s">
        <v>632</v>
      </c>
      <c r="C151" s="524" t="s">
        <v>211</v>
      </c>
      <c r="D151" s="525">
        <v>2</v>
      </c>
      <c r="E151" s="526" t="s">
        <v>1275</v>
      </c>
      <c r="F151" s="522"/>
      <c r="G151" s="522"/>
      <c r="H151" s="522"/>
      <c r="I151" s="522"/>
      <c r="J151" s="522"/>
      <c r="K151" s="802">
        <f t="shared" si="13"/>
        <v>1.1686530960000003</v>
      </c>
      <c r="L151" s="804"/>
      <c r="M151" s="804">
        <f t="shared" si="14"/>
        <v>0</v>
      </c>
    </row>
    <row r="152" spans="1:14" hidden="1" outlineLevel="1" x14ac:dyDescent="0.25">
      <c r="A152" s="523" t="s">
        <v>1392</v>
      </c>
      <c r="B152" s="397" t="s">
        <v>634</v>
      </c>
      <c r="C152" s="524" t="s">
        <v>211</v>
      </c>
      <c r="D152" s="525">
        <v>4</v>
      </c>
      <c r="E152" s="526" t="s">
        <v>1275</v>
      </c>
      <c r="F152" s="522"/>
      <c r="G152" s="522"/>
      <c r="H152" s="522"/>
      <c r="I152" s="522"/>
      <c r="J152" s="522"/>
      <c r="K152" s="802">
        <f t="shared" si="13"/>
        <v>1.1686530960000003</v>
      </c>
      <c r="L152" s="804"/>
      <c r="M152" s="804">
        <f t="shared" si="14"/>
        <v>0</v>
      </c>
    </row>
    <row r="153" spans="1:14" collapsed="1" x14ac:dyDescent="0.25">
      <c r="A153" s="523" t="s">
        <v>1393</v>
      </c>
      <c r="B153" s="397" t="s">
        <v>79</v>
      </c>
      <c r="C153" s="524" t="s">
        <v>211</v>
      </c>
      <c r="D153" s="525">
        <v>20</v>
      </c>
      <c r="E153" s="526" t="s">
        <v>1275</v>
      </c>
      <c r="F153" s="522"/>
      <c r="G153" s="522"/>
      <c r="H153" s="522"/>
      <c r="I153" s="522"/>
      <c r="J153" s="522"/>
      <c r="K153" s="802">
        <f t="shared" si="13"/>
        <v>1.1686530960000003</v>
      </c>
      <c r="L153" s="804">
        <f>'Расчёт по УНЦС'!G482*K153</f>
        <v>22444.555523995012</v>
      </c>
      <c r="M153" s="804">
        <f t="shared" si="14"/>
        <v>26933.466628794013</v>
      </c>
    </row>
    <row r="154" spans="1:14" x14ac:dyDescent="0.25">
      <c r="A154" s="523" t="s">
        <v>1394</v>
      </c>
      <c r="B154" s="531" t="s">
        <v>82</v>
      </c>
      <c r="C154" s="541" t="str">
        <f>'Расчёт по УНЦС'!D466</f>
        <v xml:space="preserve">1 м2  </v>
      </c>
      <c r="D154" s="542">
        <f>'Расчёт по УНЦС'!E466</f>
        <v>120</v>
      </c>
      <c r="E154" s="526" t="s">
        <v>1275</v>
      </c>
      <c r="F154" s="522"/>
      <c r="G154" s="522"/>
      <c r="H154" s="522"/>
      <c r="I154" s="522"/>
      <c r="J154" s="522"/>
      <c r="K154" s="802">
        <f t="shared" si="13"/>
        <v>1.1686530960000003</v>
      </c>
      <c r="L154" s="804">
        <f>'Расчёт по УНЦС'!G470*K154</f>
        <v>5881.2590465966941</v>
      </c>
      <c r="M154" s="804">
        <f>L154*1.2</f>
        <v>7057.5108559160326</v>
      </c>
    </row>
    <row r="155" spans="1:14" x14ac:dyDescent="0.25">
      <c r="A155" s="523" t="s">
        <v>1395</v>
      </c>
      <c r="B155" s="397" t="s">
        <v>73</v>
      </c>
      <c r="C155" s="538" t="str">
        <f>'Расчёт по УНЦС'!D460</f>
        <v>100 м2</v>
      </c>
      <c r="D155" s="525">
        <f>'Расчёт по УНЦС'!E460</f>
        <v>470</v>
      </c>
      <c r="E155" s="526" t="s">
        <v>1275</v>
      </c>
      <c r="F155" s="522"/>
      <c r="G155" s="522"/>
      <c r="H155" s="522"/>
      <c r="I155" s="522"/>
      <c r="J155" s="522"/>
      <c r="K155" s="802">
        <f t="shared" si="13"/>
        <v>1.1686530960000003</v>
      </c>
      <c r="L155" s="804">
        <f>'Расчёт по УНЦС'!G464*K155</f>
        <v>9267.8714135204009</v>
      </c>
      <c r="M155" s="804">
        <f t="shared" si="14"/>
        <v>11121.44569622448</v>
      </c>
    </row>
    <row r="156" spans="1:14" x14ac:dyDescent="0.25">
      <c r="A156" s="1207" t="s">
        <v>1279</v>
      </c>
      <c r="B156" s="1207"/>
      <c r="C156" s="1207"/>
      <c r="D156" s="1207"/>
      <c r="E156" s="1207"/>
      <c r="F156" s="1207"/>
      <c r="G156" s="1207"/>
      <c r="H156" s="1207"/>
      <c r="I156" s="1207"/>
      <c r="J156" s="1207"/>
      <c r="K156" s="1207"/>
      <c r="L156" s="805">
        <f>SUM(L145:L155)</f>
        <v>43983.277043734168</v>
      </c>
      <c r="M156" s="805">
        <f>SUM(M145:M155)</f>
        <v>52779.932452481</v>
      </c>
      <c r="N156" s="803"/>
    </row>
    <row r="157" spans="1:14" x14ac:dyDescent="0.25">
      <c r="A157" s="527"/>
      <c r="B157" s="537" t="s">
        <v>167</v>
      </c>
      <c r="C157" s="544"/>
      <c r="D157" s="537"/>
      <c r="E157" s="522"/>
      <c r="F157" s="522"/>
      <c r="G157" s="522"/>
      <c r="H157" s="522"/>
      <c r="I157" s="522"/>
      <c r="J157" s="522"/>
      <c r="K157" s="522"/>
      <c r="L157" s="804"/>
      <c r="M157" s="804"/>
    </row>
    <row r="158" spans="1:14" x14ac:dyDescent="0.25">
      <c r="A158" s="523" t="s">
        <v>1444</v>
      </c>
      <c r="B158" s="397" t="s">
        <v>65</v>
      </c>
      <c r="C158" s="524" t="s">
        <v>0</v>
      </c>
      <c r="D158" s="525">
        <v>0.4</v>
      </c>
      <c r="E158" s="522"/>
      <c r="F158" s="522"/>
      <c r="G158" s="522"/>
      <c r="H158" s="522"/>
      <c r="I158" s="522"/>
      <c r="J158" s="522"/>
      <c r="K158" s="522"/>
      <c r="L158" s="804"/>
      <c r="M158" s="804"/>
    </row>
    <row r="159" spans="1:14" x14ac:dyDescent="0.25">
      <c r="A159" s="523" t="s">
        <v>1396</v>
      </c>
      <c r="B159" s="397" t="s">
        <v>170</v>
      </c>
      <c r="C159" s="523" t="str">
        <f>'Расчёт по УНЦС'!D504</f>
        <v>1 м2</v>
      </c>
      <c r="D159" s="525">
        <f>'Расчёт по УНЦС'!E504</f>
        <v>60</v>
      </c>
      <c r="E159" s="526" t="s">
        <v>1275</v>
      </c>
      <c r="F159" s="522"/>
      <c r="G159" s="522"/>
      <c r="H159" s="522"/>
      <c r="I159" s="522"/>
      <c r="J159" s="522"/>
      <c r="K159" s="802">
        <f t="shared" ref="K159:K168" si="15">$L$227*$L$228*$L$229</f>
        <v>1.1686530960000003</v>
      </c>
      <c r="L159" s="804">
        <f>'Расчёт по УНЦС'!G508*K159</f>
        <v>688.9076423871129</v>
      </c>
      <c r="M159" s="804">
        <f t="shared" ref="M159:M168" si="16">L159*1.2</f>
        <v>826.68917086453541</v>
      </c>
    </row>
    <row r="160" spans="1:14" x14ac:dyDescent="0.25">
      <c r="A160" s="523" t="s">
        <v>1397</v>
      </c>
      <c r="B160" s="397" t="s">
        <v>71</v>
      </c>
      <c r="C160" s="538" t="str">
        <f>'Расчёт по УНЦС'!D498</f>
        <v>1 км</v>
      </c>
      <c r="D160" s="525">
        <f>'Расчёт по УНЦС'!E498</f>
        <v>0.1</v>
      </c>
      <c r="E160" s="526" t="s">
        <v>1275</v>
      </c>
      <c r="F160" s="522"/>
      <c r="G160" s="522"/>
      <c r="H160" s="522"/>
      <c r="I160" s="522"/>
      <c r="J160" s="522"/>
      <c r="K160" s="802">
        <f t="shared" si="15"/>
        <v>1.1686530960000003</v>
      </c>
      <c r="L160" s="804">
        <f>'Расчёт по УНЦС'!G502*K160</f>
        <v>2395.2272104745716</v>
      </c>
      <c r="M160" s="804">
        <f t="shared" si="16"/>
        <v>2874.2726525694857</v>
      </c>
    </row>
    <row r="161" spans="1:13" hidden="1" outlineLevel="1" x14ac:dyDescent="0.25">
      <c r="A161" s="523" t="s">
        <v>1398</v>
      </c>
      <c r="B161" s="397" t="s">
        <v>628</v>
      </c>
      <c r="C161" s="524" t="s">
        <v>211</v>
      </c>
      <c r="D161" s="525">
        <v>2</v>
      </c>
      <c r="E161" s="526" t="s">
        <v>1275</v>
      </c>
      <c r="F161" s="522"/>
      <c r="G161" s="522"/>
      <c r="H161" s="522"/>
      <c r="I161" s="522"/>
      <c r="J161" s="522"/>
      <c r="K161" s="802">
        <f t="shared" si="15"/>
        <v>1.1686530960000003</v>
      </c>
      <c r="L161" s="804"/>
      <c r="M161" s="804">
        <f t="shared" si="16"/>
        <v>0</v>
      </c>
    </row>
    <row r="162" spans="1:13" ht="25.5" hidden="1" outlineLevel="1" x14ac:dyDescent="0.25">
      <c r="A162" s="523" t="s">
        <v>1399</v>
      </c>
      <c r="B162" s="397" t="s">
        <v>630</v>
      </c>
      <c r="C162" s="524" t="s">
        <v>211</v>
      </c>
      <c r="D162" s="525">
        <v>2</v>
      </c>
      <c r="E162" s="526" t="s">
        <v>1275</v>
      </c>
      <c r="F162" s="522"/>
      <c r="G162" s="522"/>
      <c r="H162" s="522"/>
      <c r="I162" s="522"/>
      <c r="J162" s="522"/>
      <c r="K162" s="802">
        <f t="shared" si="15"/>
        <v>1.1686530960000003</v>
      </c>
      <c r="L162" s="804"/>
      <c r="M162" s="804">
        <f t="shared" si="16"/>
        <v>0</v>
      </c>
    </row>
    <row r="163" spans="1:13" hidden="1" outlineLevel="1" x14ac:dyDescent="0.25">
      <c r="A163" s="523" t="s">
        <v>1400</v>
      </c>
      <c r="B163" s="376" t="s">
        <v>632</v>
      </c>
      <c r="C163" s="533" t="s">
        <v>211</v>
      </c>
      <c r="D163" s="534"/>
      <c r="E163" s="526" t="s">
        <v>1275</v>
      </c>
      <c r="F163" s="522"/>
      <c r="G163" s="522"/>
      <c r="H163" s="522"/>
      <c r="I163" s="522"/>
      <c r="J163" s="522"/>
      <c r="K163" s="802">
        <f t="shared" si="15"/>
        <v>1.1686530960000003</v>
      </c>
      <c r="L163" s="804"/>
      <c r="M163" s="804">
        <f t="shared" si="16"/>
        <v>0</v>
      </c>
    </row>
    <row r="164" spans="1:13" hidden="1" outlineLevel="1" x14ac:dyDescent="0.25">
      <c r="A164" s="523" t="s">
        <v>1401</v>
      </c>
      <c r="B164" s="376" t="s">
        <v>634</v>
      </c>
      <c r="C164" s="533" t="s">
        <v>211</v>
      </c>
      <c r="D164" s="534"/>
      <c r="E164" s="526" t="s">
        <v>1275</v>
      </c>
      <c r="F164" s="522"/>
      <c r="G164" s="522"/>
      <c r="H164" s="522"/>
      <c r="I164" s="522"/>
      <c r="J164" s="522"/>
      <c r="K164" s="802">
        <f t="shared" si="15"/>
        <v>1.1686530960000003</v>
      </c>
      <c r="L164" s="804"/>
      <c r="M164" s="804">
        <f t="shared" si="16"/>
        <v>0</v>
      </c>
    </row>
    <row r="165" spans="1:13" collapsed="1" x14ac:dyDescent="0.25">
      <c r="A165" s="523" t="s">
        <v>983</v>
      </c>
      <c r="B165" s="397" t="s">
        <v>73</v>
      </c>
      <c r="C165" s="524" t="s">
        <v>620</v>
      </c>
      <c r="D165" s="525">
        <v>200</v>
      </c>
      <c r="E165" s="526" t="s">
        <v>1275</v>
      </c>
      <c r="F165" s="522"/>
      <c r="G165" s="522"/>
      <c r="H165" s="522"/>
      <c r="I165" s="522"/>
      <c r="J165" s="522"/>
      <c r="K165" s="802">
        <f t="shared" si="15"/>
        <v>1.1686530960000003</v>
      </c>
      <c r="L165" s="804">
        <f>('Расчёт по УНЦС'!G531+'Расчёт по УНЦС'!G490)*K165</f>
        <v>823.00696279597639</v>
      </c>
      <c r="M165" s="804">
        <f t="shared" si="16"/>
        <v>987.60835535517162</v>
      </c>
    </row>
    <row r="166" spans="1:13" x14ac:dyDescent="0.25">
      <c r="A166" s="523" t="s">
        <v>1402</v>
      </c>
      <c r="B166" s="397" t="s">
        <v>79</v>
      </c>
      <c r="C166" s="524" t="s">
        <v>211</v>
      </c>
      <c r="D166" s="525">
        <v>10</v>
      </c>
      <c r="E166" s="526" t="s">
        <v>1275</v>
      </c>
      <c r="F166" s="522"/>
      <c r="G166" s="522"/>
      <c r="H166" s="522"/>
      <c r="I166" s="522"/>
      <c r="J166" s="522"/>
      <c r="K166" s="802">
        <f t="shared" si="15"/>
        <v>1.1686530960000003</v>
      </c>
      <c r="L166" s="804">
        <f>'Расчёт по УНЦС'!G496*K166</f>
        <v>802.27347404918328</v>
      </c>
      <c r="M166" s="804">
        <f t="shared" si="16"/>
        <v>962.72816885901989</v>
      </c>
    </row>
    <row r="167" spans="1:13" x14ac:dyDescent="0.25">
      <c r="A167" s="523" t="s">
        <v>1403</v>
      </c>
      <c r="B167" s="531" t="s">
        <v>82</v>
      </c>
      <c r="C167" s="541" t="str">
        <f>'Расчёт по УНЦС'!D510</f>
        <v xml:space="preserve">1 м2  </v>
      </c>
      <c r="D167" s="542">
        <f>'Расчёт по УНЦС'!E510</f>
        <v>20</v>
      </c>
      <c r="E167" s="526" t="s">
        <v>1275</v>
      </c>
      <c r="F167" s="522"/>
      <c r="G167" s="522"/>
      <c r="H167" s="522"/>
      <c r="I167" s="522"/>
      <c r="J167" s="522"/>
      <c r="K167" s="802">
        <f t="shared" si="15"/>
        <v>1.1686530960000003</v>
      </c>
      <c r="L167" s="804">
        <f>'Расчёт по УНЦС'!G514*K167</f>
        <v>980.20984109944891</v>
      </c>
      <c r="M167" s="804">
        <f t="shared" si="16"/>
        <v>1176.2518093193387</v>
      </c>
    </row>
    <row r="168" spans="1:13" x14ac:dyDescent="0.25">
      <c r="A168" s="523" t="s">
        <v>1404</v>
      </c>
      <c r="B168" s="397" t="s">
        <v>127</v>
      </c>
      <c r="C168" s="524" t="s">
        <v>0</v>
      </c>
      <c r="D168" s="525">
        <v>0.3</v>
      </c>
      <c r="E168" s="526" t="s">
        <v>1275</v>
      </c>
      <c r="F168" s="522"/>
      <c r="G168" s="522"/>
      <c r="H168" s="522"/>
      <c r="I168" s="522"/>
      <c r="J168" s="522"/>
      <c r="K168" s="802">
        <f t="shared" si="15"/>
        <v>1.1686530960000003</v>
      </c>
      <c r="L168" s="804">
        <f>'Расчёт по УНЦС'!G525*K168</f>
        <v>6198.3301512546095</v>
      </c>
      <c r="M168" s="804">
        <f t="shared" si="16"/>
        <v>7437.9961815055312</v>
      </c>
    </row>
    <row r="169" spans="1:13" x14ac:dyDescent="0.25">
      <c r="A169" s="1207" t="s">
        <v>1279</v>
      </c>
      <c r="B169" s="1207"/>
      <c r="C169" s="1207"/>
      <c r="D169" s="1207"/>
      <c r="E169" s="1207"/>
      <c r="F169" s="1207"/>
      <c r="G169" s="1207"/>
      <c r="H169" s="1207"/>
      <c r="I169" s="1207"/>
      <c r="J169" s="1207"/>
      <c r="K169" s="1207"/>
      <c r="L169" s="805">
        <f>SUM(L158:L168)</f>
        <v>11887.955282060902</v>
      </c>
      <c r="M169" s="805">
        <f>SUM(M158:M168)</f>
        <v>14265.546338473083</v>
      </c>
    </row>
    <row r="170" spans="1:13" x14ac:dyDescent="0.25">
      <c r="A170" s="527"/>
      <c r="B170" s="537" t="s">
        <v>175</v>
      </c>
      <c r="C170" s="544"/>
      <c r="D170" s="537"/>
      <c r="E170" s="522"/>
      <c r="F170" s="522"/>
      <c r="G170" s="522"/>
      <c r="H170" s="522"/>
      <c r="I170" s="522"/>
      <c r="J170" s="522"/>
      <c r="K170" s="522"/>
      <c r="L170" s="804"/>
      <c r="M170" s="804"/>
    </row>
    <row r="171" spans="1:13" x14ac:dyDescent="0.25">
      <c r="A171" s="523" t="s">
        <v>1443</v>
      </c>
      <c r="B171" s="397" t="s">
        <v>65</v>
      </c>
      <c r="C171" s="524" t="s">
        <v>0</v>
      </c>
      <c r="D171" s="525">
        <v>1.8</v>
      </c>
      <c r="E171" s="522"/>
      <c r="F171" s="522"/>
      <c r="G171" s="522"/>
      <c r="H171" s="522"/>
      <c r="I171" s="522"/>
      <c r="J171" s="522"/>
      <c r="K171" s="522"/>
      <c r="L171" s="804"/>
      <c r="M171" s="804"/>
    </row>
    <row r="172" spans="1:13" x14ac:dyDescent="0.25">
      <c r="A172" s="523" t="s">
        <v>1405</v>
      </c>
      <c r="B172" s="528" t="s">
        <v>1309</v>
      </c>
      <c r="C172" s="546" t="str">
        <f>'Расчёт по УНЦС'!D535</f>
        <v>1 посещение  в смену</v>
      </c>
      <c r="D172" s="530">
        <f>'Расчёт по УНЦС'!E535</f>
        <v>40</v>
      </c>
      <c r="E172" s="526" t="s">
        <v>1275</v>
      </c>
      <c r="F172" s="522"/>
      <c r="G172" s="522"/>
      <c r="H172" s="522"/>
      <c r="I172" s="522"/>
      <c r="J172" s="522"/>
      <c r="K172" s="802">
        <f t="shared" ref="K172:K194" si="17">$L$227*$L$228*$L$229</f>
        <v>1.1686530960000003</v>
      </c>
      <c r="L172" s="804">
        <f>'Расчёт по УНЦС'!G539*K172</f>
        <v>206719.97880542252</v>
      </c>
      <c r="M172" s="804">
        <f t="shared" ref="M172:M199" si="18">L172*1.2</f>
        <v>248063.97456650701</v>
      </c>
    </row>
    <row r="173" spans="1:13" x14ac:dyDescent="0.25">
      <c r="A173" s="523" t="s">
        <v>1406</v>
      </c>
      <c r="B173" s="397" t="s">
        <v>73</v>
      </c>
      <c r="C173" s="538" t="str">
        <f>'Расчёт по УНЦС'!D541</f>
        <v>100 м2</v>
      </c>
      <c r="D173" s="525">
        <f>'Расчёт по УНЦС'!E541</f>
        <v>180</v>
      </c>
      <c r="E173" s="526" t="s">
        <v>1275</v>
      </c>
      <c r="F173" s="522"/>
      <c r="G173" s="522"/>
      <c r="H173" s="522"/>
      <c r="I173" s="522"/>
      <c r="J173" s="522"/>
      <c r="K173" s="802">
        <f t="shared" si="17"/>
        <v>1.1686530960000003</v>
      </c>
      <c r="L173" s="804">
        <f>'Расчёт по УНЦС'!G545*K173</f>
        <v>3549.3975626248348</v>
      </c>
      <c r="M173" s="804">
        <f t="shared" si="18"/>
        <v>4259.2770751498019</v>
      </c>
    </row>
    <row r="174" spans="1:13" x14ac:dyDescent="0.25">
      <c r="A174" s="523" t="s">
        <v>1407</v>
      </c>
      <c r="B174" s="531" t="s">
        <v>127</v>
      </c>
      <c r="C174" s="541" t="str">
        <f>'Расчёт по УНЦС'!D590</f>
        <v>га</v>
      </c>
      <c r="D174" s="548">
        <f>'Расчёт по УНЦС'!E590</f>
        <v>1</v>
      </c>
      <c r="E174" s="526" t="s">
        <v>1275</v>
      </c>
      <c r="F174" s="522"/>
      <c r="G174" s="522"/>
      <c r="H174" s="522"/>
      <c r="I174" s="522"/>
      <c r="J174" s="522"/>
      <c r="K174" s="802">
        <f t="shared" si="17"/>
        <v>1.1686530960000003</v>
      </c>
      <c r="L174" s="804">
        <f>'Расчёт по УНЦС'!G593*K174</f>
        <v>20661.100504182032</v>
      </c>
      <c r="M174" s="804">
        <f t="shared" si="18"/>
        <v>24793.320605018438</v>
      </c>
    </row>
    <row r="175" spans="1:13" x14ac:dyDescent="0.25">
      <c r="A175" s="523" t="s">
        <v>1408</v>
      </c>
      <c r="B175" s="397" t="s">
        <v>182</v>
      </c>
      <c r="C175" s="538" t="str">
        <f>'Расчёт по УНЦС'!D553</f>
        <v>1 место</v>
      </c>
      <c r="D175" s="525">
        <f>'Расчёт по УНЦС'!E553</f>
        <v>30</v>
      </c>
      <c r="E175" s="526" t="s">
        <v>1275</v>
      </c>
      <c r="F175" s="522"/>
      <c r="G175" s="522"/>
      <c r="H175" s="522"/>
      <c r="I175" s="522"/>
      <c r="J175" s="522"/>
      <c r="K175" s="802">
        <f t="shared" si="17"/>
        <v>1.1686530960000003</v>
      </c>
      <c r="L175" s="804">
        <f>'Расчёт по УНЦС'!G557*K175</f>
        <v>2454.3148252156939</v>
      </c>
      <c r="M175" s="804">
        <f t="shared" si="18"/>
        <v>2945.1777902588324</v>
      </c>
    </row>
    <row r="176" spans="1:13" x14ac:dyDescent="0.25">
      <c r="A176" s="523" t="s">
        <v>1409</v>
      </c>
      <c r="B176" s="397" t="s">
        <v>186</v>
      </c>
      <c r="C176" s="538" t="str">
        <f>'Расчёт по УНЦС'!D559</f>
        <v>100 м2</v>
      </c>
      <c r="D176" s="525">
        <f>'Расчёт по УНЦС'!E559</f>
        <v>0.6</v>
      </c>
      <c r="E176" s="526" t="s">
        <v>1275</v>
      </c>
      <c r="F176" s="522"/>
      <c r="G176" s="522"/>
      <c r="H176" s="522"/>
      <c r="I176" s="522"/>
      <c r="J176" s="522"/>
      <c r="K176" s="802">
        <f t="shared" si="17"/>
        <v>1.1686530960000003</v>
      </c>
      <c r="L176" s="804">
        <f>('Расчёт по УНЦС'!G563+'Расчёт по УНЦС'!G569)*K176</f>
        <v>275.56666669052805</v>
      </c>
      <c r="M176" s="804">
        <f t="shared" si="18"/>
        <v>330.68000002863363</v>
      </c>
    </row>
    <row r="177" spans="1:13" x14ac:dyDescent="0.25">
      <c r="A177" s="523" t="s">
        <v>1410</v>
      </c>
      <c r="B177" s="397" t="s">
        <v>88</v>
      </c>
      <c r="C177" s="538" t="str">
        <f>'Расчёт по УНЦС'!D571</f>
        <v>100 м2</v>
      </c>
      <c r="D177" s="525">
        <f>'Расчёт по УНЦС'!E571</f>
        <v>25</v>
      </c>
      <c r="E177" s="526" t="s">
        <v>1275</v>
      </c>
      <c r="F177" s="522"/>
      <c r="G177" s="522"/>
      <c r="H177" s="522"/>
      <c r="I177" s="522"/>
      <c r="J177" s="522"/>
      <c r="K177" s="802">
        <f t="shared" si="17"/>
        <v>1.1686530960000003</v>
      </c>
      <c r="L177" s="804">
        <f>'Расчёт по УНЦС'!G576*K177</f>
        <v>21305.423598555099</v>
      </c>
      <c r="M177" s="804">
        <f t="shared" si="18"/>
        <v>25566.508318266118</v>
      </c>
    </row>
    <row r="178" spans="1:13" x14ac:dyDescent="0.25">
      <c r="A178" s="523" t="s">
        <v>1411</v>
      </c>
      <c r="B178" s="397" t="s">
        <v>79</v>
      </c>
      <c r="C178" s="538" t="str">
        <f>'Расчёт по УНЦС'!D547</f>
        <v>100 м2</v>
      </c>
      <c r="D178" s="525">
        <f>'Расчёт по УНЦС'!E547</f>
        <v>180</v>
      </c>
      <c r="E178" s="526" t="s">
        <v>1275</v>
      </c>
      <c r="F178" s="522"/>
      <c r="G178" s="522"/>
      <c r="H178" s="522"/>
      <c r="I178" s="522"/>
      <c r="J178" s="522"/>
      <c r="K178" s="802">
        <f t="shared" si="17"/>
        <v>1.1686530960000003</v>
      </c>
      <c r="L178" s="804">
        <f>'Расчёт по УНЦС'!G551*K178</f>
        <v>34383.148887822143</v>
      </c>
      <c r="M178" s="804">
        <f t="shared" si="18"/>
        <v>41259.77866538657</v>
      </c>
    </row>
    <row r="179" spans="1:13" ht="14.25" customHeight="1" x14ac:dyDescent="0.25">
      <c r="A179" s="523" t="s">
        <v>1412</v>
      </c>
      <c r="B179" s="531" t="s">
        <v>190</v>
      </c>
      <c r="C179" s="541" t="str">
        <f>'Расчёт по УНЦС'!D584</f>
        <v>1 м2</v>
      </c>
      <c r="D179" s="549">
        <f>'Расчёт по УНЦС'!E584</f>
        <v>150</v>
      </c>
      <c r="E179" s="526" t="s">
        <v>1275</v>
      </c>
      <c r="F179" s="522"/>
      <c r="G179" s="522"/>
      <c r="H179" s="522"/>
      <c r="I179" s="522"/>
      <c r="J179" s="522"/>
      <c r="K179" s="802">
        <f t="shared" si="17"/>
        <v>1.1686530960000003</v>
      </c>
      <c r="L179" s="804">
        <f>'Расчёт по УНЦС'!G588*K179</f>
        <v>13899.113702117191</v>
      </c>
      <c r="M179" s="804">
        <f t="shared" si="18"/>
        <v>16678.936442540627</v>
      </c>
    </row>
    <row r="180" spans="1:13" x14ac:dyDescent="0.25">
      <c r="A180" s="523" t="s">
        <v>1413</v>
      </c>
      <c r="B180" s="397" t="s">
        <v>82</v>
      </c>
      <c r="C180" s="538" t="str">
        <f>'Расчёт по УНЦС'!D595</f>
        <v xml:space="preserve">1 м2  </v>
      </c>
      <c r="D180" s="545">
        <f>'Расчёт по УНЦС'!E595</f>
        <v>60</v>
      </c>
      <c r="E180" s="526" t="s">
        <v>1275</v>
      </c>
      <c r="F180" s="522"/>
      <c r="G180" s="522"/>
      <c r="H180" s="522"/>
      <c r="I180" s="522"/>
      <c r="J180" s="522"/>
      <c r="K180" s="802">
        <f t="shared" si="17"/>
        <v>1.1686530960000003</v>
      </c>
      <c r="L180" s="804">
        <f>'Расчёт по УНЦС'!G599*K180</f>
        <v>2940.6295232983471</v>
      </c>
      <c r="M180" s="804">
        <f t="shared" si="18"/>
        <v>3528.7554279580163</v>
      </c>
    </row>
    <row r="181" spans="1:13" x14ac:dyDescent="0.25">
      <c r="A181" s="523" t="s">
        <v>1414</v>
      </c>
      <c r="B181" s="397" t="s">
        <v>1280</v>
      </c>
      <c r="C181" s="538" t="str">
        <f>'Расчёт по УНЦС'!D607</f>
        <v>1 п.м</v>
      </c>
      <c r="D181" s="525">
        <f>'Расчёт по УНЦС'!E607</f>
        <v>10</v>
      </c>
      <c r="E181" s="526" t="s">
        <v>1275</v>
      </c>
      <c r="F181" s="522"/>
      <c r="G181" s="522"/>
      <c r="H181" s="522"/>
      <c r="I181" s="522"/>
      <c r="J181" s="522"/>
      <c r="K181" s="802">
        <f t="shared" si="17"/>
        <v>1.1686530960000003</v>
      </c>
      <c r="L181" s="804">
        <f>'Расчёт по УНЦС'!G612*K181</f>
        <v>6663.3814362464727</v>
      </c>
      <c r="M181" s="804">
        <f t="shared" si="18"/>
        <v>7996.0577234957673</v>
      </c>
    </row>
    <row r="182" spans="1:13" x14ac:dyDescent="0.25">
      <c r="A182" s="523" t="s">
        <v>1415</v>
      </c>
      <c r="B182" s="397" t="s">
        <v>1281</v>
      </c>
      <c r="C182" s="538" t="str">
        <f>'Расчёт по УНЦС'!D614</f>
        <v>1 п.м</v>
      </c>
      <c r="D182" s="525">
        <f>'Расчёт по УНЦС'!E614</f>
        <v>10</v>
      </c>
      <c r="E182" s="526" t="s">
        <v>1275</v>
      </c>
      <c r="F182" s="522"/>
      <c r="G182" s="522"/>
      <c r="H182" s="522"/>
      <c r="I182" s="522"/>
      <c r="J182" s="522"/>
      <c r="K182" s="802">
        <f t="shared" si="17"/>
        <v>1.1686530960000003</v>
      </c>
      <c r="L182" s="804">
        <f>'Расчёт по УНЦС'!G619*K182</f>
        <v>2732.446120758766</v>
      </c>
      <c r="M182" s="804">
        <f t="shared" si="18"/>
        <v>3278.9353449105192</v>
      </c>
    </row>
    <row r="183" spans="1:13" x14ac:dyDescent="0.25">
      <c r="A183" s="523" t="s">
        <v>1416</v>
      </c>
      <c r="B183" s="397" t="s">
        <v>104</v>
      </c>
      <c r="C183" s="538" t="str">
        <f>'Расчёт по УНЦС'!D578</f>
        <v>100 м.п</v>
      </c>
      <c r="D183" s="525">
        <f>'Расчёт по УНЦС'!E578</f>
        <v>10</v>
      </c>
      <c r="E183" s="526" t="s">
        <v>1275</v>
      </c>
      <c r="F183" s="522"/>
      <c r="G183" s="522"/>
      <c r="H183" s="522"/>
      <c r="I183" s="522"/>
      <c r="J183" s="522"/>
      <c r="K183" s="802">
        <f t="shared" si="17"/>
        <v>1.1686530960000003</v>
      </c>
      <c r="L183" s="804">
        <f>'Расчёт по УНЦС'!G582*K183</f>
        <v>2934.8955970020093</v>
      </c>
      <c r="M183" s="804">
        <f t="shared" si="18"/>
        <v>3521.8747164024112</v>
      </c>
    </row>
    <row r="184" spans="1:13" x14ac:dyDescent="0.25">
      <c r="A184" s="523" t="s">
        <v>996</v>
      </c>
      <c r="B184" s="397" t="s">
        <v>997</v>
      </c>
      <c r="C184" s="538" t="str">
        <f>'Расчёт по УНЦС'!D621</f>
        <v>1 км</v>
      </c>
      <c r="D184" s="525">
        <f>'Расчёт по УНЦС'!E621</f>
        <v>2.5</v>
      </c>
      <c r="E184" s="526" t="s">
        <v>1275</v>
      </c>
      <c r="F184" s="522"/>
      <c r="G184" s="522"/>
      <c r="H184" s="522"/>
      <c r="I184" s="522"/>
      <c r="J184" s="522"/>
      <c r="K184" s="802">
        <f t="shared" si="17"/>
        <v>1.1686530960000003</v>
      </c>
      <c r="L184" s="804">
        <f>'Расчёт по УНЦС'!G625*K184</f>
        <v>59880.680261864298</v>
      </c>
      <c r="M184" s="804">
        <f t="shared" si="18"/>
        <v>71856.816314237149</v>
      </c>
    </row>
    <row r="185" spans="1:13" hidden="1" outlineLevel="1" x14ac:dyDescent="0.25">
      <c r="A185" s="523" t="s">
        <v>1002</v>
      </c>
      <c r="B185" s="397" t="s">
        <v>628</v>
      </c>
      <c r="C185" s="524" t="s">
        <v>211</v>
      </c>
      <c r="D185" s="524">
        <v>5</v>
      </c>
      <c r="E185" s="526" t="s">
        <v>1275</v>
      </c>
      <c r="F185" s="522"/>
      <c r="G185" s="522"/>
      <c r="H185" s="522"/>
      <c r="I185" s="522"/>
      <c r="J185" s="522"/>
      <c r="K185" s="802">
        <f t="shared" si="17"/>
        <v>1.1686530960000003</v>
      </c>
      <c r="L185" s="804"/>
      <c r="M185" s="804">
        <f t="shared" si="18"/>
        <v>0</v>
      </c>
    </row>
    <row r="186" spans="1:13" ht="25.5" hidden="1" outlineLevel="1" x14ac:dyDescent="0.25">
      <c r="A186" s="523" t="s">
        <v>1007</v>
      </c>
      <c r="B186" s="397" t="s">
        <v>630</v>
      </c>
      <c r="C186" s="524" t="s">
        <v>211</v>
      </c>
      <c r="D186" s="524">
        <v>2</v>
      </c>
      <c r="E186" s="526" t="s">
        <v>1275</v>
      </c>
      <c r="F186" s="522"/>
      <c r="G186" s="522"/>
      <c r="H186" s="522"/>
      <c r="I186" s="522"/>
      <c r="J186" s="522"/>
      <c r="K186" s="802">
        <f t="shared" si="17"/>
        <v>1.1686530960000003</v>
      </c>
      <c r="L186" s="804"/>
      <c r="M186" s="804">
        <f t="shared" si="18"/>
        <v>0</v>
      </c>
    </row>
    <row r="187" spans="1:13" hidden="1" outlineLevel="1" x14ac:dyDescent="0.25">
      <c r="A187" s="523" t="s">
        <v>1013</v>
      </c>
      <c r="B187" s="397" t="s">
        <v>632</v>
      </c>
      <c r="C187" s="524" t="s">
        <v>211</v>
      </c>
      <c r="D187" s="524">
        <v>2</v>
      </c>
      <c r="E187" s="526" t="s">
        <v>1275</v>
      </c>
      <c r="F187" s="522"/>
      <c r="G187" s="522"/>
      <c r="H187" s="522"/>
      <c r="I187" s="522"/>
      <c r="J187" s="522"/>
      <c r="K187" s="802">
        <f t="shared" si="17"/>
        <v>1.1686530960000003</v>
      </c>
      <c r="L187" s="804"/>
      <c r="M187" s="804">
        <f t="shared" si="18"/>
        <v>0</v>
      </c>
    </row>
    <row r="188" spans="1:13" hidden="1" outlineLevel="1" x14ac:dyDescent="0.25">
      <c r="A188" s="523" t="s">
        <v>1417</v>
      </c>
      <c r="B188" s="397" t="s">
        <v>634</v>
      </c>
      <c r="C188" s="524" t="s">
        <v>211</v>
      </c>
      <c r="D188" s="524">
        <v>2</v>
      </c>
      <c r="E188" s="526" t="s">
        <v>1275</v>
      </c>
      <c r="F188" s="522"/>
      <c r="G188" s="522"/>
      <c r="H188" s="522"/>
      <c r="I188" s="522"/>
      <c r="J188" s="522"/>
      <c r="K188" s="802">
        <f t="shared" si="17"/>
        <v>1.1686530960000003</v>
      </c>
      <c r="L188" s="804"/>
      <c r="M188" s="804">
        <f t="shared" si="18"/>
        <v>0</v>
      </c>
    </row>
    <row r="189" spans="1:13" collapsed="1" x14ac:dyDescent="0.25">
      <c r="A189" s="523" t="s">
        <v>1418</v>
      </c>
      <c r="B189" s="397" t="s">
        <v>679</v>
      </c>
      <c r="C189" s="538" t="str">
        <f>'Расчёт по УНЦС'!D627</f>
        <v>100 м</v>
      </c>
      <c r="D189" s="524">
        <f>'Расчёт по УНЦС'!E627</f>
        <v>10</v>
      </c>
      <c r="E189" s="526" t="s">
        <v>1275</v>
      </c>
      <c r="F189" s="522"/>
      <c r="G189" s="522"/>
      <c r="H189" s="522"/>
      <c r="I189" s="522"/>
      <c r="J189" s="522"/>
      <c r="K189" s="802">
        <f t="shared" si="17"/>
        <v>1.1686530960000003</v>
      </c>
      <c r="L189" s="804">
        <f>'Расчёт по УНЦС'!G632*K189</f>
        <v>3996.2745100116572</v>
      </c>
      <c r="M189" s="804">
        <f t="shared" si="18"/>
        <v>4795.5294120139888</v>
      </c>
    </row>
    <row r="190" spans="1:13" hidden="1" outlineLevel="1" x14ac:dyDescent="0.25">
      <c r="A190" s="523" t="s">
        <v>1419</v>
      </c>
      <c r="B190" s="532" t="s">
        <v>681</v>
      </c>
      <c r="C190" s="524" t="s">
        <v>660</v>
      </c>
      <c r="D190" s="525">
        <v>1000</v>
      </c>
      <c r="E190" s="526" t="s">
        <v>1275</v>
      </c>
      <c r="F190" s="522"/>
      <c r="G190" s="522"/>
      <c r="H190" s="522"/>
      <c r="I190" s="522"/>
      <c r="J190" s="522"/>
      <c r="K190" s="802">
        <f t="shared" si="17"/>
        <v>1.1686530960000003</v>
      </c>
      <c r="L190" s="804"/>
      <c r="M190" s="804">
        <f t="shared" si="18"/>
        <v>0</v>
      </c>
    </row>
    <row r="191" spans="1:13" hidden="1" outlineLevel="1" x14ac:dyDescent="0.25">
      <c r="A191" s="523" t="s">
        <v>1420</v>
      </c>
      <c r="B191" s="532" t="s">
        <v>683</v>
      </c>
      <c r="C191" s="524" t="s">
        <v>660</v>
      </c>
      <c r="D191" s="525">
        <v>1200</v>
      </c>
      <c r="E191" s="526" t="s">
        <v>1275</v>
      </c>
      <c r="F191" s="522"/>
      <c r="G191" s="522"/>
      <c r="H191" s="522"/>
      <c r="I191" s="522"/>
      <c r="J191" s="522"/>
      <c r="K191" s="802">
        <f t="shared" si="17"/>
        <v>1.1686530960000003</v>
      </c>
      <c r="L191" s="804"/>
      <c r="M191" s="804">
        <f t="shared" si="18"/>
        <v>0</v>
      </c>
    </row>
    <row r="192" spans="1:13" collapsed="1" x14ac:dyDescent="0.25">
      <c r="A192" s="523" t="s">
        <v>1421</v>
      </c>
      <c r="B192" s="532" t="s">
        <v>685</v>
      </c>
      <c r="C192" s="538" t="str">
        <f>'Расчёт по УНЦС'!D634</f>
        <v>1 км</v>
      </c>
      <c r="D192" s="525">
        <f>'Расчёт по УНЦС'!E634</f>
        <v>3.4</v>
      </c>
      <c r="E192" s="526" t="s">
        <v>1275</v>
      </c>
      <c r="F192" s="522"/>
      <c r="G192" s="522"/>
      <c r="H192" s="522"/>
      <c r="I192" s="522"/>
      <c r="J192" s="522"/>
      <c r="K192" s="802">
        <f t="shared" si="17"/>
        <v>1.1686530960000003</v>
      </c>
      <c r="L192" s="804">
        <f>'Расчёт по УНЦС'!G638*K192</f>
        <v>3225.5551239267966</v>
      </c>
      <c r="M192" s="804">
        <f t="shared" si="18"/>
        <v>3870.6661487121555</v>
      </c>
    </row>
    <row r="193" spans="1:13" hidden="1" outlineLevel="1" x14ac:dyDescent="0.25">
      <c r="A193" s="523" t="s">
        <v>1422</v>
      </c>
      <c r="B193" s="532" t="s">
        <v>687</v>
      </c>
      <c r="C193" s="524" t="s">
        <v>660</v>
      </c>
      <c r="D193" s="525">
        <v>1200</v>
      </c>
      <c r="E193" s="526" t="s">
        <v>1275</v>
      </c>
      <c r="F193" s="522"/>
      <c r="G193" s="522"/>
      <c r="H193" s="522"/>
      <c r="I193" s="522"/>
      <c r="J193" s="522"/>
      <c r="K193" s="802">
        <f t="shared" si="17"/>
        <v>1.1686530960000003</v>
      </c>
      <c r="L193" s="804"/>
      <c r="M193" s="804">
        <f t="shared" si="18"/>
        <v>0</v>
      </c>
    </row>
    <row r="194" spans="1:13" collapsed="1" x14ac:dyDescent="0.25">
      <c r="A194" s="523" t="s">
        <v>1423</v>
      </c>
      <c r="B194" s="397" t="s">
        <v>1454</v>
      </c>
      <c r="C194" s="538" t="str">
        <f>'Расчёт по УНЦС'!D640</f>
        <v>1 м</v>
      </c>
      <c r="D194" s="524">
        <f>'Расчёт по УНЦС'!E640</f>
        <v>2500</v>
      </c>
      <c r="E194" s="526" t="s">
        <v>1275</v>
      </c>
      <c r="F194" s="522"/>
      <c r="G194" s="522"/>
      <c r="H194" s="522"/>
      <c r="I194" s="522"/>
      <c r="J194" s="522"/>
      <c r="K194" s="802">
        <f t="shared" si="17"/>
        <v>1.1686530960000003</v>
      </c>
      <c r="L194" s="804">
        <f>'Расчёт по УНЦС'!G644*K194</f>
        <v>57268.352482611117</v>
      </c>
      <c r="M194" s="804">
        <f t="shared" si="18"/>
        <v>68722.02297913334</v>
      </c>
    </row>
    <row r="195" spans="1:13" ht="51" hidden="1" outlineLevel="1" x14ac:dyDescent="0.25">
      <c r="A195" s="523" t="s">
        <v>1424</v>
      </c>
      <c r="B195" s="397" t="s">
        <v>691</v>
      </c>
      <c r="C195" s="524" t="s">
        <v>692</v>
      </c>
      <c r="D195" s="524" t="s">
        <v>1009</v>
      </c>
      <c r="E195" s="526" t="s">
        <v>1275</v>
      </c>
      <c r="F195" s="522"/>
      <c r="G195" s="522"/>
      <c r="H195" s="522"/>
      <c r="I195" s="522"/>
      <c r="J195" s="522"/>
      <c r="K195" s="522"/>
      <c r="L195" s="804"/>
      <c r="M195" s="804">
        <f t="shared" si="18"/>
        <v>0</v>
      </c>
    </row>
    <row r="196" spans="1:13" hidden="1" outlineLevel="1" x14ac:dyDescent="0.25">
      <c r="A196" s="523" t="s">
        <v>1425</v>
      </c>
      <c r="B196" s="532" t="s">
        <v>695</v>
      </c>
      <c r="C196" s="524" t="s">
        <v>696</v>
      </c>
      <c r="D196" s="525">
        <v>50</v>
      </c>
      <c r="E196" s="526" t="s">
        <v>1275</v>
      </c>
      <c r="F196" s="522"/>
      <c r="G196" s="522"/>
      <c r="H196" s="522"/>
      <c r="I196" s="522"/>
      <c r="J196" s="522"/>
      <c r="K196" s="522"/>
      <c r="L196" s="804"/>
      <c r="M196" s="804">
        <f t="shared" si="18"/>
        <v>0</v>
      </c>
    </row>
    <row r="197" spans="1:13" hidden="1" outlineLevel="1" x14ac:dyDescent="0.25">
      <c r="A197" s="523" t="s">
        <v>1426</v>
      </c>
      <c r="B197" s="397" t="s">
        <v>698</v>
      </c>
      <c r="C197" s="524"/>
      <c r="D197" s="525"/>
      <c r="E197" s="526" t="s">
        <v>1275</v>
      </c>
      <c r="F197" s="522"/>
      <c r="G197" s="522"/>
      <c r="H197" s="522"/>
      <c r="I197" s="522"/>
      <c r="J197" s="522"/>
      <c r="K197" s="522"/>
      <c r="L197" s="804"/>
      <c r="M197" s="804">
        <f t="shared" si="18"/>
        <v>0</v>
      </c>
    </row>
    <row r="198" spans="1:13" ht="25.5" hidden="1" outlineLevel="1" x14ac:dyDescent="0.25">
      <c r="A198" s="523" t="s">
        <v>1427</v>
      </c>
      <c r="B198" s="397" t="s">
        <v>700</v>
      </c>
      <c r="C198" s="524" t="s">
        <v>701</v>
      </c>
      <c r="D198" s="525">
        <v>30</v>
      </c>
      <c r="E198" s="526" t="s">
        <v>1275</v>
      </c>
      <c r="F198" s="522"/>
      <c r="G198" s="522"/>
      <c r="H198" s="522"/>
      <c r="I198" s="522"/>
      <c r="J198" s="522"/>
      <c r="K198" s="522"/>
      <c r="L198" s="804"/>
      <c r="M198" s="804">
        <f t="shared" si="18"/>
        <v>0</v>
      </c>
    </row>
    <row r="199" spans="1:13" hidden="1" outlineLevel="1" x14ac:dyDescent="0.25">
      <c r="A199" s="523" t="s">
        <v>1428</v>
      </c>
      <c r="B199" s="532" t="s">
        <v>703</v>
      </c>
      <c r="C199" s="524" t="s">
        <v>704</v>
      </c>
      <c r="D199" s="525">
        <v>0</v>
      </c>
      <c r="E199" s="526" t="s">
        <v>1275</v>
      </c>
      <c r="F199" s="522"/>
      <c r="G199" s="522"/>
      <c r="H199" s="522"/>
      <c r="I199" s="522"/>
      <c r="J199" s="522"/>
      <c r="K199" s="522"/>
      <c r="L199" s="804"/>
      <c r="M199" s="804">
        <f t="shared" si="18"/>
        <v>0</v>
      </c>
    </row>
    <row r="200" spans="1:13" collapsed="1" x14ac:dyDescent="0.25">
      <c r="A200" s="1207" t="s">
        <v>1279</v>
      </c>
      <c r="B200" s="1207"/>
      <c r="C200" s="1207"/>
      <c r="D200" s="1207"/>
      <c r="E200" s="1207"/>
      <c r="F200" s="1207"/>
      <c r="G200" s="1207"/>
      <c r="H200" s="1207"/>
      <c r="I200" s="1207"/>
      <c r="J200" s="1207"/>
      <c r="K200" s="1207"/>
      <c r="L200" s="805">
        <f>SUM(L172:L199)</f>
        <v>442890.25960834941</v>
      </c>
      <c r="M200" s="805">
        <f>SUM(M172:M199)</f>
        <v>531468.31153001939</v>
      </c>
    </row>
    <row r="201" spans="1:13" x14ac:dyDescent="0.25">
      <c r="A201" s="527"/>
      <c r="B201" s="521" t="s">
        <v>195</v>
      </c>
      <c r="C201" s="543"/>
      <c r="D201" s="521"/>
      <c r="E201" s="522"/>
      <c r="F201" s="522"/>
      <c r="G201" s="522"/>
      <c r="H201" s="522"/>
      <c r="I201" s="522"/>
      <c r="J201" s="522"/>
      <c r="K201" s="522"/>
      <c r="L201" s="804"/>
      <c r="M201" s="804"/>
    </row>
    <row r="202" spans="1:13" x14ac:dyDescent="0.25">
      <c r="A202" s="527"/>
      <c r="B202" s="537" t="s">
        <v>196</v>
      </c>
      <c r="C202" s="544"/>
      <c r="D202" s="537"/>
      <c r="E202" s="522"/>
      <c r="F202" s="522"/>
      <c r="G202" s="522"/>
      <c r="H202" s="522"/>
      <c r="I202" s="522"/>
      <c r="J202" s="522"/>
      <c r="K202" s="522"/>
      <c r="L202" s="804"/>
      <c r="M202" s="804"/>
    </row>
    <row r="203" spans="1:13" x14ac:dyDescent="0.25">
      <c r="A203" s="523" t="s">
        <v>575</v>
      </c>
      <c r="B203" s="397" t="s">
        <v>65</v>
      </c>
      <c r="C203" s="524" t="s">
        <v>0</v>
      </c>
      <c r="D203" s="525">
        <v>2.7</v>
      </c>
      <c r="E203" s="526" t="s">
        <v>1275</v>
      </c>
      <c r="F203" s="522"/>
      <c r="G203" s="522"/>
      <c r="H203" s="522"/>
      <c r="I203" s="522"/>
      <c r="J203" s="522"/>
      <c r="K203" s="522"/>
      <c r="L203" s="804"/>
      <c r="M203" s="804"/>
    </row>
    <row r="204" spans="1:13" x14ac:dyDescent="0.25">
      <c r="A204" s="523" t="s">
        <v>1429</v>
      </c>
      <c r="B204" s="397" t="s">
        <v>73</v>
      </c>
      <c r="C204" s="524" t="str">
        <f>'Расчёт по УНЦС'!D648</f>
        <v>100 м2</v>
      </c>
      <c r="D204" s="525">
        <f>'Расчёт по УНЦС'!E648</f>
        <v>270</v>
      </c>
      <c r="E204" s="526" t="s">
        <v>1275</v>
      </c>
      <c r="F204" s="522"/>
      <c r="G204" s="522"/>
      <c r="H204" s="522"/>
      <c r="I204" s="522"/>
      <c r="J204" s="522"/>
      <c r="K204" s="802">
        <f t="shared" ref="K204:K216" si="19">$L$227*$L$228*$L$229</f>
        <v>1.1686530960000003</v>
      </c>
      <c r="L204" s="804">
        <f>'Расчёт по УНЦС'!G652*K204</f>
        <v>5324.0963439372526</v>
      </c>
      <c r="M204" s="804">
        <f t="shared" ref="M204:M215" si="20">L204*1.2</f>
        <v>6388.9156127247034</v>
      </c>
    </row>
    <row r="205" spans="1:13" x14ac:dyDescent="0.25">
      <c r="A205" s="523" t="s">
        <v>1430</v>
      </c>
      <c r="B205" s="397" t="s">
        <v>127</v>
      </c>
      <c r="C205" s="538" t="str">
        <f>'Расчёт по УНЦС'!D673</f>
        <v>га</v>
      </c>
      <c r="D205" s="525">
        <f>'Расчёт по УНЦС'!E673</f>
        <v>2</v>
      </c>
      <c r="E205" s="526" t="s">
        <v>1275</v>
      </c>
      <c r="F205" s="522"/>
      <c r="G205" s="522"/>
      <c r="H205" s="522"/>
      <c r="I205" s="522"/>
      <c r="J205" s="522"/>
      <c r="K205" s="802">
        <f t="shared" si="19"/>
        <v>1.1686530960000003</v>
      </c>
      <c r="L205" s="804">
        <f>'Расчёт по УНЦС'!G676*K205</f>
        <v>41322.201008364063</v>
      </c>
      <c r="M205" s="804">
        <f t="shared" si="20"/>
        <v>49586.641210036876</v>
      </c>
    </row>
    <row r="206" spans="1:13" x14ac:dyDescent="0.25">
      <c r="A206" s="523" t="s">
        <v>1431</v>
      </c>
      <c r="B206" s="397" t="s">
        <v>201</v>
      </c>
      <c r="C206" s="538" t="str">
        <f>'Расчёт по УНЦС'!D660</f>
        <v>100 м2</v>
      </c>
      <c r="D206" s="525">
        <f>'Расчёт по УНЦС'!E660</f>
        <v>9</v>
      </c>
      <c r="E206" s="526" t="s">
        <v>1275</v>
      </c>
      <c r="F206" s="522"/>
      <c r="G206" s="522"/>
      <c r="H206" s="522"/>
      <c r="I206" s="522"/>
      <c r="J206" s="522"/>
      <c r="K206" s="802">
        <f t="shared" si="19"/>
        <v>1.1686530960000003</v>
      </c>
      <c r="L206" s="804">
        <f>'Расчёт по УНЦС'!G665*K206</f>
        <v>7300.7871596317127</v>
      </c>
      <c r="M206" s="804">
        <f t="shared" si="20"/>
        <v>8760.9445915580545</v>
      </c>
    </row>
    <row r="207" spans="1:13" x14ac:dyDescent="0.25">
      <c r="A207" s="523" t="s">
        <v>1432</v>
      </c>
      <c r="B207" s="397" t="s">
        <v>71</v>
      </c>
      <c r="C207" s="538" t="str">
        <f>'Расчёт по УНЦС'!D704</f>
        <v>1 км</v>
      </c>
      <c r="D207" s="525">
        <f>'Расчёт по УНЦС'!E704</f>
        <v>0.9</v>
      </c>
      <c r="E207" s="526" t="s">
        <v>1275</v>
      </c>
      <c r="F207" s="522"/>
      <c r="G207" s="522"/>
      <c r="H207" s="522"/>
      <c r="I207" s="522"/>
      <c r="J207" s="522"/>
      <c r="K207" s="802">
        <f t="shared" si="19"/>
        <v>1.1686530960000003</v>
      </c>
      <c r="L207" s="804">
        <f>'Расчёт по УНЦС'!G708*K207</f>
        <v>21557.044894271152</v>
      </c>
      <c r="M207" s="804">
        <f t="shared" si="20"/>
        <v>25868.453873125382</v>
      </c>
    </row>
    <row r="208" spans="1:13" hidden="1" outlineLevel="1" x14ac:dyDescent="0.25">
      <c r="A208" s="523" t="s">
        <v>1433</v>
      </c>
      <c r="B208" s="397" t="s">
        <v>628</v>
      </c>
      <c r="C208" s="524" t="s">
        <v>211</v>
      </c>
      <c r="D208" s="525">
        <v>2</v>
      </c>
      <c r="E208" s="526" t="s">
        <v>1275</v>
      </c>
      <c r="F208" s="522"/>
      <c r="G208" s="522"/>
      <c r="H208" s="522"/>
      <c r="I208" s="522"/>
      <c r="J208" s="522"/>
      <c r="K208" s="802">
        <f t="shared" si="19"/>
        <v>1.1686530960000003</v>
      </c>
      <c r="L208" s="804"/>
      <c r="M208" s="804">
        <f t="shared" si="20"/>
        <v>0</v>
      </c>
    </row>
    <row r="209" spans="1:14" ht="25.5" hidden="1" outlineLevel="1" x14ac:dyDescent="0.25">
      <c r="A209" s="523" t="s">
        <v>1434</v>
      </c>
      <c r="B209" s="376" t="s">
        <v>630</v>
      </c>
      <c r="C209" s="533" t="s">
        <v>211</v>
      </c>
      <c r="D209" s="530"/>
      <c r="E209" s="526" t="s">
        <v>1275</v>
      </c>
      <c r="F209" s="522"/>
      <c r="G209" s="522"/>
      <c r="H209" s="522"/>
      <c r="I209" s="522"/>
      <c r="J209" s="522"/>
      <c r="K209" s="802">
        <f t="shared" si="19"/>
        <v>1.1686530960000003</v>
      </c>
      <c r="L209" s="804"/>
      <c r="M209" s="804">
        <f t="shared" si="20"/>
        <v>0</v>
      </c>
    </row>
    <row r="210" spans="1:14" hidden="1" outlineLevel="1" x14ac:dyDescent="0.25">
      <c r="A210" s="523" t="s">
        <v>1435</v>
      </c>
      <c r="B210" s="397" t="s">
        <v>632</v>
      </c>
      <c r="C210" s="524" t="s">
        <v>211</v>
      </c>
      <c r="D210" s="525">
        <v>4</v>
      </c>
      <c r="E210" s="526" t="s">
        <v>1275</v>
      </c>
      <c r="F210" s="522"/>
      <c r="G210" s="522"/>
      <c r="H210" s="522"/>
      <c r="I210" s="522"/>
      <c r="J210" s="522"/>
      <c r="K210" s="802">
        <f t="shared" si="19"/>
        <v>1.1686530960000003</v>
      </c>
      <c r="L210" s="804"/>
      <c r="M210" s="804">
        <f t="shared" si="20"/>
        <v>0</v>
      </c>
    </row>
    <row r="211" spans="1:14" hidden="1" outlineLevel="1" x14ac:dyDescent="0.25">
      <c r="A211" s="523" t="s">
        <v>1436</v>
      </c>
      <c r="B211" s="376" t="s">
        <v>634</v>
      </c>
      <c r="C211" s="533" t="s">
        <v>211</v>
      </c>
      <c r="D211" s="530"/>
      <c r="E211" s="526" t="s">
        <v>1275</v>
      </c>
      <c r="F211" s="522"/>
      <c r="G211" s="522"/>
      <c r="H211" s="522"/>
      <c r="I211" s="522"/>
      <c r="J211" s="522"/>
      <c r="K211" s="802">
        <f t="shared" si="19"/>
        <v>1.1686530960000003</v>
      </c>
      <c r="L211" s="804"/>
      <c r="M211" s="804">
        <f t="shared" si="20"/>
        <v>0</v>
      </c>
    </row>
    <row r="212" spans="1:14" collapsed="1" x14ac:dyDescent="0.25">
      <c r="A212" s="523" t="s">
        <v>1437</v>
      </c>
      <c r="B212" s="397" t="s">
        <v>79</v>
      </c>
      <c r="C212" s="538" t="str">
        <f>'Расчёт по УНЦС'!D654</f>
        <v>100 м2</v>
      </c>
      <c r="D212" s="525">
        <f>'Расчёт по УНЦС'!E654</f>
        <v>270</v>
      </c>
      <c r="E212" s="526" t="s">
        <v>1275</v>
      </c>
      <c r="F212" s="522"/>
      <c r="G212" s="522"/>
      <c r="H212" s="522"/>
      <c r="I212" s="522"/>
      <c r="J212" s="522"/>
      <c r="K212" s="802">
        <f t="shared" si="19"/>
        <v>1.1686530960000003</v>
      </c>
      <c r="L212" s="804">
        <f>'Расчёт по УНЦС'!G658*K212</f>
        <v>51574.723331733221</v>
      </c>
      <c r="M212" s="804">
        <f t="shared" si="20"/>
        <v>61889.667998079865</v>
      </c>
    </row>
    <row r="213" spans="1:14" x14ac:dyDescent="0.25">
      <c r="A213" s="523" t="s">
        <v>1438</v>
      </c>
      <c r="B213" s="531" t="s">
        <v>205</v>
      </c>
      <c r="C213" s="541" t="str">
        <f>'Расчёт по УНЦС'!D678</f>
        <v xml:space="preserve">1 м2  </v>
      </c>
      <c r="D213" s="542">
        <f>'Расчёт по УНЦС'!E678</f>
        <v>100</v>
      </c>
      <c r="E213" s="526" t="s">
        <v>1275</v>
      </c>
      <c r="F213" s="522"/>
      <c r="G213" s="522"/>
      <c r="H213" s="522"/>
      <c r="I213" s="522"/>
      <c r="J213" s="522"/>
      <c r="K213" s="802">
        <f t="shared" si="19"/>
        <v>1.1686530960000003</v>
      </c>
      <c r="L213" s="804">
        <f>'Расчёт по УНЦС'!G682*K213</f>
        <v>4901.0492054972456</v>
      </c>
      <c r="M213" s="804">
        <f t="shared" si="20"/>
        <v>5881.2590465966941</v>
      </c>
    </row>
    <row r="214" spans="1:14" x14ac:dyDescent="0.25">
      <c r="A214" s="523" t="s">
        <v>1439</v>
      </c>
      <c r="B214" s="397" t="s">
        <v>1280</v>
      </c>
      <c r="C214" s="524" t="s">
        <v>660</v>
      </c>
      <c r="D214" s="525">
        <v>30</v>
      </c>
      <c r="E214" s="526" t="s">
        <v>1275</v>
      </c>
      <c r="F214" s="522"/>
      <c r="G214" s="522"/>
      <c r="H214" s="522"/>
      <c r="I214" s="522"/>
      <c r="J214" s="522"/>
      <c r="K214" s="802">
        <f t="shared" si="19"/>
        <v>1.1686530960000003</v>
      </c>
      <c r="L214" s="804">
        <f>'Расчёт по УНЦС'!G695*K214</f>
        <v>19990.144308739422</v>
      </c>
      <c r="M214" s="804">
        <f t="shared" si="20"/>
        <v>23988.173170487305</v>
      </c>
    </row>
    <row r="215" spans="1:14" x14ac:dyDescent="0.25">
      <c r="A215" s="523" t="s">
        <v>1440</v>
      </c>
      <c r="B215" s="397" t="s">
        <v>1281</v>
      </c>
      <c r="C215" s="524" t="s">
        <v>660</v>
      </c>
      <c r="D215" s="525">
        <v>20</v>
      </c>
      <c r="E215" s="526" t="s">
        <v>1275</v>
      </c>
      <c r="F215" s="522"/>
      <c r="G215" s="522"/>
      <c r="H215" s="522"/>
      <c r="I215" s="522"/>
      <c r="J215" s="522"/>
      <c r="K215" s="802">
        <f t="shared" si="19"/>
        <v>1.1686530960000003</v>
      </c>
      <c r="L215" s="804">
        <f>'Расчёт по УНЦС'!G702*K215</f>
        <v>5464.8922415175321</v>
      </c>
      <c r="M215" s="804">
        <f t="shared" si="20"/>
        <v>6557.8706898210385</v>
      </c>
    </row>
    <row r="216" spans="1:14" collapsed="1" x14ac:dyDescent="0.25">
      <c r="A216" s="523" t="s">
        <v>2383</v>
      </c>
      <c r="B216" s="532" t="s">
        <v>2374</v>
      </c>
      <c r="C216" s="524" t="s">
        <v>660</v>
      </c>
      <c r="D216" s="525">
        <v>800</v>
      </c>
      <c r="E216" s="526" t="s">
        <v>1275</v>
      </c>
      <c r="F216" s="522"/>
      <c r="G216" s="522"/>
      <c r="H216" s="522"/>
      <c r="I216" s="522"/>
      <c r="J216" s="522"/>
      <c r="K216" s="802">
        <f t="shared" si="19"/>
        <v>1.1686530960000003</v>
      </c>
      <c r="L216" s="804">
        <f>'Расчёт по УНЦС'!G714*K216</f>
        <v>353878.49397170357</v>
      </c>
      <c r="M216" s="804">
        <f>L216*1.2</f>
        <v>424654.19276604429</v>
      </c>
    </row>
    <row r="217" spans="1:14" x14ac:dyDescent="0.25">
      <c r="A217" s="1207" t="s">
        <v>1279</v>
      </c>
      <c r="B217" s="1207"/>
      <c r="C217" s="1207"/>
      <c r="D217" s="1207"/>
      <c r="E217" s="1207"/>
      <c r="F217" s="1207"/>
      <c r="G217" s="1207"/>
      <c r="H217" s="1207"/>
      <c r="I217" s="1207"/>
      <c r="J217" s="1207"/>
      <c r="K217" s="1207"/>
      <c r="L217" s="805">
        <f>SUM(L204:L216)</f>
        <v>511313.43246539519</v>
      </c>
      <c r="M217" s="805">
        <f>SUM(M204:M216)</f>
        <v>613576.11895847425</v>
      </c>
    </row>
    <row r="218" spans="1:14" x14ac:dyDescent="0.25">
      <c r="A218" s="527"/>
      <c r="B218" s="537" t="s">
        <v>1</v>
      </c>
      <c r="C218" s="544"/>
      <c r="D218" s="537"/>
      <c r="E218" s="522"/>
      <c r="F218" s="522"/>
      <c r="G218" s="522"/>
      <c r="H218" s="522"/>
      <c r="I218" s="522"/>
      <c r="J218" s="522"/>
      <c r="K218" s="522"/>
      <c r="L218" s="804"/>
      <c r="M218" s="804"/>
    </row>
    <row r="219" spans="1:14" x14ac:dyDescent="0.25">
      <c r="A219" s="523" t="s">
        <v>1441</v>
      </c>
      <c r="B219" s="397" t="s">
        <v>65</v>
      </c>
      <c r="C219" s="524" t="s">
        <v>0</v>
      </c>
      <c r="D219" s="525">
        <v>0.5</v>
      </c>
      <c r="E219" s="526" t="s">
        <v>1275</v>
      </c>
      <c r="F219" s="522"/>
      <c r="G219" s="522"/>
      <c r="H219" s="522"/>
      <c r="I219" s="522"/>
      <c r="J219" s="522"/>
      <c r="K219" s="522"/>
      <c r="L219" s="804"/>
      <c r="M219" s="804"/>
    </row>
    <row r="220" spans="1:14" x14ac:dyDescent="0.25">
      <c r="A220" s="523" t="s">
        <v>1442</v>
      </c>
      <c r="B220" s="397" t="s">
        <v>127</v>
      </c>
      <c r="C220" s="538" t="str">
        <f>'Расчёт по УНЦС'!D718</f>
        <v>1 га</v>
      </c>
      <c r="D220" s="525">
        <f>'Расчёт по УНЦС'!E718</f>
        <v>0.5</v>
      </c>
      <c r="E220" s="526" t="s">
        <v>1275</v>
      </c>
      <c r="F220" s="522"/>
      <c r="G220" s="522"/>
      <c r="H220" s="522"/>
      <c r="I220" s="522"/>
      <c r="J220" s="522"/>
      <c r="K220" s="802">
        <f t="shared" ref="K220" si="21">$L$227*$L$228*$L$229</f>
        <v>1.1686530960000003</v>
      </c>
      <c r="L220" s="804">
        <f>'Расчёт по УНЦС'!G721*K220</f>
        <v>10330.550252091016</v>
      </c>
      <c r="M220" s="804">
        <f t="shared" ref="M220" si="22">L220*1.2</f>
        <v>12396.660302509219</v>
      </c>
    </row>
    <row r="221" spans="1:14" x14ac:dyDescent="0.25">
      <c r="A221" s="1207" t="s">
        <v>1279</v>
      </c>
      <c r="B221" s="1207"/>
      <c r="C221" s="1207"/>
      <c r="D221" s="1207"/>
      <c r="E221" s="1207"/>
      <c r="F221" s="1207"/>
      <c r="G221" s="1207"/>
      <c r="H221" s="1207"/>
      <c r="I221" s="1207"/>
      <c r="J221" s="1207"/>
      <c r="K221" s="1207"/>
      <c r="L221" s="805">
        <f>SUM(L220)</f>
        <v>10330.550252091016</v>
      </c>
      <c r="M221" s="805">
        <f>SUM(M220)</f>
        <v>12396.660302509219</v>
      </c>
    </row>
    <row r="222" spans="1:14" ht="15.75" x14ac:dyDescent="0.25">
      <c r="A222" s="1210" t="s">
        <v>1147</v>
      </c>
      <c r="B222" s="1210"/>
      <c r="C222" s="1210"/>
      <c r="D222" s="1210"/>
      <c r="E222" s="1210"/>
      <c r="F222" s="1210"/>
      <c r="G222" s="1210"/>
      <c r="H222" s="1210"/>
      <c r="I222" s="1210"/>
      <c r="J222" s="1210"/>
      <c r="K222" s="1210"/>
      <c r="L222" s="805">
        <f>L221+L217+L200+L169+L156+L142+L123+L107+L79++L54+L27</f>
        <v>2706690.8560058284</v>
      </c>
      <c r="M222" s="805">
        <f>M221+M217+M200+M169+M156+M142+M123+M107+M79++M54+M27</f>
        <v>3248029.0272069946</v>
      </c>
      <c r="N222" s="795"/>
    </row>
    <row r="225" spans="1:13" ht="33" customHeight="1" x14ac:dyDescent="0.25">
      <c r="A225" s="1208" t="s">
        <v>1276</v>
      </c>
      <c r="B225" s="1208"/>
      <c r="C225" s="1208"/>
      <c r="D225" s="1208"/>
      <c r="E225" s="1208"/>
      <c r="F225" s="1208"/>
      <c r="G225" s="1208"/>
      <c r="H225" s="1208"/>
      <c r="I225" s="1208"/>
      <c r="J225" s="1208"/>
      <c r="K225" s="517"/>
      <c r="L225" s="808"/>
      <c r="M225" s="809"/>
    </row>
    <row r="226" spans="1:13" ht="18.75" customHeight="1" x14ac:dyDescent="0.25">
      <c r="A226" s="1208" t="s">
        <v>1277</v>
      </c>
      <c r="B226" s="1208"/>
      <c r="C226" s="1208"/>
      <c r="D226" s="1208"/>
      <c r="E226" s="1208"/>
      <c r="F226" s="1208"/>
      <c r="G226" s="1208"/>
      <c r="H226" s="1208"/>
      <c r="I226" s="1208"/>
      <c r="J226" s="1208"/>
      <c r="K226" s="517"/>
      <c r="L226" s="808"/>
    </row>
    <row r="227" spans="1:13" ht="15" customHeight="1" x14ac:dyDescent="0.25">
      <c r="A227" s="1209" t="s">
        <v>1455</v>
      </c>
      <c r="B227" s="1209"/>
      <c r="C227" s="1209"/>
      <c r="D227" s="1209"/>
      <c r="E227" s="1209"/>
      <c r="F227" s="1209"/>
      <c r="G227" s="1209"/>
      <c r="H227" s="1209"/>
      <c r="I227" s="1209"/>
      <c r="J227" s="1209"/>
      <c r="K227" s="517" t="s">
        <v>410</v>
      </c>
      <c r="L227" s="808">
        <f>Дефляторы!D91/100</f>
        <v>1.0590000000000002</v>
      </c>
    </row>
    <row r="228" spans="1:13" x14ac:dyDescent="0.25">
      <c r="A228" s="1209"/>
      <c r="B228" s="1209"/>
      <c r="C228" s="1209"/>
      <c r="D228" s="1209"/>
      <c r="E228" s="1209"/>
      <c r="F228" s="1209"/>
      <c r="G228" s="1209"/>
      <c r="H228" s="1209"/>
      <c r="I228" s="1209"/>
      <c r="J228" s="1209"/>
      <c r="K228" s="517" t="s">
        <v>411</v>
      </c>
      <c r="L228" s="807">
        <f>Дефляторы!E91/100</f>
        <v>1.0529999999999999</v>
      </c>
    </row>
    <row r="229" spans="1:13" x14ac:dyDescent="0.25">
      <c r="A229" s="1209"/>
      <c r="B229" s="1209"/>
      <c r="C229" s="1209"/>
      <c r="D229" s="1209"/>
      <c r="E229" s="1209"/>
      <c r="F229" s="1209"/>
      <c r="G229" s="1209"/>
      <c r="H229" s="1209"/>
      <c r="I229" s="1209"/>
      <c r="J229" s="1209"/>
      <c r="K229" s="517" t="s">
        <v>471</v>
      </c>
      <c r="L229" s="807">
        <f>Дефляторы!F91/100</f>
        <v>1.048</v>
      </c>
    </row>
    <row r="230" spans="1:13" x14ac:dyDescent="0.25">
      <c r="A230" s="1195" t="s">
        <v>2427</v>
      </c>
      <c r="B230" s="1195"/>
      <c r="C230" s="1195"/>
      <c r="D230" s="1195"/>
      <c r="E230" s="1195"/>
      <c r="F230" s="1195"/>
      <c r="G230" s="1195"/>
      <c r="H230" s="1195"/>
      <c r="I230" s="1195"/>
      <c r="J230" s="1195"/>
      <c r="K230" s="938" t="s">
        <v>2426</v>
      </c>
      <c r="L230" s="939">
        <f>L227*L228*L229</f>
        <v>1.1686530960000003</v>
      </c>
    </row>
    <row r="234" spans="1:13" x14ac:dyDescent="0.25">
      <c r="E234" s="795"/>
      <c r="H234" s="796"/>
    </row>
    <row r="237" spans="1:13" ht="17.25" customHeight="1" x14ac:dyDescent="0.25">
      <c r="C237" s="550"/>
    </row>
    <row r="239" spans="1:13" x14ac:dyDescent="0.25">
      <c r="B239" s="516"/>
    </row>
    <row r="240" spans="1:13" x14ac:dyDescent="0.25">
      <c r="B240" s="516"/>
    </row>
  </sheetData>
  <mergeCells count="26">
    <mergeCell ref="A27:K27"/>
    <mergeCell ref="A54:K54"/>
    <mergeCell ref="A79:K79"/>
    <mergeCell ref="A107:K107"/>
    <mergeCell ref="A123:K123"/>
    <mergeCell ref="A169:K169"/>
    <mergeCell ref="A200:K200"/>
    <mergeCell ref="A217:K217"/>
    <mergeCell ref="A221:K221"/>
    <mergeCell ref="A222:K222"/>
    <mergeCell ref="A230:J230"/>
    <mergeCell ref="A1:N1"/>
    <mergeCell ref="A3:A4"/>
    <mergeCell ref="B3:B4"/>
    <mergeCell ref="C3:C4"/>
    <mergeCell ref="D3:D4"/>
    <mergeCell ref="E3:I3"/>
    <mergeCell ref="J3:J4"/>
    <mergeCell ref="K3:K4"/>
    <mergeCell ref="L3:L4"/>
    <mergeCell ref="M3:M4"/>
    <mergeCell ref="A142:K142"/>
    <mergeCell ref="A156:K156"/>
    <mergeCell ref="A225:J225"/>
    <mergeCell ref="A226:J226"/>
    <mergeCell ref="A227:J229"/>
  </mergeCells>
  <pageMargins left="0.7" right="0.7" top="0.75" bottom="0.75" header="0.3" footer="0.3"/>
  <pageSetup paperSize="9" scale="3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M46"/>
  <sheetViews>
    <sheetView showGridLines="0" topLeftCell="A19" zoomScaleNormal="100" workbookViewId="0">
      <selection activeCell="B55" sqref="B55"/>
    </sheetView>
  </sheetViews>
  <sheetFormatPr defaultRowHeight="12.75" x14ac:dyDescent="0.25"/>
  <cols>
    <col min="1" max="1" width="5.28515625" style="41" customWidth="1"/>
    <col min="2" max="2" width="54.28515625" style="43" customWidth="1"/>
    <col min="3" max="3" width="27.5703125" style="43" customWidth="1"/>
    <col min="4" max="4" width="16" style="43" customWidth="1"/>
    <col min="5" max="5" width="12.5703125" style="43" customWidth="1"/>
    <col min="6" max="6" width="20.5703125" style="43" customWidth="1"/>
    <col min="7" max="7" width="16" style="43" customWidth="1"/>
    <col min="8" max="8" width="11.5703125" style="43" bestFit="1" customWidth="1"/>
    <col min="9" max="16384" width="9.140625" style="43"/>
  </cols>
  <sheetData>
    <row r="1" spans="1:13" x14ac:dyDescent="0.25">
      <c r="B1" s="42"/>
      <c r="C1" s="42"/>
      <c r="D1" s="41"/>
      <c r="E1" s="41"/>
      <c r="F1" s="41"/>
      <c r="G1" s="41"/>
    </row>
    <row r="2" spans="1:13" x14ac:dyDescent="0.25">
      <c r="B2" s="44" t="s">
        <v>356</v>
      </c>
      <c r="C2" s="45"/>
      <c r="D2" s="46"/>
      <c r="E2" s="46"/>
      <c r="F2" s="46"/>
      <c r="G2" s="46"/>
    </row>
    <row r="3" spans="1:13" x14ac:dyDescent="0.25">
      <c r="B3" s="42"/>
      <c r="C3" s="42"/>
      <c r="D3" s="47" t="s">
        <v>357</v>
      </c>
      <c r="E3" s="48"/>
      <c r="F3" s="41"/>
      <c r="G3" s="41"/>
    </row>
    <row r="4" spans="1:13" s="52" customFormat="1" x14ac:dyDescent="0.25">
      <c r="A4" s="49"/>
      <c r="B4" s="50" t="s">
        <v>358</v>
      </c>
      <c r="C4" s="50"/>
      <c r="D4" s="49"/>
      <c r="E4" s="51"/>
      <c r="F4" s="49"/>
      <c r="G4" s="49"/>
    </row>
    <row r="5" spans="1:13" x14ac:dyDescent="0.25">
      <c r="A5" s="53"/>
      <c r="B5" s="1216"/>
      <c r="C5" s="1216"/>
      <c r="D5" s="1216"/>
      <c r="E5" s="1216"/>
      <c r="F5" s="1216"/>
      <c r="G5" s="1216"/>
      <c r="H5" s="54"/>
      <c r="I5" s="54"/>
      <c r="J5" s="54"/>
      <c r="K5" s="54"/>
      <c r="L5" s="54"/>
      <c r="M5" s="54"/>
    </row>
    <row r="6" spans="1:13" x14ac:dyDescent="0.25">
      <c r="A6" s="53"/>
      <c r="B6" s="55"/>
      <c r="C6" s="56"/>
      <c r="D6" s="57"/>
      <c r="E6" s="58"/>
      <c r="F6" s="58"/>
      <c r="G6" s="58"/>
      <c r="H6" s="59"/>
      <c r="I6" s="59"/>
      <c r="J6" s="59"/>
      <c r="K6" s="59"/>
      <c r="L6" s="59"/>
      <c r="M6" s="59"/>
    </row>
    <row r="7" spans="1:13" ht="18" x14ac:dyDescent="0.25">
      <c r="A7" s="1217" t="e">
        <f>'СВОД (объемов работ)'!#REF!</f>
        <v>#REF!</v>
      </c>
      <c r="B7" s="1217"/>
      <c r="C7" s="1217"/>
      <c r="D7" s="1217"/>
      <c r="E7" s="1217"/>
      <c r="F7" s="1217"/>
      <c r="G7" s="1217"/>
      <c r="H7" s="52"/>
      <c r="I7" s="60"/>
      <c r="J7" s="60"/>
      <c r="K7" s="60"/>
      <c r="L7" s="61"/>
      <c r="M7" s="61"/>
    </row>
    <row r="8" spans="1:13" ht="41.25" customHeight="1" x14ac:dyDescent="0.25">
      <c r="A8" s="1218"/>
      <c r="B8" s="1218"/>
      <c r="C8" s="1218"/>
      <c r="D8" s="1218"/>
      <c r="E8" s="1218"/>
      <c r="F8" s="1218"/>
      <c r="G8" s="1218"/>
      <c r="H8" s="62"/>
      <c r="I8" s="62"/>
      <c r="J8" s="62"/>
      <c r="K8" s="62"/>
      <c r="L8" s="62"/>
      <c r="M8" s="62"/>
    </row>
    <row r="9" spans="1:13" x14ac:dyDescent="0.25">
      <c r="A9" s="63"/>
      <c r="B9" s="1219" t="s">
        <v>359</v>
      </c>
      <c r="C9" s="1219"/>
      <c r="D9" s="1219"/>
      <c r="E9" s="1219"/>
      <c r="F9" s="1219"/>
      <c r="G9" s="1219"/>
      <c r="H9" s="62"/>
      <c r="I9" s="62"/>
      <c r="J9" s="62"/>
      <c r="K9" s="62"/>
      <c r="L9" s="62"/>
      <c r="M9" s="62"/>
    </row>
    <row r="10" spans="1:13" x14ac:dyDescent="0.25">
      <c r="A10" s="63"/>
      <c r="B10" s="64"/>
      <c r="C10" s="64"/>
      <c r="D10" s="64"/>
      <c r="E10" s="64"/>
      <c r="F10" s="64"/>
      <c r="G10" s="64"/>
      <c r="H10" s="62"/>
      <c r="I10" s="62"/>
      <c r="J10" s="62"/>
      <c r="K10" s="62"/>
      <c r="L10" s="62"/>
      <c r="M10" s="62"/>
    </row>
    <row r="12" spans="1:13" x14ac:dyDescent="0.25">
      <c r="A12" s="1220" t="s">
        <v>57</v>
      </c>
      <c r="B12" s="1220" t="s">
        <v>360</v>
      </c>
      <c r="C12" s="1220" t="s">
        <v>361</v>
      </c>
      <c r="D12" s="1220" t="s">
        <v>362</v>
      </c>
      <c r="E12" s="1220" t="s">
        <v>363</v>
      </c>
      <c r="F12" s="1220" t="s">
        <v>401</v>
      </c>
      <c r="G12" s="1220" t="s">
        <v>364</v>
      </c>
    </row>
    <row r="13" spans="1:13" ht="54" customHeight="1" x14ac:dyDescent="0.25">
      <c r="A13" s="1221"/>
      <c r="B13" s="1221"/>
      <c r="C13" s="1221"/>
      <c r="D13" s="1221"/>
      <c r="E13" s="1221"/>
      <c r="F13" s="1221"/>
      <c r="G13" s="1221"/>
    </row>
    <row r="14" spans="1:13" ht="14.25" x14ac:dyDescent="0.25">
      <c r="A14" s="65">
        <v>1</v>
      </c>
      <c r="B14" s="65">
        <v>2</v>
      </c>
      <c r="C14" s="65">
        <v>3</v>
      </c>
      <c r="D14" s="65">
        <v>4</v>
      </c>
      <c r="E14" s="65">
        <v>5</v>
      </c>
      <c r="F14" s="65">
        <v>6</v>
      </c>
      <c r="G14" s="65">
        <v>7</v>
      </c>
    </row>
    <row r="15" spans="1:13" ht="14.25" x14ac:dyDescent="0.25">
      <c r="A15" s="65"/>
      <c r="B15" s="65"/>
      <c r="C15" s="65"/>
      <c r="D15" s="65"/>
      <c r="E15" s="65"/>
      <c r="F15" s="65"/>
      <c r="G15" s="65"/>
    </row>
    <row r="16" spans="1:13" s="69" customFormat="1" ht="24.75" customHeight="1" x14ac:dyDescent="0.25">
      <c r="A16" s="66" t="s">
        <v>365</v>
      </c>
      <c r="B16" s="67" t="s">
        <v>402</v>
      </c>
      <c r="C16" s="68"/>
      <c r="D16" s="67"/>
      <c r="E16" s="67"/>
      <c r="F16" s="67"/>
      <c r="G16" s="67"/>
    </row>
    <row r="17" spans="1:7" s="69" customFormat="1" ht="47.25" customHeight="1" x14ac:dyDescent="0.25">
      <c r="A17" s="70" t="s">
        <v>366</v>
      </c>
      <c r="B17" s="71" t="s">
        <v>400</v>
      </c>
      <c r="C17" s="72" t="s">
        <v>399</v>
      </c>
      <c r="D17" s="73" t="s">
        <v>210</v>
      </c>
      <c r="E17" s="74">
        <v>1</v>
      </c>
      <c r="F17" s="75">
        <v>8376.7000000000007</v>
      </c>
      <c r="G17" s="75">
        <f>E17*F17</f>
        <v>8376.7000000000007</v>
      </c>
    </row>
    <row r="18" spans="1:7" s="69" customFormat="1" ht="23.25" customHeight="1" x14ac:dyDescent="0.25">
      <c r="A18" s="70"/>
      <c r="B18" s="67" t="s">
        <v>403</v>
      </c>
      <c r="C18" s="72"/>
      <c r="D18" s="73"/>
      <c r="E18" s="74"/>
      <c r="F18" s="75"/>
      <c r="G18" s="75"/>
    </row>
    <row r="19" spans="1:7" s="79" customFormat="1" ht="45" customHeight="1" x14ac:dyDescent="0.25">
      <c r="A19" s="70" t="s">
        <v>367</v>
      </c>
      <c r="B19" s="71" t="s">
        <v>400</v>
      </c>
      <c r="C19" s="72" t="s">
        <v>404</v>
      </c>
      <c r="D19" s="76" t="s">
        <v>210</v>
      </c>
      <c r="E19" s="77">
        <v>0</v>
      </c>
      <c r="F19" s="77">
        <v>5855.38</v>
      </c>
      <c r="G19" s="78">
        <f>E19*F19</f>
        <v>0</v>
      </c>
    </row>
    <row r="20" spans="1:7" s="69" customFormat="1" x14ac:dyDescent="0.25">
      <c r="A20" s="70"/>
      <c r="B20" s="80" t="s">
        <v>368</v>
      </c>
      <c r="C20" s="81"/>
      <c r="D20" s="70"/>
      <c r="E20" s="82"/>
      <c r="F20" s="83"/>
      <c r="G20" s="83">
        <f>SUM(G16:G19)</f>
        <v>8376.7000000000007</v>
      </c>
    </row>
    <row r="21" spans="1:7" s="89" customFormat="1" ht="51" x14ac:dyDescent="0.2">
      <c r="A21" s="84"/>
      <c r="B21" s="85" t="s">
        <v>405</v>
      </c>
      <c r="C21" s="84" t="s">
        <v>406</v>
      </c>
      <c r="D21" s="86"/>
      <c r="E21" s="86"/>
      <c r="F21" s="87"/>
      <c r="G21" s="88">
        <v>0.89</v>
      </c>
    </row>
    <row r="22" spans="1:7" s="89" customFormat="1" ht="51" x14ac:dyDescent="0.2">
      <c r="A22" s="84"/>
      <c r="B22" s="85" t="s">
        <v>405</v>
      </c>
      <c r="C22" s="84" t="s">
        <v>406</v>
      </c>
      <c r="D22" s="86"/>
      <c r="E22" s="86"/>
      <c r="F22" s="87"/>
      <c r="G22" s="88">
        <v>0.89</v>
      </c>
    </row>
    <row r="23" spans="1:7" s="89" customFormat="1" ht="51" customHeight="1" x14ac:dyDescent="0.2">
      <c r="A23" s="84"/>
      <c r="B23" s="85" t="s">
        <v>369</v>
      </c>
      <c r="C23" s="86"/>
      <c r="D23" s="86"/>
      <c r="E23" s="86"/>
      <c r="F23" s="87"/>
      <c r="G23" s="88">
        <v>0.98</v>
      </c>
    </row>
    <row r="24" spans="1:7" s="89" customFormat="1" x14ac:dyDescent="0.2">
      <c r="A24" s="84"/>
      <c r="B24" s="90" t="s">
        <v>370</v>
      </c>
      <c r="C24" s="86"/>
      <c r="D24" s="86"/>
      <c r="E24" s="86"/>
      <c r="F24" s="87"/>
      <c r="G24" s="91">
        <f>SUM(G20*G21*G23)</f>
        <v>7306.1577400000006</v>
      </c>
    </row>
    <row r="25" spans="1:7" s="89" customFormat="1" x14ac:dyDescent="0.2">
      <c r="A25" s="92">
        <v>2</v>
      </c>
      <c r="B25" s="90" t="s">
        <v>371</v>
      </c>
      <c r="C25" s="86"/>
      <c r="D25" s="86"/>
      <c r="E25" s="86"/>
      <c r="F25" s="87"/>
      <c r="G25" s="93"/>
    </row>
    <row r="26" spans="1:7" s="89" customFormat="1" x14ac:dyDescent="0.2">
      <c r="A26" s="94" t="s">
        <v>372</v>
      </c>
      <c r="B26" s="85" t="s">
        <v>373</v>
      </c>
      <c r="C26" s="95" t="s">
        <v>374</v>
      </c>
      <c r="D26" s="86"/>
      <c r="E26" s="86"/>
      <c r="F26" s="87"/>
      <c r="G26" s="96">
        <v>5.42</v>
      </c>
    </row>
    <row r="27" spans="1:7" s="89" customFormat="1" x14ac:dyDescent="0.2">
      <c r="A27" s="94" t="s">
        <v>375</v>
      </c>
      <c r="B27" s="85" t="s">
        <v>376</v>
      </c>
      <c r="C27" s="97" t="s">
        <v>377</v>
      </c>
      <c r="D27" s="86"/>
      <c r="E27" s="86"/>
      <c r="F27" s="87"/>
      <c r="G27" s="96">
        <v>24.06</v>
      </c>
    </row>
    <row r="28" spans="1:7" s="89" customFormat="1" x14ac:dyDescent="0.2">
      <c r="A28" s="94" t="s">
        <v>378</v>
      </c>
      <c r="B28" s="85" t="s">
        <v>379</v>
      </c>
      <c r="C28" s="95" t="s">
        <v>380</v>
      </c>
      <c r="D28" s="86"/>
      <c r="E28" s="86"/>
      <c r="F28" s="87"/>
      <c r="G28" s="96">
        <v>29.11</v>
      </c>
    </row>
    <row r="29" spans="1:7" s="89" customFormat="1" ht="23.25" customHeight="1" x14ac:dyDescent="0.2">
      <c r="A29" s="94" t="s">
        <v>381</v>
      </c>
      <c r="B29" s="85" t="s">
        <v>382</v>
      </c>
      <c r="C29" s="95" t="s">
        <v>383</v>
      </c>
      <c r="D29" s="86"/>
      <c r="E29" s="86"/>
      <c r="F29" s="87"/>
      <c r="G29" s="96">
        <v>20.18</v>
      </c>
    </row>
    <row r="30" spans="1:7" s="89" customFormat="1" ht="25.5" x14ac:dyDescent="0.2">
      <c r="A30" s="98"/>
      <c r="B30" s="90" t="s">
        <v>384</v>
      </c>
      <c r="C30" s="99"/>
      <c r="D30" s="86"/>
      <c r="E30" s="86"/>
      <c r="F30" s="87"/>
      <c r="G30" s="91">
        <f>SUM(G26:G29)</f>
        <v>78.77</v>
      </c>
    </row>
    <row r="31" spans="1:7" s="89" customFormat="1" x14ac:dyDescent="0.2">
      <c r="A31" s="98"/>
      <c r="B31" s="90" t="s">
        <v>385</v>
      </c>
      <c r="C31" s="99"/>
      <c r="D31" s="86"/>
      <c r="E31" s="86"/>
      <c r="F31" s="87"/>
      <c r="G31" s="91">
        <f>G30</f>
        <v>78.77</v>
      </c>
    </row>
    <row r="32" spans="1:7" s="89" customFormat="1" x14ac:dyDescent="0.2">
      <c r="A32" s="98"/>
      <c r="B32" s="85" t="s">
        <v>386</v>
      </c>
      <c r="C32" s="99"/>
      <c r="D32" s="86"/>
      <c r="E32" s="86"/>
      <c r="F32" s="87"/>
      <c r="G32" s="96">
        <f>SUM(G31*3.1%)</f>
        <v>2.4418699999999998</v>
      </c>
    </row>
    <row r="33" spans="1:10" s="89" customFormat="1" x14ac:dyDescent="0.2">
      <c r="A33" s="98"/>
      <c r="B33" s="90" t="s">
        <v>387</v>
      </c>
      <c r="C33" s="99"/>
      <c r="D33" s="86"/>
      <c r="E33" s="86"/>
      <c r="F33" s="87"/>
      <c r="G33" s="91">
        <f>SUM(G30:G32)</f>
        <v>159.98186999999999</v>
      </c>
    </row>
    <row r="34" spans="1:10" s="89" customFormat="1" x14ac:dyDescent="0.2">
      <c r="A34" s="98"/>
      <c r="B34" s="85" t="s">
        <v>388</v>
      </c>
      <c r="C34" s="99"/>
      <c r="D34" s="86"/>
      <c r="E34" s="86"/>
      <c r="F34" s="87"/>
      <c r="G34" s="91">
        <f>SUM(G33*0.54%)</f>
        <v>0.86390209799999995</v>
      </c>
    </row>
    <row r="35" spans="1:10" s="89" customFormat="1" x14ac:dyDescent="0.2">
      <c r="A35" s="98"/>
      <c r="B35" s="90" t="s">
        <v>389</v>
      </c>
      <c r="C35" s="99"/>
      <c r="D35" s="86"/>
      <c r="E35" s="86"/>
      <c r="F35" s="87"/>
      <c r="G35" s="91">
        <f>SUM(G33:G34)</f>
        <v>160.845772098</v>
      </c>
    </row>
    <row r="36" spans="1:10" s="89" customFormat="1" x14ac:dyDescent="0.2">
      <c r="A36" s="98"/>
      <c r="B36" s="85" t="s">
        <v>390</v>
      </c>
      <c r="C36" s="99"/>
      <c r="D36" s="86"/>
      <c r="E36" s="86"/>
      <c r="F36" s="87"/>
      <c r="G36" s="96">
        <f>G35*2.14%</f>
        <v>3.4420995228972004</v>
      </c>
    </row>
    <row r="37" spans="1:10" s="89" customFormat="1" x14ac:dyDescent="0.2">
      <c r="A37" s="98"/>
      <c r="B37" s="90" t="s">
        <v>391</v>
      </c>
      <c r="C37" s="99"/>
      <c r="D37" s="86"/>
      <c r="E37" s="86"/>
      <c r="F37" s="87"/>
      <c r="G37" s="91">
        <f>G35+G36</f>
        <v>164.28787162089719</v>
      </c>
    </row>
    <row r="38" spans="1:10" s="89" customFormat="1" x14ac:dyDescent="0.2">
      <c r="A38" s="98"/>
      <c r="B38" s="85" t="s">
        <v>392</v>
      </c>
      <c r="C38" s="99"/>
      <c r="D38" s="86"/>
      <c r="E38" s="86"/>
      <c r="F38" s="87"/>
      <c r="G38" s="96">
        <f>G37*2%</f>
        <v>3.2857574324179439</v>
      </c>
    </row>
    <row r="39" spans="1:10" s="89" customFormat="1" x14ac:dyDescent="0.2">
      <c r="A39" s="98"/>
      <c r="B39" s="90" t="s">
        <v>393</v>
      </c>
      <c r="C39" s="99"/>
      <c r="D39" s="86"/>
      <c r="E39" s="86"/>
      <c r="F39" s="87"/>
      <c r="G39" s="91">
        <f>SUM(G35:G38)</f>
        <v>331.86150067421232</v>
      </c>
    </row>
    <row r="40" spans="1:10" s="89" customFormat="1" x14ac:dyDescent="0.2">
      <c r="A40" s="98"/>
      <c r="B40" s="90" t="s">
        <v>394</v>
      </c>
      <c r="C40" s="99"/>
      <c r="D40" s="86"/>
      <c r="E40" s="86"/>
      <c r="F40" s="87"/>
      <c r="G40" s="91">
        <f>G39+G24</f>
        <v>7638.0192406742126</v>
      </c>
    </row>
    <row r="41" spans="1:10" s="69" customFormat="1" x14ac:dyDescent="0.25">
      <c r="A41" s="1211" t="s">
        <v>395</v>
      </c>
      <c r="B41" s="1211"/>
      <c r="C41" s="1211"/>
      <c r="D41" s="1211"/>
      <c r="E41" s="1211"/>
      <c r="F41" s="1211"/>
      <c r="G41" s="100">
        <f>G40*0.2</f>
        <v>1527.6038481348426</v>
      </c>
    </row>
    <row r="42" spans="1:10" s="69" customFormat="1" x14ac:dyDescent="0.25">
      <c r="A42" s="1212" t="s">
        <v>396</v>
      </c>
      <c r="B42" s="1213"/>
      <c r="C42" s="1213"/>
      <c r="D42" s="1213"/>
      <c r="E42" s="1213"/>
      <c r="F42" s="1213"/>
      <c r="G42" s="101">
        <f>G40+G41</f>
        <v>9165.6230888090558</v>
      </c>
      <c r="J42" s="102"/>
    </row>
    <row r="43" spans="1:10" s="69" customFormat="1" x14ac:dyDescent="0.25">
      <c r="A43" s="103"/>
      <c r="B43" s="104"/>
      <c r="C43" s="104"/>
      <c r="D43" s="104"/>
      <c r="E43" s="104"/>
      <c r="F43" s="104"/>
      <c r="G43" s="105"/>
    </row>
    <row r="44" spans="1:10" s="69" customFormat="1" x14ac:dyDescent="0.2">
      <c r="A44" s="1214" t="s">
        <v>397</v>
      </c>
      <c r="B44" s="1214"/>
      <c r="C44" s="1214"/>
      <c r="D44" s="1214"/>
      <c r="E44" s="1214"/>
      <c r="F44" s="1214"/>
      <c r="G44" s="1214"/>
      <c r="H44" s="1214"/>
    </row>
    <row r="45" spans="1:10" x14ac:dyDescent="0.25">
      <c r="A45" s="106"/>
      <c r="B45" s="1215" t="s">
        <v>398</v>
      </c>
      <c r="C45" s="1215"/>
    </row>
    <row r="46" spans="1:10" x14ac:dyDescent="0.25">
      <c r="A46" s="49"/>
      <c r="B46" s="107"/>
      <c r="C46" s="107"/>
    </row>
  </sheetData>
  <mergeCells count="14">
    <mergeCell ref="A41:F41"/>
    <mergeCell ref="A42:F42"/>
    <mergeCell ref="A44:H44"/>
    <mergeCell ref="B45:C45"/>
    <mergeCell ref="B5:G5"/>
    <mergeCell ref="A7:G8"/>
    <mergeCell ref="B9:G9"/>
    <mergeCell ref="A12:A13"/>
    <mergeCell ref="B12:B13"/>
    <mergeCell ref="C12:C13"/>
    <mergeCell ref="D12:D13"/>
    <mergeCell ref="E12:E13"/>
    <mergeCell ref="F12:F13"/>
    <mergeCell ref="G12:G13"/>
  </mergeCells>
  <printOptions horizontalCentered="1"/>
  <pageMargins left="0" right="0" top="0.78740157480314965" bottom="0.78740157480314965" header="0.19685039370078741" footer="0.19685039370078741"/>
  <pageSetup paperSize="9" scale="70" fitToHeight="30000" orientation="portrait" r:id="rId1"/>
  <headerFooter alignWithMargins="0">
    <oddHeader>&amp;LГранд-СМЕТА</oddHeader>
    <oddFooter>&amp;RСтраница 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29"/>
  <sheetViews>
    <sheetView view="pageBreakPreview" topLeftCell="A19" zoomScaleNormal="100" zoomScaleSheetLayoutView="100" workbookViewId="0">
      <selection activeCell="AD14" sqref="AD14"/>
    </sheetView>
  </sheetViews>
  <sheetFormatPr defaultRowHeight="15" outlineLevelRow="1" x14ac:dyDescent="0.25"/>
  <cols>
    <col min="1" max="1" width="9.140625" style="960"/>
    <col min="2" max="2" width="52.140625" style="960" customWidth="1"/>
    <col min="3" max="3" width="27.140625" style="960" customWidth="1"/>
    <col min="4" max="5" width="17.42578125" style="960" customWidth="1"/>
    <col min="6" max="6" width="15.28515625" style="960" customWidth="1"/>
    <col min="7" max="7" width="23.85546875" style="960" customWidth="1"/>
    <col min="8" max="8" width="15.28515625" style="960" hidden="1" customWidth="1"/>
    <col min="9" max="9" width="10.7109375" style="960" hidden="1" customWidth="1"/>
    <col min="10" max="25" width="0" style="960" hidden="1" customWidth="1"/>
    <col min="26" max="16384" width="9.140625" style="960"/>
  </cols>
  <sheetData>
    <row r="1" spans="1:13" s="43" customFormat="1" ht="12.75" x14ac:dyDescent="0.25">
      <c r="A1" s="41"/>
      <c r="B1" s="44" t="s">
        <v>356</v>
      </c>
      <c r="C1" s="45"/>
      <c r="D1" s="46"/>
      <c r="E1" s="46"/>
      <c r="F1" s="46"/>
      <c r="G1" s="46"/>
    </row>
    <row r="2" spans="1:13" s="43" customFormat="1" ht="12.75" x14ac:dyDescent="0.25">
      <c r="A2" s="41"/>
      <c r="B2" s="42"/>
      <c r="C2" s="42"/>
      <c r="D2" s="47" t="s">
        <v>357</v>
      </c>
      <c r="E2" s="48"/>
      <c r="F2" s="41"/>
      <c r="G2" s="41"/>
    </row>
    <row r="3" spans="1:13" s="52" customFormat="1" ht="12.75" x14ac:dyDescent="0.25">
      <c r="A3" s="49"/>
      <c r="B3" s="50" t="s">
        <v>552</v>
      </c>
      <c r="C3" s="50"/>
      <c r="D3" s="49"/>
      <c r="E3" s="51"/>
      <c r="F3" s="49"/>
      <c r="G3" s="49"/>
    </row>
    <row r="4" spans="1:13" s="43" customFormat="1" ht="18" x14ac:dyDescent="0.25">
      <c r="A4" s="1217" t="s">
        <v>1180</v>
      </c>
      <c r="B4" s="1217"/>
      <c r="C4" s="1217"/>
      <c r="D4" s="1217"/>
      <c r="E4" s="1217"/>
      <c r="F4" s="1217"/>
      <c r="G4" s="1217"/>
      <c r="H4" s="52"/>
      <c r="I4" s="60"/>
      <c r="J4" s="60"/>
      <c r="K4" s="60"/>
      <c r="L4" s="61"/>
      <c r="M4" s="61"/>
    </row>
    <row r="5" spans="1:13" s="43" customFormat="1" ht="30" customHeight="1" x14ac:dyDescent="0.25">
      <c r="A5" s="1218"/>
      <c r="B5" s="1218"/>
      <c r="C5" s="1218"/>
      <c r="D5" s="1218"/>
      <c r="E5" s="1218"/>
      <c r="F5" s="1218"/>
      <c r="G5" s="1218"/>
      <c r="H5" s="62"/>
      <c r="I5" s="62"/>
      <c r="J5" s="62"/>
      <c r="K5" s="62"/>
      <c r="L5" s="62"/>
      <c r="M5" s="62"/>
    </row>
    <row r="6" spans="1:13" s="43" customFormat="1" ht="12.75" x14ac:dyDescent="0.25">
      <c r="A6" s="63"/>
      <c r="B6" s="1219" t="s">
        <v>359</v>
      </c>
      <c r="C6" s="1219"/>
      <c r="D6" s="1219"/>
      <c r="E6" s="1219"/>
      <c r="F6" s="1219"/>
      <c r="G6" s="1219"/>
      <c r="H6" s="62"/>
      <c r="I6" s="62"/>
      <c r="J6" s="62"/>
      <c r="K6" s="62"/>
      <c r="L6" s="62"/>
      <c r="M6" s="62"/>
    </row>
    <row r="7" spans="1:13" s="43" customFormat="1" ht="12.75" x14ac:dyDescent="0.25">
      <c r="A7" s="63"/>
      <c r="B7" s="798"/>
      <c r="C7" s="798"/>
      <c r="D7" s="798"/>
      <c r="E7" s="798"/>
      <c r="F7" s="798"/>
      <c r="G7" s="798"/>
      <c r="H7" s="62"/>
      <c r="I7" s="62"/>
      <c r="J7" s="62"/>
      <c r="K7" s="62"/>
      <c r="L7" s="62"/>
      <c r="M7" s="62"/>
    </row>
    <row r="8" spans="1:13" s="43" customFormat="1" ht="12.75" x14ac:dyDescent="0.25">
      <c r="A8" s="41"/>
    </row>
    <row r="9" spans="1:13" s="43" customFormat="1" ht="12.75" x14ac:dyDescent="0.25">
      <c r="A9" s="1220" t="s">
        <v>57</v>
      </c>
      <c r="B9" s="1220" t="s">
        <v>360</v>
      </c>
      <c r="C9" s="1220" t="s">
        <v>361</v>
      </c>
      <c r="D9" s="1220" t="s">
        <v>362</v>
      </c>
      <c r="E9" s="1220" t="s">
        <v>363</v>
      </c>
      <c r="F9" s="1220" t="s">
        <v>551</v>
      </c>
      <c r="G9" s="1220" t="s">
        <v>364</v>
      </c>
    </row>
    <row r="10" spans="1:13" s="43" customFormat="1" ht="54" customHeight="1" x14ac:dyDescent="0.25">
      <c r="A10" s="1221"/>
      <c r="B10" s="1221"/>
      <c r="C10" s="1221"/>
      <c r="D10" s="1221"/>
      <c r="E10" s="1221"/>
      <c r="F10" s="1221"/>
      <c r="G10" s="1221"/>
    </row>
    <row r="11" spans="1:13" s="43" customFormat="1" ht="14.25" x14ac:dyDescent="0.25">
      <c r="A11" s="65">
        <v>1</v>
      </c>
      <c r="B11" s="65">
        <v>2</v>
      </c>
      <c r="C11" s="65">
        <v>3</v>
      </c>
      <c r="D11" s="65">
        <v>4</v>
      </c>
      <c r="E11" s="65">
        <v>5</v>
      </c>
      <c r="F11" s="65">
        <v>6</v>
      </c>
      <c r="G11" s="65">
        <v>7</v>
      </c>
    </row>
    <row r="12" spans="1:13" s="43" customFormat="1" ht="14.25" x14ac:dyDescent="0.25">
      <c r="A12" s="65"/>
      <c r="B12" s="65"/>
      <c r="C12" s="65"/>
      <c r="D12" s="65"/>
      <c r="E12" s="65"/>
      <c r="F12" s="65"/>
      <c r="G12" s="65"/>
    </row>
    <row r="13" spans="1:13" s="43" customFormat="1" ht="18" customHeight="1" x14ac:dyDescent="0.25">
      <c r="A13" s="1224" t="s">
        <v>63</v>
      </c>
      <c r="B13" s="1224"/>
      <c r="C13" s="1224"/>
      <c r="D13" s="1224"/>
      <c r="E13" s="1224"/>
      <c r="F13" s="1224"/>
      <c r="G13" s="1224"/>
      <c r="H13" s="52"/>
      <c r="I13" s="60"/>
      <c r="J13" s="60"/>
      <c r="K13" s="60"/>
      <c r="L13" s="61"/>
      <c r="M13" s="61"/>
    </row>
    <row r="14" spans="1:13" s="69" customFormat="1" ht="23.25" customHeight="1" outlineLevel="1" x14ac:dyDescent="0.25">
      <c r="A14" s="66" t="s">
        <v>365</v>
      </c>
      <c r="B14" s="67" t="s">
        <v>809</v>
      </c>
      <c r="C14" s="331"/>
      <c r="D14" s="67"/>
      <c r="E14" s="67"/>
      <c r="F14" s="67"/>
      <c r="G14" s="67"/>
    </row>
    <row r="15" spans="1:13" s="69" customFormat="1" ht="43.5" customHeight="1" outlineLevel="1" x14ac:dyDescent="0.25">
      <c r="A15" s="70"/>
      <c r="B15" s="71" t="s">
        <v>810</v>
      </c>
      <c r="C15" s="331" t="s">
        <v>780</v>
      </c>
      <c r="D15" s="73" t="s">
        <v>811</v>
      </c>
      <c r="E15" s="74">
        <v>20</v>
      </c>
      <c r="F15" s="75">
        <v>1098.3399999999999</v>
      </c>
      <c r="G15" s="75">
        <f>E15*F15</f>
        <v>21966.799999999999</v>
      </c>
    </row>
    <row r="16" spans="1:13" s="89" customFormat="1" ht="51" outlineLevel="1" x14ac:dyDescent="0.2">
      <c r="A16" s="84"/>
      <c r="B16" s="85" t="s">
        <v>405</v>
      </c>
      <c r="C16" s="84" t="s">
        <v>509</v>
      </c>
      <c r="D16" s="86"/>
      <c r="E16" s="86"/>
      <c r="F16" s="87"/>
      <c r="G16" s="88">
        <v>0.92</v>
      </c>
    </row>
    <row r="17" spans="1:17" s="89" customFormat="1" ht="49.5" customHeight="1" outlineLevel="1" x14ac:dyDescent="0.2">
      <c r="A17" s="84"/>
      <c r="B17" s="85" t="s">
        <v>478</v>
      </c>
      <c r="C17" s="84" t="s">
        <v>604</v>
      </c>
      <c r="D17" s="86"/>
      <c r="E17" s="86"/>
      <c r="F17" s="87"/>
      <c r="G17" s="88">
        <v>0.99</v>
      </c>
    </row>
    <row r="18" spans="1:17" s="89" customFormat="1" ht="12.75" outlineLevel="1" x14ac:dyDescent="0.2">
      <c r="A18" s="84"/>
      <c r="B18" s="85" t="s">
        <v>409</v>
      </c>
      <c r="C18" s="84" t="s">
        <v>782</v>
      </c>
      <c r="D18" s="86"/>
      <c r="E18" s="86"/>
      <c r="F18" s="87"/>
      <c r="G18" s="88">
        <v>1</v>
      </c>
    </row>
    <row r="19" spans="1:17" s="69" customFormat="1" ht="22.5" customHeight="1" outlineLevel="1" x14ac:dyDescent="0.25">
      <c r="A19" s="70"/>
      <c r="B19" s="264" t="s">
        <v>571</v>
      </c>
      <c r="C19" s="332"/>
      <c r="D19" s="70"/>
      <c r="E19" s="82"/>
      <c r="F19" s="83"/>
      <c r="G19" s="265">
        <f>G15*G16*G17*G18</f>
        <v>20007.361440000001</v>
      </c>
    </row>
    <row r="20" spans="1:17" s="69" customFormat="1" ht="23.25" customHeight="1" outlineLevel="1" x14ac:dyDescent="0.25">
      <c r="A20" s="66" t="s">
        <v>479</v>
      </c>
      <c r="B20" s="67" t="s">
        <v>77</v>
      </c>
      <c r="C20" s="331"/>
      <c r="D20" s="67"/>
      <c r="E20" s="67"/>
      <c r="F20" s="67"/>
      <c r="G20" s="67"/>
    </row>
    <row r="21" spans="1:17" s="89" customFormat="1" ht="21" customHeight="1" outlineLevel="1" x14ac:dyDescent="0.2">
      <c r="A21" s="84"/>
      <c r="B21" s="85" t="s">
        <v>812</v>
      </c>
      <c r="C21" s="84" t="s">
        <v>813</v>
      </c>
      <c r="D21" s="86" t="s">
        <v>704</v>
      </c>
      <c r="E21" s="86">
        <v>2</v>
      </c>
      <c r="F21" s="87">
        <v>98.62</v>
      </c>
      <c r="G21" s="88">
        <f>E21*F21</f>
        <v>197.24</v>
      </c>
      <c r="H21" s="1222"/>
      <c r="I21" s="1223"/>
      <c r="J21" s="1223"/>
      <c r="K21" s="1223"/>
      <c r="L21" s="1223"/>
      <c r="M21" s="1223"/>
      <c r="N21" s="1223"/>
      <c r="O21" s="1223"/>
      <c r="P21" s="1223"/>
      <c r="Q21" s="1223"/>
    </row>
    <row r="22" spans="1:17" s="89" customFormat="1" ht="51" outlineLevel="1" x14ac:dyDescent="0.2">
      <c r="A22" s="84"/>
      <c r="B22" s="85" t="s">
        <v>405</v>
      </c>
      <c r="C22" s="84" t="s">
        <v>496</v>
      </c>
      <c r="D22" s="86"/>
      <c r="E22" s="86"/>
      <c r="F22" s="87"/>
      <c r="G22" s="88">
        <v>0.84</v>
      </c>
    </row>
    <row r="23" spans="1:17" s="89" customFormat="1" ht="49.5" customHeight="1" outlineLevel="1" x14ac:dyDescent="0.2">
      <c r="A23" s="84"/>
      <c r="B23" s="85" t="s">
        <v>478</v>
      </c>
      <c r="C23" s="84" t="s">
        <v>497</v>
      </c>
      <c r="D23" s="86"/>
      <c r="E23" s="86"/>
      <c r="F23" s="87"/>
      <c r="G23" s="88">
        <v>0.99</v>
      </c>
    </row>
    <row r="24" spans="1:17" s="89" customFormat="1" ht="12.75" outlineLevel="1" x14ac:dyDescent="0.2">
      <c r="A24" s="84"/>
      <c r="B24" s="85" t="s">
        <v>409</v>
      </c>
      <c r="C24" s="84" t="s">
        <v>814</v>
      </c>
      <c r="D24" s="86"/>
      <c r="E24" s="86"/>
      <c r="F24" s="87"/>
      <c r="G24" s="88">
        <v>1</v>
      </c>
    </row>
    <row r="25" spans="1:17" s="69" customFormat="1" ht="22.5" customHeight="1" outlineLevel="1" x14ac:dyDescent="0.25">
      <c r="A25" s="70"/>
      <c r="B25" s="264" t="s">
        <v>480</v>
      </c>
      <c r="C25" s="332"/>
      <c r="D25" s="70"/>
      <c r="E25" s="82"/>
      <c r="F25" s="83"/>
      <c r="G25" s="265">
        <f>SUM(G21:G21)*G22*G23*G24</f>
        <v>164.02478400000001</v>
      </c>
    </row>
    <row r="26" spans="1:17" s="69" customFormat="1" ht="23.25" customHeight="1" outlineLevel="1" x14ac:dyDescent="0.25">
      <c r="A26" s="66" t="s">
        <v>481</v>
      </c>
      <c r="B26" s="67" t="s">
        <v>816</v>
      </c>
      <c r="C26" s="331"/>
      <c r="D26" s="67"/>
      <c r="E26" s="67"/>
      <c r="F26" s="67"/>
      <c r="G26" s="67"/>
      <c r="M26" s="299"/>
    </row>
    <row r="27" spans="1:17" s="69" customFormat="1" ht="75.75" customHeight="1" outlineLevel="1" x14ac:dyDescent="0.25">
      <c r="A27" s="70"/>
      <c r="B27" s="71" t="s">
        <v>815</v>
      </c>
      <c r="C27" s="331" t="s">
        <v>753</v>
      </c>
      <c r="D27" s="73" t="s">
        <v>754</v>
      </c>
      <c r="E27" s="74">
        <v>1</v>
      </c>
      <c r="F27" s="75">
        <v>1059.26</v>
      </c>
      <c r="G27" s="75">
        <f>E27*F27</f>
        <v>1059.26</v>
      </c>
    </row>
    <row r="28" spans="1:17" s="89" customFormat="1" ht="51" outlineLevel="1" x14ac:dyDescent="0.2">
      <c r="A28" s="84"/>
      <c r="B28" s="85" t="s">
        <v>405</v>
      </c>
      <c r="C28" s="84" t="s">
        <v>509</v>
      </c>
      <c r="D28" s="86"/>
      <c r="E28" s="86"/>
      <c r="F28" s="87"/>
      <c r="G28" s="88">
        <v>0.92</v>
      </c>
      <c r="M28" s="300"/>
    </row>
    <row r="29" spans="1:17" s="89" customFormat="1" ht="41.25" customHeight="1" outlineLevel="1" x14ac:dyDescent="0.2">
      <c r="A29" s="84"/>
      <c r="B29" s="85" t="s">
        <v>478</v>
      </c>
      <c r="C29" s="84" t="s">
        <v>604</v>
      </c>
      <c r="D29" s="86"/>
      <c r="E29" s="86"/>
      <c r="F29" s="87"/>
      <c r="G29" s="88">
        <v>0.98</v>
      </c>
    </row>
    <row r="30" spans="1:17" s="89" customFormat="1" ht="12.75" outlineLevel="1" x14ac:dyDescent="0.2">
      <c r="A30" s="84"/>
      <c r="B30" s="85" t="s">
        <v>409</v>
      </c>
      <c r="C30" s="84" t="s">
        <v>605</v>
      </c>
      <c r="D30" s="86"/>
      <c r="E30" s="86"/>
      <c r="F30" s="87"/>
      <c r="G30" s="88">
        <v>1</v>
      </c>
    </row>
    <row r="31" spans="1:17" s="69" customFormat="1" ht="22.5" customHeight="1" outlineLevel="1" x14ac:dyDescent="0.25">
      <c r="A31" s="70"/>
      <c r="B31" s="264" t="s">
        <v>520</v>
      </c>
      <c r="C31" s="332"/>
      <c r="D31" s="70"/>
      <c r="E31" s="82"/>
      <c r="F31" s="83"/>
      <c r="G31" s="265">
        <f>G27*G28*G29*G30</f>
        <v>955.02881600000001</v>
      </c>
    </row>
    <row r="32" spans="1:17" s="69" customFormat="1" ht="23.25" customHeight="1" outlineLevel="1" x14ac:dyDescent="0.25">
      <c r="A32" s="66" t="s">
        <v>483</v>
      </c>
      <c r="B32" s="67" t="s">
        <v>472</v>
      </c>
      <c r="C32" s="331"/>
      <c r="D32" s="67"/>
      <c r="E32" s="67"/>
      <c r="F32" s="67"/>
      <c r="G32" s="67"/>
    </row>
    <row r="33" spans="1:15" s="69" customFormat="1" ht="47.25" customHeight="1" outlineLevel="1" x14ac:dyDescent="0.25">
      <c r="A33" s="70"/>
      <c r="B33" s="71" t="s">
        <v>785</v>
      </c>
      <c r="C33" s="331" t="s">
        <v>495</v>
      </c>
      <c r="D33" s="73" t="s">
        <v>474</v>
      </c>
      <c r="E33" s="74">
        <v>10</v>
      </c>
      <c r="F33" s="75">
        <v>20.29</v>
      </c>
      <c r="G33" s="75">
        <f>E33*F33</f>
        <v>202.89999999999998</v>
      </c>
      <c r="H33" s="69" t="e">
        <f>#REF!</f>
        <v>#REF!</v>
      </c>
      <c r="I33" s="69" t="s">
        <v>0</v>
      </c>
    </row>
    <row r="34" spans="1:15" s="89" customFormat="1" ht="51" outlineLevel="1" x14ac:dyDescent="0.2">
      <c r="A34" s="84"/>
      <c r="B34" s="85" t="s">
        <v>405</v>
      </c>
      <c r="C34" s="84" t="s">
        <v>496</v>
      </c>
      <c r="D34" s="86"/>
      <c r="E34" s="86"/>
      <c r="F34" s="87"/>
      <c r="G34" s="88">
        <v>0.84</v>
      </c>
    </row>
    <row r="35" spans="1:15" s="89" customFormat="1" ht="49.5" customHeight="1" outlineLevel="1" x14ac:dyDescent="0.2">
      <c r="A35" s="84"/>
      <c r="B35" s="85" t="s">
        <v>478</v>
      </c>
      <c r="C35" s="84" t="s">
        <v>497</v>
      </c>
      <c r="D35" s="86"/>
      <c r="E35" s="86"/>
      <c r="F35" s="87"/>
      <c r="G35" s="88">
        <v>0.99</v>
      </c>
    </row>
    <row r="36" spans="1:15" s="89" customFormat="1" ht="12.75" outlineLevel="1" x14ac:dyDescent="0.2">
      <c r="A36" s="84"/>
      <c r="B36" s="85" t="s">
        <v>409</v>
      </c>
      <c r="C36" s="84" t="s">
        <v>498</v>
      </c>
      <c r="D36" s="86"/>
      <c r="E36" s="86"/>
      <c r="F36" s="87"/>
      <c r="G36" s="88">
        <v>1</v>
      </c>
    </row>
    <row r="37" spans="1:15" s="69" customFormat="1" ht="22.5" customHeight="1" outlineLevel="1" x14ac:dyDescent="0.25">
      <c r="A37" s="70"/>
      <c r="B37" s="264" t="s">
        <v>484</v>
      </c>
      <c r="C37" s="332"/>
      <c r="D37" s="70"/>
      <c r="E37" s="82"/>
      <c r="F37" s="83"/>
      <c r="G37" s="265">
        <f>G33*G34*G35*G36</f>
        <v>168.73163999999997</v>
      </c>
    </row>
    <row r="38" spans="1:15" s="69" customFormat="1" ht="23.25" customHeight="1" outlineLevel="1" x14ac:dyDescent="0.25">
      <c r="A38" s="66" t="s">
        <v>485</v>
      </c>
      <c r="B38" s="67" t="s">
        <v>476</v>
      </c>
      <c r="C38" s="331"/>
      <c r="D38" s="67"/>
      <c r="E38" s="67"/>
      <c r="F38" s="67"/>
      <c r="G38" s="67"/>
      <c r="I38" s="69" t="s">
        <v>618</v>
      </c>
    </row>
    <row r="39" spans="1:15" s="69" customFormat="1" ht="43.5" customHeight="1" outlineLevel="1" x14ac:dyDescent="0.2">
      <c r="A39" s="70"/>
      <c r="B39" s="71" t="s">
        <v>477</v>
      </c>
      <c r="C39" s="331" t="s">
        <v>499</v>
      </c>
      <c r="D39" s="73" t="s">
        <v>474</v>
      </c>
      <c r="E39" s="954">
        <f>H39*10000/100</f>
        <v>10</v>
      </c>
      <c r="F39" s="75">
        <v>196.55</v>
      </c>
      <c r="G39" s="75">
        <f>E39*F39</f>
        <v>1965.5</v>
      </c>
      <c r="H39" s="69">
        <f>'СВОД (объемов работ)'!D8</f>
        <v>0.1</v>
      </c>
      <c r="I39" s="69" t="s">
        <v>0</v>
      </c>
      <c r="O39" s="89"/>
    </row>
    <row r="40" spans="1:15" s="89" customFormat="1" ht="51" outlineLevel="1" x14ac:dyDescent="0.2">
      <c r="A40" s="84"/>
      <c r="B40" s="85" t="s">
        <v>405</v>
      </c>
      <c r="C40" s="84" t="s">
        <v>496</v>
      </c>
      <c r="D40" s="86"/>
      <c r="E40" s="86"/>
      <c r="F40" s="87"/>
      <c r="G40" s="88">
        <v>0.84</v>
      </c>
      <c r="N40" s="69"/>
    </row>
    <row r="41" spans="1:15" s="89" customFormat="1" ht="42.75" customHeight="1" outlineLevel="1" x14ac:dyDescent="0.2">
      <c r="A41" s="84"/>
      <c r="B41" s="85" t="s">
        <v>478</v>
      </c>
      <c r="C41" s="84" t="s">
        <v>497</v>
      </c>
      <c r="D41" s="86"/>
      <c r="E41" s="86"/>
      <c r="F41" s="87"/>
      <c r="G41" s="88">
        <v>0.99</v>
      </c>
    </row>
    <row r="42" spans="1:15" s="89" customFormat="1" ht="12.75" outlineLevel="1" x14ac:dyDescent="0.2">
      <c r="A42" s="84"/>
      <c r="B42" s="85" t="s">
        <v>409</v>
      </c>
      <c r="C42" s="84" t="s">
        <v>498</v>
      </c>
      <c r="D42" s="86"/>
      <c r="E42" s="86"/>
      <c r="F42" s="87"/>
      <c r="G42" s="88">
        <v>1</v>
      </c>
    </row>
    <row r="43" spans="1:15" s="69" customFormat="1" ht="22.5" customHeight="1" outlineLevel="1" x14ac:dyDescent="0.25">
      <c r="A43" s="70"/>
      <c r="B43" s="264" t="s">
        <v>480</v>
      </c>
      <c r="C43" s="332"/>
      <c r="D43" s="70"/>
      <c r="E43" s="82"/>
      <c r="F43" s="83"/>
      <c r="G43" s="265">
        <f>G39*G40*G41*G42</f>
        <v>1634.5098</v>
      </c>
    </row>
    <row r="44" spans="1:15" s="69" customFormat="1" ht="23.25" customHeight="1" outlineLevel="1" x14ac:dyDescent="0.25">
      <c r="A44" s="66" t="s">
        <v>523</v>
      </c>
      <c r="B44" s="67" t="s">
        <v>603</v>
      </c>
      <c r="C44" s="331"/>
      <c r="D44" s="67"/>
      <c r="E44" s="67"/>
      <c r="F44" s="67"/>
      <c r="G44" s="67"/>
      <c r="M44" s="299"/>
    </row>
    <row r="45" spans="1:15" s="69" customFormat="1" ht="59.25" customHeight="1" outlineLevel="1" x14ac:dyDescent="0.25">
      <c r="A45" s="70"/>
      <c r="B45" s="71" t="s">
        <v>671</v>
      </c>
      <c r="C45" s="331" t="s">
        <v>602</v>
      </c>
      <c r="D45" s="73" t="s">
        <v>600</v>
      </c>
      <c r="E45" s="74">
        <v>2.5</v>
      </c>
      <c r="F45" s="75">
        <v>22732.5</v>
      </c>
      <c r="G45" s="75">
        <f>E45*F45</f>
        <v>56831.25</v>
      </c>
    </row>
    <row r="46" spans="1:15" s="89" customFormat="1" ht="51" outlineLevel="1" x14ac:dyDescent="0.2">
      <c r="A46" s="84"/>
      <c r="B46" s="85" t="s">
        <v>405</v>
      </c>
      <c r="C46" s="84" t="s">
        <v>509</v>
      </c>
      <c r="D46" s="86"/>
      <c r="E46" s="86"/>
      <c r="F46" s="87"/>
      <c r="G46" s="88">
        <v>0.92</v>
      </c>
      <c r="M46" s="300"/>
    </row>
    <row r="47" spans="1:15" s="89" customFormat="1" ht="49.5" customHeight="1" outlineLevel="1" x14ac:dyDescent="0.2">
      <c r="A47" s="84"/>
      <c r="B47" s="85" t="s">
        <v>478</v>
      </c>
      <c r="C47" s="84" t="s">
        <v>604</v>
      </c>
      <c r="D47" s="86"/>
      <c r="E47" s="86"/>
      <c r="F47" s="87"/>
      <c r="G47" s="88">
        <v>0.98</v>
      </c>
    </row>
    <row r="48" spans="1:15" s="89" customFormat="1" ht="12.75" outlineLevel="1" x14ac:dyDescent="0.2">
      <c r="A48" s="84"/>
      <c r="B48" s="85" t="s">
        <v>409</v>
      </c>
      <c r="C48" s="84" t="s">
        <v>605</v>
      </c>
      <c r="D48" s="86"/>
      <c r="E48" s="86"/>
      <c r="F48" s="87"/>
      <c r="G48" s="88">
        <v>1</v>
      </c>
    </row>
    <row r="49" spans="1:8" s="69" customFormat="1" ht="22.5" customHeight="1" outlineLevel="1" x14ac:dyDescent="0.25">
      <c r="A49" s="70"/>
      <c r="B49" s="264" t="s">
        <v>490</v>
      </c>
      <c r="C49" s="332"/>
      <c r="D49" s="70"/>
      <c r="E49" s="82"/>
      <c r="F49" s="83"/>
      <c r="G49" s="265">
        <f>G45*G46*G47*G48</f>
        <v>51239.055</v>
      </c>
    </row>
    <row r="50" spans="1:8" s="69" customFormat="1" ht="23.25" customHeight="1" outlineLevel="1" x14ac:dyDescent="0.25">
      <c r="A50" s="66" t="s">
        <v>523</v>
      </c>
      <c r="B50" s="67" t="s">
        <v>205</v>
      </c>
      <c r="C50" s="331"/>
      <c r="D50" s="67"/>
      <c r="E50" s="67"/>
      <c r="F50" s="67"/>
      <c r="G50" s="67"/>
    </row>
    <row r="51" spans="1:8" s="69" customFormat="1" ht="33.75" customHeight="1" outlineLevel="1" x14ac:dyDescent="0.25">
      <c r="A51" s="70"/>
      <c r="B51" s="71" t="s">
        <v>536</v>
      </c>
      <c r="C51" s="331" t="s">
        <v>500</v>
      </c>
      <c r="D51" s="73" t="s">
        <v>517</v>
      </c>
      <c r="E51" s="74">
        <v>80</v>
      </c>
      <c r="F51" s="75">
        <v>51.66</v>
      </c>
      <c r="G51" s="75">
        <f>E51*F51</f>
        <v>4132.7999999999993</v>
      </c>
      <c r="H51" s="69" t="s">
        <v>307</v>
      </c>
    </row>
    <row r="52" spans="1:8" s="89" customFormat="1" ht="51" outlineLevel="1" x14ac:dyDescent="0.2">
      <c r="A52" s="84"/>
      <c r="B52" s="85" t="s">
        <v>405</v>
      </c>
      <c r="C52" s="84" t="s">
        <v>501</v>
      </c>
      <c r="D52" s="86"/>
      <c r="E52" s="86"/>
      <c r="F52" s="87"/>
      <c r="G52" s="88">
        <v>0.82</v>
      </c>
    </row>
    <row r="53" spans="1:8" s="89" customFormat="1" ht="49.5" customHeight="1" outlineLevel="1" x14ac:dyDescent="0.2">
      <c r="A53" s="84"/>
      <c r="B53" s="85" t="s">
        <v>478</v>
      </c>
      <c r="C53" s="84" t="s">
        <v>502</v>
      </c>
      <c r="D53" s="86"/>
      <c r="E53" s="86"/>
      <c r="F53" s="87"/>
      <c r="G53" s="88">
        <v>0.99</v>
      </c>
    </row>
    <row r="54" spans="1:8" s="89" customFormat="1" ht="12.75" outlineLevel="1" x14ac:dyDescent="0.2">
      <c r="A54" s="84"/>
      <c r="B54" s="85" t="s">
        <v>409</v>
      </c>
      <c r="C54" s="84" t="s">
        <v>582</v>
      </c>
      <c r="D54" s="86"/>
      <c r="E54" s="86"/>
      <c r="F54" s="87"/>
      <c r="G54" s="88">
        <v>1</v>
      </c>
    </row>
    <row r="55" spans="1:8" s="69" customFormat="1" ht="22.5" customHeight="1" outlineLevel="1" x14ac:dyDescent="0.25">
      <c r="A55" s="70"/>
      <c r="B55" s="264" t="s">
        <v>572</v>
      </c>
      <c r="C55" s="332"/>
      <c r="D55" s="70"/>
      <c r="E55" s="82"/>
      <c r="F55" s="83"/>
      <c r="G55" s="265">
        <f>G51*G52*G53*G54</f>
        <v>3355.0070399999991</v>
      </c>
    </row>
    <row r="56" spans="1:8" s="69" customFormat="1" ht="23.25" customHeight="1" outlineLevel="1" x14ac:dyDescent="0.25">
      <c r="A56" s="66" t="s">
        <v>573</v>
      </c>
      <c r="B56" s="67" t="s">
        <v>706</v>
      </c>
      <c r="C56" s="331"/>
      <c r="D56" s="67"/>
      <c r="E56" s="67"/>
      <c r="F56" s="67"/>
      <c r="G56" s="67"/>
    </row>
    <row r="57" spans="1:8" s="69" customFormat="1" ht="61.5" customHeight="1" outlineLevel="1" x14ac:dyDescent="0.25">
      <c r="A57" s="70"/>
      <c r="B57" s="71" t="s">
        <v>818</v>
      </c>
      <c r="C57" s="331" t="s">
        <v>817</v>
      </c>
      <c r="D57" s="73" t="s">
        <v>708</v>
      </c>
      <c r="E57" s="74">
        <v>2</v>
      </c>
      <c r="F57" s="75">
        <v>340.08</v>
      </c>
      <c r="G57" s="75">
        <f>E57*F57</f>
        <v>680.16</v>
      </c>
      <c r="H57" s="69">
        <f>'Этап 1. (ПД)'!D15</f>
        <v>200</v>
      </c>
    </row>
    <row r="58" spans="1:8" s="69" customFormat="1" ht="61.5" customHeight="1" outlineLevel="1" x14ac:dyDescent="0.25">
      <c r="A58" s="70"/>
      <c r="B58" s="71" t="s">
        <v>756</v>
      </c>
      <c r="C58" s="84" t="s">
        <v>757</v>
      </c>
      <c r="D58" s="73" t="s">
        <v>758</v>
      </c>
      <c r="E58" s="954">
        <v>6</v>
      </c>
      <c r="F58" s="75">
        <v>61.68</v>
      </c>
      <c r="G58" s="75">
        <f>E58*F58</f>
        <v>370.08</v>
      </c>
      <c r="H58" s="519" t="s">
        <v>1307</v>
      </c>
    </row>
    <row r="59" spans="1:8" s="89" customFormat="1" ht="51" outlineLevel="1" x14ac:dyDescent="0.2">
      <c r="A59" s="84"/>
      <c r="B59" s="85" t="s">
        <v>405</v>
      </c>
      <c r="C59" s="84" t="s">
        <v>710</v>
      </c>
      <c r="D59" s="86"/>
      <c r="E59" s="86"/>
      <c r="F59" s="87"/>
      <c r="G59" s="88">
        <v>0.84</v>
      </c>
    </row>
    <row r="60" spans="1:8" s="89" customFormat="1" ht="49.5" customHeight="1" outlineLevel="1" x14ac:dyDescent="0.2">
      <c r="A60" s="84"/>
      <c r="B60" s="85" t="s">
        <v>488</v>
      </c>
      <c r="C60" s="84" t="s">
        <v>711</v>
      </c>
      <c r="D60" s="86"/>
      <c r="E60" s="86"/>
      <c r="F60" s="87"/>
      <c r="G60" s="88">
        <v>0.99</v>
      </c>
    </row>
    <row r="61" spans="1:8" s="89" customFormat="1" ht="12.75" outlineLevel="1" x14ac:dyDescent="0.2">
      <c r="A61" s="84"/>
      <c r="B61" s="85" t="s">
        <v>409</v>
      </c>
      <c r="C61" s="84" t="s">
        <v>712</v>
      </c>
      <c r="D61" s="86"/>
      <c r="E61" s="86"/>
      <c r="F61" s="87"/>
      <c r="G61" s="88">
        <v>1</v>
      </c>
    </row>
    <row r="62" spans="1:8" s="69" customFormat="1" ht="22.5" customHeight="1" outlineLevel="1" x14ac:dyDescent="0.25">
      <c r="A62" s="70"/>
      <c r="B62" s="264" t="s">
        <v>574</v>
      </c>
      <c r="C62" s="332"/>
      <c r="D62" s="70"/>
      <c r="E62" s="82"/>
      <c r="F62" s="83"/>
      <c r="G62" s="265">
        <f>SUM(G57:G58)*G59*G60*G61</f>
        <v>873.37958400000002</v>
      </c>
    </row>
    <row r="63" spans="1:8" s="69" customFormat="1" ht="23.25" customHeight="1" outlineLevel="1" x14ac:dyDescent="0.25">
      <c r="A63" s="66" t="s">
        <v>577</v>
      </c>
      <c r="B63" s="67" t="s">
        <v>719</v>
      </c>
      <c r="C63" s="331"/>
      <c r="D63" s="67"/>
      <c r="E63" s="67"/>
      <c r="F63" s="67"/>
      <c r="G63" s="67"/>
    </row>
    <row r="64" spans="1:8" s="69" customFormat="1" ht="46.5" customHeight="1" outlineLevel="1" x14ac:dyDescent="0.25">
      <c r="A64" s="70"/>
      <c r="B64" s="71" t="s">
        <v>713</v>
      </c>
      <c r="C64" s="331" t="s">
        <v>715</v>
      </c>
      <c r="D64" s="73" t="s">
        <v>714</v>
      </c>
      <c r="E64" s="74">
        <v>200</v>
      </c>
      <c r="F64" s="75">
        <v>23.16</v>
      </c>
      <c r="G64" s="75">
        <f>E64*F64</f>
        <v>4632</v>
      </c>
      <c r="H64" s="69">
        <f>400</f>
        <v>400</v>
      </c>
    </row>
    <row r="65" spans="1:17" s="89" customFormat="1" ht="51" outlineLevel="1" x14ac:dyDescent="0.2">
      <c r="A65" s="84"/>
      <c r="B65" s="85" t="s">
        <v>405</v>
      </c>
      <c r="C65" s="84" t="s">
        <v>716</v>
      </c>
      <c r="D65" s="86"/>
      <c r="E65" s="86"/>
      <c r="F65" s="87"/>
      <c r="G65" s="88">
        <v>0.83</v>
      </c>
    </row>
    <row r="66" spans="1:17" s="89" customFormat="1" ht="49.5" customHeight="1" outlineLevel="1" x14ac:dyDescent="0.2">
      <c r="A66" s="84"/>
      <c r="B66" s="85" t="s">
        <v>488</v>
      </c>
      <c r="C66" s="84" t="s">
        <v>717</v>
      </c>
      <c r="D66" s="86"/>
      <c r="E66" s="86"/>
      <c r="F66" s="87"/>
      <c r="G66" s="88">
        <v>0.99</v>
      </c>
    </row>
    <row r="67" spans="1:17" s="89" customFormat="1" ht="25.5" outlineLevel="1" x14ac:dyDescent="0.2">
      <c r="A67" s="84"/>
      <c r="B67" s="85" t="s">
        <v>409</v>
      </c>
      <c r="C67" s="84" t="s">
        <v>718</v>
      </c>
      <c r="D67" s="86"/>
      <c r="E67" s="86"/>
      <c r="F67" s="87"/>
      <c r="G67" s="88">
        <v>1.03</v>
      </c>
    </row>
    <row r="68" spans="1:17" s="69" customFormat="1" ht="22.5" customHeight="1" outlineLevel="1" x14ac:dyDescent="0.25">
      <c r="A68" s="70"/>
      <c r="B68" s="264" t="s">
        <v>580</v>
      </c>
      <c r="C68" s="332"/>
      <c r="D68" s="70"/>
      <c r="E68" s="82"/>
      <c r="F68" s="83"/>
      <c r="G68" s="265">
        <f>G64*G65*G66*G67</f>
        <v>3920.2978320000002</v>
      </c>
    </row>
    <row r="69" spans="1:17" s="69" customFormat="1" ht="22.5" customHeight="1" x14ac:dyDescent="0.25">
      <c r="A69" s="267"/>
      <c r="B69" s="266" t="s">
        <v>1308</v>
      </c>
      <c r="C69" s="332"/>
      <c r="D69" s="70"/>
      <c r="E69" s="82"/>
      <c r="F69" s="83"/>
      <c r="G69" s="265">
        <f>G19+G25+G31+G37+G43+G49+G55+G62+G68</f>
        <v>82317.395935999986</v>
      </c>
      <c r="H69" s="299"/>
      <c r="I69" s="102"/>
    </row>
    <row r="70" spans="1:17" s="43" customFormat="1" ht="18" customHeight="1" x14ac:dyDescent="0.25">
      <c r="A70" s="1225" t="s">
        <v>119</v>
      </c>
      <c r="B70" s="1225"/>
      <c r="C70" s="1225"/>
      <c r="D70" s="1225"/>
      <c r="E70" s="1225"/>
      <c r="F70" s="1225"/>
      <c r="G70" s="1225"/>
      <c r="H70" s="52"/>
      <c r="I70" s="60"/>
      <c r="J70" s="60"/>
      <c r="K70" s="60"/>
      <c r="L70" s="61"/>
      <c r="M70" s="61"/>
    </row>
    <row r="71" spans="1:17" s="69" customFormat="1" ht="23.25" customHeight="1" outlineLevel="1" x14ac:dyDescent="0.25">
      <c r="A71" s="66" t="s">
        <v>365</v>
      </c>
      <c r="B71" s="67" t="s">
        <v>779</v>
      </c>
      <c r="C71" s="331"/>
      <c r="D71" s="67"/>
      <c r="E71" s="67"/>
      <c r="F71" s="67"/>
      <c r="G71" s="67"/>
    </row>
    <row r="72" spans="1:17" s="69" customFormat="1" ht="43.5" customHeight="1" outlineLevel="1" x14ac:dyDescent="0.25">
      <c r="A72" s="70"/>
      <c r="B72" s="71" t="s">
        <v>781</v>
      </c>
      <c r="C72" s="331" t="s">
        <v>780</v>
      </c>
      <c r="D72" s="73" t="s">
        <v>540</v>
      </c>
      <c r="E72" s="74">
        <v>1452</v>
      </c>
      <c r="F72" s="75">
        <v>4.79</v>
      </c>
      <c r="G72" s="75">
        <f>E72*F72</f>
        <v>6955.08</v>
      </c>
    </row>
    <row r="73" spans="1:17" s="89" customFormat="1" ht="49.5" customHeight="1" outlineLevel="1" x14ac:dyDescent="0.2">
      <c r="A73" s="84"/>
      <c r="B73" s="85" t="s">
        <v>489</v>
      </c>
      <c r="C73" s="84" t="s">
        <v>508</v>
      </c>
      <c r="D73" s="86"/>
      <c r="E73" s="86"/>
      <c r="F73" s="87"/>
      <c r="G73" s="88">
        <v>1.08</v>
      </c>
      <c r="H73" s="1222" t="s">
        <v>507</v>
      </c>
      <c r="I73" s="1223"/>
      <c r="J73" s="1223"/>
      <c r="K73" s="1223"/>
      <c r="L73" s="1223"/>
      <c r="M73" s="1223"/>
      <c r="N73" s="1223"/>
      <c r="O73" s="1223"/>
      <c r="P73" s="1223"/>
      <c r="Q73" s="1223"/>
    </row>
    <row r="74" spans="1:17" s="89" customFormat="1" ht="51" outlineLevel="1" x14ac:dyDescent="0.2">
      <c r="A74" s="84"/>
      <c r="B74" s="85" t="s">
        <v>405</v>
      </c>
      <c r="C74" s="84" t="s">
        <v>509</v>
      </c>
      <c r="D74" s="86"/>
      <c r="E74" s="86"/>
      <c r="F74" s="87"/>
      <c r="G74" s="88">
        <v>0.92</v>
      </c>
    </row>
    <row r="75" spans="1:17" s="89" customFormat="1" ht="49.5" customHeight="1" outlineLevel="1" x14ac:dyDescent="0.2">
      <c r="A75" s="84"/>
      <c r="B75" s="85" t="s">
        <v>478</v>
      </c>
      <c r="C75" s="84" t="s">
        <v>604</v>
      </c>
      <c r="D75" s="86"/>
      <c r="E75" s="86"/>
      <c r="F75" s="87"/>
      <c r="G75" s="88">
        <v>0.99</v>
      </c>
    </row>
    <row r="76" spans="1:17" s="89" customFormat="1" ht="12.75" outlineLevel="1" x14ac:dyDescent="0.2">
      <c r="A76" s="84"/>
      <c r="B76" s="85" t="s">
        <v>409</v>
      </c>
      <c r="C76" s="84" t="s">
        <v>782</v>
      </c>
      <c r="D76" s="86"/>
      <c r="E76" s="86"/>
      <c r="F76" s="87"/>
      <c r="G76" s="88">
        <v>1</v>
      </c>
    </row>
    <row r="77" spans="1:17" s="69" customFormat="1" ht="22.5" customHeight="1" outlineLevel="1" x14ac:dyDescent="0.25">
      <c r="A77" s="70"/>
      <c r="B77" s="264" t="s">
        <v>571</v>
      </c>
      <c r="C77" s="332"/>
      <c r="D77" s="70"/>
      <c r="E77" s="82"/>
      <c r="F77" s="83"/>
      <c r="G77" s="265">
        <f>G72*G73*G74*G75*G76</f>
        <v>6841.4618131200004</v>
      </c>
    </row>
    <row r="78" spans="1:17" s="69" customFormat="1" ht="23.25" customHeight="1" outlineLevel="1" x14ac:dyDescent="0.25">
      <c r="A78" s="66" t="s">
        <v>479</v>
      </c>
      <c r="B78" s="67" t="s">
        <v>783</v>
      </c>
      <c r="C78" s="68"/>
      <c r="D78" s="67"/>
      <c r="E78" s="67"/>
      <c r="F78" s="67"/>
      <c r="G78" s="67"/>
    </row>
    <row r="79" spans="1:17" s="69" customFormat="1" ht="39" customHeight="1" outlineLevel="1" x14ac:dyDescent="0.25">
      <c r="A79" s="70"/>
      <c r="B79" s="71" t="s">
        <v>566</v>
      </c>
      <c r="C79" s="956" t="s">
        <v>564</v>
      </c>
      <c r="D79" s="73" t="s">
        <v>565</v>
      </c>
      <c r="E79" s="74">
        <v>40</v>
      </c>
      <c r="F79" s="75">
        <v>5288.72</v>
      </c>
      <c r="G79" s="75">
        <f>E79*F79</f>
        <v>211548.80000000002</v>
      </c>
    </row>
    <row r="80" spans="1:17" s="89" customFormat="1" ht="51" outlineLevel="1" x14ac:dyDescent="0.2">
      <c r="A80" s="84"/>
      <c r="B80" s="85" t="s">
        <v>405</v>
      </c>
      <c r="C80" s="84" t="s">
        <v>567</v>
      </c>
      <c r="D80" s="86"/>
      <c r="E80" s="86"/>
      <c r="F80" s="87"/>
      <c r="G80" s="88">
        <v>0.82</v>
      </c>
    </row>
    <row r="81" spans="1:7" s="89" customFormat="1" ht="49.5" customHeight="1" outlineLevel="1" x14ac:dyDescent="0.2">
      <c r="A81" s="84"/>
      <c r="B81" s="85" t="s">
        <v>478</v>
      </c>
      <c r="C81" s="84" t="s">
        <v>568</v>
      </c>
      <c r="D81" s="86"/>
      <c r="E81" s="86"/>
      <c r="F81" s="87"/>
      <c r="G81" s="88">
        <v>0.99</v>
      </c>
    </row>
    <row r="82" spans="1:7" s="89" customFormat="1" ht="12.75" outlineLevel="1" x14ac:dyDescent="0.2">
      <c r="A82" s="84"/>
      <c r="B82" s="85" t="s">
        <v>409</v>
      </c>
      <c r="C82" s="84" t="s">
        <v>570</v>
      </c>
      <c r="D82" s="86"/>
      <c r="E82" s="86"/>
      <c r="F82" s="87"/>
      <c r="G82" s="88">
        <v>1.03</v>
      </c>
    </row>
    <row r="83" spans="1:7" s="69" customFormat="1" ht="22.5" customHeight="1" outlineLevel="1" x14ac:dyDescent="0.25">
      <c r="A83" s="70"/>
      <c r="B83" s="264" t="s">
        <v>480</v>
      </c>
      <c r="C83" s="81"/>
      <c r="D83" s="70"/>
      <c r="E83" s="82"/>
      <c r="F83" s="83"/>
      <c r="G83" s="265">
        <f>G79*G80*G81*G82</f>
        <v>176887.37531520001</v>
      </c>
    </row>
    <row r="84" spans="1:7" s="69" customFormat="1" ht="23.25" customHeight="1" outlineLevel="1" x14ac:dyDescent="0.25">
      <c r="A84" s="66" t="s">
        <v>481</v>
      </c>
      <c r="B84" s="67" t="s">
        <v>217</v>
      </c>
      <c r="C84" s="68"/>
      <c r="D84" s="67"/>
      <c r="E84" s="67"/>
      <c r="F84" s="67"/>
      <c r="G84" s="67"/>
    </row>
    <row r="85" spans="1:7" s="69" customFormat="1" ht="33.75" customHeight="1" outlineLevel="1" x14ac:dyDescent="0.25">
      <c r="A85" s="70"/>
      <c r="B85" s="71" t="s">
        <v>541</v>
      </c>
      <c r="C85" s="956" t="s">
        <v>542</v>
      </c>
      <c r="D85" s="73" t="s">
        <v>540</v>
      </c>
      <c r="E85" s="74">
        <v>30</v>
      </c>
      <c r="F85" s="75">
        <v>97.67</v>
      </c>
      <c r="G85" s="75">
        <f>E85*F85</f>
        <v>2930.1</v>
      </c>
    </row>
    <row r="86" spans="1:7" s="89" customFormat="1" ht="56.25" customHeight="1" outlineLevel="1" x14ac:dyDescent="0.2">
      <c r="A86" s="84"/>
      <c r="B86" s="85" t="s">
        <v>405</v>
      </c>
      <c r="C86" s="84" t="s">
        <v>539</v>
      </c>
      <c r="D86" s="86"/>
      <c r="E86" s="86"/>
      <c r="F86" s="87"/>
      <c r="G86" s="88">
        <v>0.82</v>
      </c>
    </row>
    <row r="87" spans="1:7" s="89" customFormat="1" ht="43.5" customHeight="1" outlineLevel="1" x14ac:dyDescent="0.2">
      <c r="A87" s="84"/>
      <c r="B87" s="85" t="s">
        <v>478</v>
      </c>
      <c r="C87" s="84" t="s">
        <v>543</v>
      </c>
      <c r="D87" s="86"/>
      <c r="E87" s="86"/>
      <c r="F87" s="87"/>
      <c r="G87" s="88">
        <v>0.99</v>
      </c>
    </row>
    <row r="88" spans="1:7" s="89" customFormat="1" ht="12.75" outlineLevel="1" x14ac:dyDescent="0.2">
      <c r="A88" s="84"/>
      <c r="B88" s="85"/>
      <c r="C88" s="84"/>
      <c r="D88" s="86"/>
      <c r="E88" s="86"/>
      <c r="F88" s="87"/>
      <c r="G88" s="88"/>
    </row>
    <row r="89" spans="1:7" s="69" customFormat="1" ht="22.5" customHeight="1" outlineLevel="1" x14ac:dyDescent="0.25">
      <c r="A89" s="70"/>
      <c r="B89" s="264" t="s">
        <v>520</v>
      </c>
      <c r="C89" s="81"/>
      <c r="D89" s="70"/>
      <c r="E89" s="82"/>
      <c r="F89" s="83"/>
      <c r="G89" s="265">
        <f>G85*G86*G87</f>
        <v>2378.6551799999997</v>
      </c>
    </row>
    <row r="90" spans="1:7" s="69" customFormat="1" ht="23.25" customHeight="1" outlineLevel="1" x14ac:dyDescent="0.25">
      <c r="A90" s="66" t="s">
        <v>483</v>
      </c>
      <c r="B90" s="67" t="s">
        <v>122</v>
      </c>
      <c r="C90" s="331"/>
      <c r="D90" s="67"/>
      <c r="E90" s="67"/>
      <c r="F90" s="67"/>
      <c r="G90" s="67"/>
    </row>
    <row r="91" spans="1:7" s="69" customFormat="1" ht="43.5" customHeight="1" outlineLevel="1" x14ac:dyDescent="0.25">
      <c r="A91" s="70"/>
      <c r="B91" s="71" t="s">
        <v>519</v>
      </c>
      <c r="C91" s="331" t="s">
        <v>518</v>
      </c>
      <c r="D91" s="73" t="s">
        <v>474</v>
      </c>
      <c r="E91" s="74">
        <v>25</v>
      </c>
      <c r="F91" s="75">
        <v>802.59</v>
      </c>
      <c r="G91" s="75">
        <f>E91*F91</f>
        <v>20064.75</v>
      </c>
    </row>
    <row r="92" spans="1:7" s="89" customFormat="1" ht="41.25" customHeight="1" outlineLevel="1" x14ac:dyDescent="0.2">
      <c r="A92" s="84"/>
      <c r="B92" s="85" t="s">
        <v>563</v>
      </c>
      <c r="C92" s="84" t="s">
        <v>562</v>
      </c>
      <c r="D92" s="86"/>
      <c r="E92" s="86"/>
      <c r="F92" s="87"/>
      <c r="G92" s="88">
        <v>1.04</v>
      </c>
    </row>
    <row r="93" spans="1:7" s="89" customFormat="1" ht="51" outlineLevel="1" x14ac:dyDescent="0.2">
      <c r="A93" s="84"/>
      <c r="B93" s="85" t="s">
        <v>405</v>
      </c>
      <c r="C93" s="84" t="s">
        <v>496</v>
      </c>
      <c r="D93" s="86"/>
      <c r="E93" s="86"/>
      <c r="F93" s="87"/>
      <c r="G93" s="88">
        <v>0.84</v>
      </c>
    </row>
    <row r="94" spans="1:7" s="89" customFormat="1" ht="49.5" customHeight="1" outlineLevel="1" x14ac:dyDescent="0.2">
      <c r="A94" s="84"/>
      <c r="B94" s="85" t="s">
        <v>478</v>
      </c>
      <c r="C94" s="84" t="s">
        <v>497</v>
      </c>
      <c r="D94" s="86"/>
      <c r="E94" s="86"/>
      <c r="F94" s="87"/>
      <c r="G94" s="88">
        <v>0.99</v>
      </c>
    </row>
    <row r="95" spans="1:7" s="89" customFormat="1" ht="12.75" outlineLevel="1" x14ac:dyDescent="0.2">
      <c r="A95" s="84"/>
      <c r="B95" s="85" t="s">
        <v>409</v>
      </c>
      <c r="C95" s="84" t="s">
        <v>498</v>
      </c>
      <c r="D95" s="86"/>
      <c r="E95" s="86"/>
      <c r="F95" s="87"/>
      <c r="G95" s="88">
        <v>1</v>
      </c>
    </row>
    <row r="96" spans="1:7" s="69" customFormat="1" ht="22.5" customHeight="1" outlineLevel="1" x14ac:dyDescent="0.25">
      <c r="A96" s="70"/>
      <c r="B96" s="264" t="s">
        <v>484</v>
      </c>
      <c r="C96" s="332"/>
      <c r="D96" s="70"/>
      <c r="E96" s="82"/>
      <c r="F96" s="83"/>
      <c r="G96" s="265">
        <f>G91*G92*G93*G94*G95</f>
        <v>17353.279943999998</v>
      </c>
    </row>
    <row r="97" spans="1:9" s="69" customFormat="1" ht="23.25" customHeight="1" outlineLevel="1" x14ac:dyDescent="0.25">
      <c r="A97" s="66" t="s">
        <v>485</v>
      </c>
      <c r="B97" s="67" t="s">
        <v>554</v>
      </c>
      <c r="C97" s="68"/>
      <c r="D97" s="67"/>
      <c r="E97" s="67"/>
      <c r="F97" s="67"/>
      <c r="G97" s="67"/>
    </row>
    <row r="98" spans="1:9" s="69" customFormat="1" ht="66.75" customHeight="1" outlineLevel="1" x14ac:dyDescent="0.25">
      <c r="A98" s="70"/>
      <c r="B98" s="71" t="s">
        <v>557</v>
      </c>
      <c r="C98" s="956" t="s">
        <v>553</v>
      </c>
      <c r="D98" s="73" t="s">
        <v>555</v>
      </c>
      <c r="E98" s="74">
        <v>5</v>
      </c>
      <c r="F98" s="75">
        <v>301.99</v>
      </c>
      <c r="G98" s="75">
        <f>E98*F98</f>
        <v>1509.95</v>
      </c>
    </row>
    <row r="99" spans="1:9" s="89" customFormat="1" ht="51" outlineLevel="1" x14ac:dyDescent="0.2">
      <c r="A99" s="84"/>
      <c r="B99" s="85" t="s">
        <v>405</v>
      </c>
      <c r="C99" s="84" t="s">
        <v>496</v>
      </c>
      <c r="D99" s="86"/>
      <c r="E99" s="86"/>
      <c r="F99" s="87"/>
      <c r="G99" s="88">
        <v>0.84</v>
      </c>
    </row>
    <row r="100" spans="1:9" s="89" customFormat="1" ht="49.5" customHeight="1" outlineLevel="1" x14ac:dyDescent="0.2">
      <c r="A100" s="84"/>
      <c r="B100" s="85" t="s">
        <v>488</v>
      </c>
      <c r="C100" s="84" t="s">
        <v>497</v>
      </c>
      <c r="D100" s="86"/>
      <c r="E100" s="86"/>
      <c r="F100" s="87"/>
      <c r="G100" s="88">
        <v>0.99</v>
      </c>
    </row>
    <row r="101" spans="1:9" s="89" customFormat="1" ht="12.75" outlineLevel="1" x14ac:dyDescent="0.2">
      <c r="A101" s="84"/>
      <c r="B101" s="85" t="s">
        <v>409</v>
      </c>
      <c r="C101" s="84" t="s">
        <v>498</v>
      </c>
      <c r="D101" s="86"/>
      <c r="E101" s="86"/>
      <c r="F101" s="87"/>
      <c r="G101" s="88">
        <v>1</v>
      </c>
    </row>
    <row r="102" spans="1:9" s="69" customFormat="1" ht="22.5" customHeight="1" outlineLevel="1" x14ac:dyDescent="0.25">
      <c r="A102" s="70"/>
      <c r="B102" s="264" t="s">
        <v>490</v>
      </c>
      <c r="C102" s="81"/>
      <c r="D102" s="70"/>
      <c r="E102" s="82"/>
      <c r="F102" s="83"/>
      <c r="G102" s="265">
        <f>G98*G99*G100*G101</f>
        <v>1255.6744199999998</v>
      </c>
    </row>
    <row r="103" spans="1:9" s="69" customFormat="1" ht="23.25" customHeight="1" outlineLevel="1" x14ac:dyDescent="0.25">
      <c r="A103" s="66" t="s">
        <v>523</v>
      </c>
      <c r="B103" s="67" t="s">
        <v>472</v>
      </c>
      <c r="C103" s="331"/>
      <c r="D103" s="67"/>
      <c r="E103" s="67"/>
      <c r="F103" s="67"/>
      <c r="G103" s="67"/>
    </row>
    <row r="104" spans="1:9" s="69" customFormat="1" ht="47.25" customHeight="1" outlineLevel="1" x14ac:dyDescent="0.25">
      <c r="A104" s="70"/>
      <c r="B104" s="71" t="s">
        <v>785</v>
      </c>
      <c r="C104" s="331" t="s">
        <v>495</v>
      </c>
      <c r="D104" s="73" t="s">
        <v>474</v>
      </c>
      <c r="E104" s="74">
        <v>50</v>
      </c>
      <c r="F104" s="75">
        <v>20.29</v>
      </c>
      <c r="G104" s="75">
        <f>E104*F104</f>
        <v>1014.5</v>
      </c>
      <c r="H104" s="69" t="e">
        <f>#REF!</f>
        <v>#REF!</v>
      </c>
      <c r="I104" s="69" t="s">
        <v>0</v>
      </c>
    </row>
    <row r="105" spans="1:9" s="89" customFormat="1" ht="51" outlineLevel="1" x14ac:dyDescent="0.2">
      <c r="A105" s="84"/>
      <c r="B105" s="85" t="s">
        <v>405</v>
      </c>
      <c r="C105" s="84" t="s">
        <v>496</v>
      </c>
      <c r="D105" s="86"/>
      <c r="E105" s="86"/>
      <c r="F105" s="87"/>
      <c r="G105" s="88">
        <v>0.84</v>
      </c>
    </row>
    <row r="106" spans="1:9" s="89" customFormat="1" ht="49.5" customHeight="1" outlineLevel="1" x14ac:dyDescent="0.2">
      <c r="A106" s="84"/>
      <c r="B106" s="85" t="s">
        <v>478</v>
      </c>
      <c r="C106" s="84" t="s">
        <v>497</v>
      </c>
      <c r="D106" s="86"/>
      <c r="E106" s="86"/>
      <c r="F106" s="87"/>
      <c r="G106" s="88">
        <v>0.99</v>
      </c>
    </row>
    <row r="107" spans="1:9" s="89" customFormat="1" ht="12.75" outlineLevel="1" x14ac:dyDescent="0.2">
      <c r="A107" s="84"/>
      <c r="B107" s="85" t="s">
        <v>409</v>
      </c>
      <c r="C107" s="84" t="s">
        <v>498</v>
      </c>
      <c r="D107" s="86"/>
      <c r="E107" s="86"/>
      <c r="F107" s="87"/>
      <c r="G107" s="88">
        <v>1</v>
      </c>
    </row>
    <row r="108" spans="1:9" s="69" customFormat="1" ht="22.5" customHeight="1" outlineLevel="1" x14ac:dyDescent="0.25">
      <c r="A108" s="70"/>
      <c r="B108" s="264" t="s">
        <v>572</v>
      </c>
      <c r="C108" s="332"/>
      <c r="D108" s="70"/>
      <c r="E108" s="82"/>
      <c r="F108" s="83"/>
      <c r="G108" s="265">
        <f>G104*G105*G106*G107</f>
        <v>843.65819999999997</v>
      </c>
    </row>
    <row r="109" spans="1:9" s="69" customFormat="1" ht="23.25" customHeight="1" outlineLevel="1" x14ac:dyDescent="0.25">
      <c r="A109" s="66" t="s">
        <v>573</v>
      </c>
      <c r="B109" s="67" t="s">
        <v>98</v>
      </c>
      <c r="C109" s="331"/>
      <c r="D109" s="67"/>
      <c r="E109" s="67"/>
      <c r="F109" s="67"/>
      <c r="G109" s="67"/>
    </row>
    <row r="110" spans="1:9" s="69" customFormat="1" ht="57" customHeight="1" outlineLevel="1" x14ac:dyDescent="0.25">
      <c r="A110" s="70"/>
      <c r="B110" s="71" t="s">
        <v>750</v>
      </c>
      <c r="C110" s="331" t="s">
        <v>745</v>
      </c>
      <c r="D110" s="73" t="s">
        <v>708</v>
      </c>
      <c r="E110" s="74">
        <v>30</v>
      </c>
      <c r="F110" s="75">
        <v>339.78</v>
      </c>
      <c r="G110" s="75">
        <f>E110*F110</f>
        <v>10193.4</v>
      </c>
      <c r="H110" s="69" t="e">
        <f>#REF!</f>
        <v>#REF!</v>
      </c>
      <c r="I110" s="69" t="s">
        <v>746</v>
      </c>
    </row>
    <row r="111" spans="1:9" s="89" customFormat="1" ht="51" outlineLevel="1" x14ac:dyDescent="0.2">
      <c r="A111" s="84"/>
      <c r="B111" s="85" t="s">
        <v>405</v>
      </c>
      <c r="C111" s="84" t="s">
        <v>749</v>
      </c>
      <c r="D111" s="86"/>
      <c r="E111" s="86"/>
      <c r="F111" s="87"/>
      <c r="G111" s="88">
        <v>0.87</v>
      </c>
    </row>
    <row r="112" spans="1:9" s="89" customFormat="1" ht="46.5" customHeight="1" outlineLevel="1" x14ac:dyDescent="0.2">
      <c r="A112" s="84"/>
      <c r="B112" s="85" t="s">
        <v>747</v>
      </c>
      <c r="C112" s="84" t="s">
        <v>748</v>
      </c>
      <c r="D112" s="86"/>
      <c r="E112" s="86"/>
      <c r="F112" s="87"/>
      <c r="G112" s="88">
        <v>1.1399999999999999</v>
      </c>
    </row>
    <row r="113" spans="1:15" s="89" customFormat="1" ht="20.25" customHeight="1" outlineLevel="1" x14ac:dyDescent="0.2">
      <c r="A113" s="84"/>
      <c r="B113" s="85" t="s">
        <v>409</v>
      </c>
      <c r="C113" s="84" t="s">
        <v>751</v>
      </c>
      <c r="D113" s="86"/>
      <c r="E113" s="86"/>
      <c r="F113" s="87"/>
      <c r="G113" s="88">
        <v>1</v>
      </c>
    </row>
    <row r="114" spans="1:15" s="89" customFormat="1" ht="15.75" outlineLevel="1" x14ac:dyDescent="0.2">
      <c r="A114" s="84"/>
      <c r="B114" s="264" t="s">
        <v>574</v>
      </c>
      <c r="C114" s="333"/>
      <c r="D114" s="86"/>
      <c r="E114" s="86"/>
      <c r="F114" s="87"/>
      <c r="G114" s="265">
        <f>SUM(G110*G111*G112*G113)</f>
        <v>10109.814119999999</v>
      </c>
    </row>
    <row r="115" spans="1:15" s="69" customFormat="1" ht="23.25" customHeight="1" outlineLevel="1" x14ac:dyDescent="0.25">
      <c r="A115" s="66" t="s">
        <v>577</v>
      </c>
      <c r="B115" s="67" t="s">
        <v>476</v>
      </c>
      <c r="C115" s="331"/>
      <c r="D115" s="67"/>
      <c r="E115" s="67"/>
      <c r="F115" s="67"/>
      <c r="G115" s="67"/>
      <c r="I115" s="69" t="s">
        <v>618</v>
      </c>
    </row>
    <row r="116" spans="1:15" s="69" customFormat="1" ht="43.5" customHeight="1" outlineLevel="1" x14ac:dyDescent="0.2">
      <c r="A116" s="70"/>
      <c r="B116" s="71" t="s">
        <v>477</v>
      </c>
      <c r="C116" s="331" t="s">
        <v>499</v>
      </c>
      <c r="D116" s="73" t="s">
        <v>474</v>
      </c>
      <c r="E116" s="955">
        <v>25</v>
      </c>
      <c r="F116" s="75">
        <v>196.55</v>
      </c>
      <c r="G116" s="75">
        <f>E116*F116</f>
        <v>4913.75</v>
      </c>
      <c r="H116" s="69" t="e">
        <f>#REF!</f>
        <v>#REF!</v>
      </c>
      <c r="I116" s="69" t="s">
        <v>0</v>
      </c>
      <c r="O116" s="89"/>
    </row>
    <row r="117" spans="1:15" s="89" customFormat="1" ht="51" outlineLevel="1" x14ac:dyDescent="0.2">
      <c r="A117" s="84"/>
      <c r="B117" s="85" t="s">
        <v>405</v>
      </c>
      <c r="C117" s="84" t="s">
        <v>496</v>
      </c>
      <c r="D117" s="86"/>
      <c r="E117" s="86"/>
      <c r="F117" s="87"/>
      <c r="G117" s="88">
        <v>0.84</v>
      </c>
      <c r="N117" s="69"/>
    </row>
    <row r="118" spans="1:15" s="89" customFormat="1" ht="42.75" customHeight="1" outlineLevel="1" x14ac:dyDescent="0.2">
      <c r="A118" s="84"/>
      <c r="B118" s="85" t="s">
        <v>478</v>
      </c>
      <c r="C118" s="84" t="s">
        <v>497</v>
      </c>
      <c r="D118" s="86"/>
      <c r="E118" s="86"/>
      <c r="F118" s="87"/>
      <c r="G118" s="88">
        <v>0.99</v>
      </c>
    </row>
    <row r="119" spans="1:15" s="89" customFormat="1" ht="12.75" outlineLevel="1" x14ac:dyDescent="0.2">
      <c r="A119" s="84"/>
      <c r="B119" s="85" t="s">
        <v>409</v>
      </c>
      <c r="C119" s="84" t="s">
        <v>498</v>
      </c>
      <c r="D119" s="86"/>
      <c r="E119" s="86"/>
      <c r="F119" s="87"/>
      <c r="G119" s="88">
        <v>1</v>
      </c>
    </row>
    <row r="120" spans="1:15" s="69" customFormat="1" ht="22.5" customHeight="1" outlineLevel="1" x14ac:dyDescent="0.25">
      <c r="A120" s="70"/>
      <c r="B120" s="264" t="s">
        <v>580</v>
      </c>
      <c r="C120" s="332"/>
      <c r="D120" s="70"/>
      <c r="E120" s="82"/>
      <c r="F120" s="83"/>
      <c r="G120" s="265">
        <f>G116*G117*G118*G119</f>
        <v>4086.2745</v>
      </c>
    </row>
    <row r="121" spans="1:15" s="69" customFormat="1" ht="23.25" customHeight="1" outlineLevel="1" x14ac:dyDescent="0.25">
      <c r="A121" s="66" t="s">
        <v>581</v>
      </c>
      <c r="B121" s="67" t="s">
        <v>603</v>
      </c>
      <c r="C121" s="331"/>
      <c r="D121" s="67"/>
      <c r="E121" s="67"/>
      <c r="F121" s="67"/>
      <c r="G121" s="67"/>
      <c r="M121" s="299"/>
    </row>
    <row r="122" spans="1:15" s="69" customFormat="1" ht="59.25" customHeight="1" outlineLevel="1" x14ac:dyDescent="0.25">
      <c r="A122" s="70"/>
      <c r="B122" s="71" t="s">
        <v>671</v>
      </c>
      <c r="C122" s="331" t="s">
        <v>602</v>
      </c>
      <c r="D122" s="73" t="s">
        <v>600</v>
      </c>
      <c r="E122" s="74">
        <v>2.5</v>
      </c>
      <c r="F122" s="75">
        <v>22732.5</v>
      </c>
      <c r="G122" s="75">
        <f>E122*F122</f>
        <v>56831.25</v>
      </c>
    </row>
    <row r="123" spans="1:15" s="89" customFormat="1" ht="51" outlineLevel="1" x14ac:dyDescent="0.2">
      <c r="A123" s="84"/>
      <c r="B123" s="85" t="s">
        <v>405</v>
      </c>
      <c r="C123" s="84" t="s">
        <v>509</v>
      </c>
      <c r="D123" s="86"/>
      <c r="E123" s="86"/>
      <c r="F123" s="87"/>
      <c r="G123" s="88">
        <v>0.92</v>
      </c>
      <c r="M123" s="300"/>
    </row>
    <row r="124" spans="1:15" s="89" customFormat="1" ht="49.5" customHeight="1" outlineLevel="1" x14ac:dyDescent="0.2">
      <c r="A124" s="84"/>
      <c r="B124" s="85" t="s">
        <v>478</v>
      </c>
      <c r="C124" s="84" t="s">
        <v>604</v>
      </c>
      <c r="D124" s="86"/>
      <c r="E124" s="86"/>
      <c r="F124" s="87"/>
      <c r="G124" s="88">
        <v>0.98</v>
      </c>
    </row>
    <row r="125" spans="1:15" s="89" customFormat="1" ht="12.75" outlineLevel="1" x14ac:dyDescent="0.2">
      <c r="A125" s="84"/>
      <c r="B125" s="85" t="s">
        <v>409</v>
      </c>
      <c r="C125" s="84" t="s">
        <v>605</v>
      </c>
      <c r="D125" s="86"/>
      <c r="E125" s="86"/>
      <c r="F125" s="87"/>
      <c r="G125" s="88">
        <v>1</v>
      </c>
    </row>
    <row r="126" spans="1:15" s="69" customFormat="1" ht="22.5" customHeight="1" outlineLevel="1" x14ac:dyDescent="0.25">
      <c r="A126" s="70"/>
      <c r="B126" s="264" t="s">
        <v>578</v>
      </c>
      <c r="C126" s="332"/>
      <c r="D126" s="70"/>
      <c r="E126" s="82"/>
      <c r="F126" s="83"/>
      <c r="G126" s="265">
        <f>G122*G123*G124*G125</f>
        <v>51239.055</v>
      </c>
    </row>
    <row r="127" spans="1:15" s="69" customFormat="1" ht="23.25" customHeight="1" outlineLevel="1" x14ac:dyDescent="0.25">
      <c r="A127" s="66" t="s">
        <v>579</v>
      </c>
      <c r="B127" s="67" t="s">
        <v>784</v>
      </c>
      <c r="C127" s="331"/>
      <c r="D127" s="67"/>
      <c r="E127" s="67"/>
      <c r="F127" s="67"/>
      <c r="G127" s="67"/>
    </row>
    <row r="128" spans="1:15" s="69" customFormat="1" ht="43.5" customHeight="1" outlineLevel="1" x14ac:dyDescent="0.25">
      <c r="A128" s="70"/>
      <c r="B128" s="71" t="s">
        <v>781</v>
      </c>
      <c r="C128" s="331" t="s">
        <v>780</v>
      </c>
      <c r="D128" s="73" t="s">
        <v>540</v>
      </c>
      <c r="E128" s="74">
        <v>7</v>
      </c>
      <c r="F128" s="75">
        <v>4.79</v>
      </c>
      <c r="G128" s="75">
        <f>E128*F128</f>
        <v>33.53</v>
      </c>
    </row>
    <row r="129" spans="1:8" s="89" customFormat="1" ht="51" outlineLevel="1" x14ac:dyDescent="0.2">
      <c r="A129" s="84"/>
      <c r="B129" s="85" t="s">
        <v>405</v>
      </c>
      <c r="C129" s="84" t="s">
        <v>509</v>
      </c>
      <c r="D129" s="86"/>
      <c r="E129" s="86"/>
      <c r="F129" s="87"/>
      <c r="G129" s="88">
        <v>0.92</v>
      </c>
    </row>
    <row r="130" spans="1:8" s="89" customFormat="1" ht="49.5" customHeight="1" outlineLevel="1" x14ac:dyDescent="0.2">
      <c r="A130" s="84"/>
      <c r="B130" s="85" t="s">
        <v>478</v>
      </c>
      <c r="C130" s="84" t="s">
        <v>604</v>
      </c>
      <c r="D130" s="86"/>
      <c r="E130" s="86"/>
      <c r="F130" s="87"/>
      <c r="G130" s="88">
        <v>0.99</v>
      </c>
    </row>
    <row r="131" spans="1:8" s="89" customFormat="1" ht="12.75" outlineLevel="1" x14ac:dyDescent="0.2">
      <c r="A131" s="84"/>
      <c r="B131" s="85" t="s">
        <v>409</v>
      </c>
      <c r="C131" s="84" t="s">
        <v>782</v>
      </c>
      <c r="D131" s="86"/>
      <c r="E131" s="86"/>
      <c r="F131" s="87"/>
      <c r="G131" s="88">
        <v>1</v>
      </c>
    </row>
    <row r="132" spans="1:8" s="69" customFormat="1" ht="22.5" customHeight="1" outlineLevel="1" x14ac:dyDescent="0.25">
      <c r="A132" s="70"/>
      <c r="B132" s="264" t="s">
        <v>583</v>
      </c>
      <c r="C132" s="332"/>
      <c r="D132" s="70"/>
      <c r="E132" s="82"/>
      <c r="F132" s="83"/>
      <c r="G132" s="265">
        <f>G128*G129*G130*G131</f>
        <v>30.539124000000005</v>
      </c>
    </row>
    <row r="133" spans="1:8" s="69" customFormat="1" ht="23.25" customHeight="1" outlineLevel="1" x14ac:dyDescent="0.25">
      <c r="A133" s="66" t="s">
        <v>586</v>
      </c>
      <c r="B133" s="67" t="s">
        <v>205</v>
      </c>
      <c r="C133" s="331"/>
      <c r="D133" s="67"/>
      <c r="E133" s="67"/>
      <c r="F133" s="67"/>
      <c r="G133" s="67"/>
    </row>
    <row r="134" spans="1:8" s="69" customFormat="1" ht="33.75" customHeight="1" outlineLevel="1" x14ac:dyDescent="0.25">
      <c r="A134" s="70"/>
      <c r="B134" s="71" t="s">
        <v>536</v>
      </c>
      <c r="C134" s="331" t="s">
        <v>500</v>
      </c>
      <c r="D134" s="73" t="s">
        <v>517</v>
      </c>
      <c r="E134" s="74">
        <v>80</v>
      </c>
      <c r="F134" s="75">
        <v>51.66</v>
      </c>
      <c r="G134" s="75">
        <f>E134*F134</f>
        <v>4132.7999999999993</v>
      </c>
      <c r="H134" s="69" t="s">
        <v>307</v>
      </c>
    </row>
    <row r="135" spans="1:8" s="89" customFormat="1" ht="51" outlineLevel="1" x14ac:dyDescent="0.2">
      <c r="A135" s="84"/>
      <c r="B135" s="85" t="s">
        <v>405</v>
      </c>
      <c r="C135" s="84" t="s">
        <v>501</v>
      </c>
      <c r="D135" s="86"/>
      <c r="E135" s="86"/>
      <c r="F135" s="87"/>
      <c r="G135" s="88">
        <v>0.82</v>
      </c>
    </row>
    <row r="136" spans="1:8" s="89" customFormat="1" ht="49.5" customHeight="1" outlineLevel="1" x14ac:dyDescent="0.2">
      <c r="A136" s="84"/>
      <c r="B136" s="85" t="s">
        <v>478</v>
      </c>
      <c r="C136" s="84" t="s">
        <v>502</v>
      </c>
      <c r="D136" s="86"/>
      <c r="E136" s="86"/>
      <c r="F136" s="87"/>
      <c r="G136" s="88">
        <v>0.99</v>
      </c>
    </row>
    <row r="137" spans="1:8" s="89" customFormat="1" ht="12.75" outlineLevel="1" x14ac:dyDescent="0.2">
      <c r="A137" s="84"/>
      <c r="B137" s="85" t="s">
        <v>409</v>
      </c>
      <c r="C137" s="84" t="s">
        <v>582</v>
      </c>
      <c r="D137" s="86"/>
      <c r="E137" s="86"/>
      <c r="F137" s="87"/>
      <c r="G137" s="88">
        <v>1</v>
      </c>
    </row>
    <row r="138" spans="1:8" s="69" customFormat="1" ht="22.5" customHeight="1" outlineLevel="1" x14ac:dyDescent="0.25">
      <c r="A138" s="70"/>
      <c r="B138" s="264" t="s">
        <v>587</v>
      </c>
      <c r="C138" s="332"/>
      <c r="D138" s="70"/>
      <c r="E138" s="82"/>
      <c r="F138" s="83"/>
      <c r="G138" s="265">
        <f>G134*G135*G136*G137</f>
        <v>3355.0070399999991</v>
      </c>
    </row>
    <row r="139" spans="1:8" s="69" customFormat="1" ht="23.25" customHeight="1" outlineLevel="1" x14ac:dyDescent="0.25">
      <c r="A139" s="66" t="s">
        <v>657</v>
      </c>
      <c r="B139" s="67" t="s">
        <v>706</v>
      </c>
      <c r="C139" s="331"/>
      <c r="D139" s="67"/>
      <c r="E139" s="67"/>
      <c r="F139" s="67"/>
      <c r="G139" s="67"/>
    </row>
    <row r="140" spans="1:8" s="69" customFormat="1" ht="61.5" customHeight="1" outlineLevel="1" x14ac:dyDescent="0.25">
      <c r="A140" s="70"/>
      <c r="B140" s="71" t="s">
        <v>707</v>
      </c>
      <c r="C140" s="331" t="s">
        <v>709</v>
      </c>
      <c r="D140" s="73" t="s">
        <v>708</v>
      </c>
      <c r="E140" s="74">
        <v>2</v>
      </c>
      <c r="F140" s="75">
        <v>232.33</v>
      </c>
      <c r="G140" s="75">
        <f>E140*F140</f>
        <v>464.66</v>
      </c>
      <c r="H140" s="69">
        <f>'Этап 2. (ПД)'!D20</f>
        <v>200</v>
      </c>
    </row>
    <row r="141" spans="1:8" s="69" customFormat="1" ht="61.5" customHeight="1" outlineLevel="1" x14ac:dyDescent="0.25">
      <c r="A141" s="70"/>
      <c r="B141" s="71" t="s">
        <v>756</v>
      </c>
      <c r="C141" s="84" t="s">
        <v>757</v>
      </c>
      <c r="D141" s="73" t="s">
        <v>758</v>
      </c>
      <c r="E141" s="954">
        <v>6</v>
      </c>
      <c r="F141" s="75">
        <v>61.68</v>
      </c>
      <c r="G141" s="75">
        <f>E141*F141</f>
        <v>370.08</v>
      </c>
      <c r="H141" s="519" t="s">
        <v>1307</v>
      </c>
    </row>
    <row r="142" spans="1:8" s="89" customFormat="1" ht="51" outlineLevel="1" x14ac:dyDescent="0.2">
      <c r="A142" s="84"/>
      <c r="B142" s="85" t="s">
        <v>405</v>
      </c>
      <c r="C142" s="84" t="s">
        <v>710</v>
      </c>
      <c r="D142" s="86"/>
      <c r="E142" s="86"/>
      <c r="F142" s="87"/>
      <c r="G142" s="88">
        <v>0.84</v>
      </c>
    </row>
    <row r="143" spans="1:8" s="89" customFormat="1" ht="49.5" customHeight="1" outlineLevel="1" x14ac:dyDescent="0.2">
      <c r="A143" s="84"/>
      <c r="B143" s="85" t="s">
        <v>488</v>
      </c>
      <c r="C143" s="84" t="s">
        <v>711</v>
      </c>
      <c r="D143" s="86"/>
      <c r="E143" s="86"/>
      <c r="F143" s="87"/>
      <c r="G143" s="88">
        <v>0.99</v>
      </c>
    </row>
    <row r="144" spans="1:8" s="89" customFormat="1" ht="12.75" outlineLevel="1" x14ac:dyDescent="0.2">
      <c r="A144" s="84"/>
      <c r="B144" s="85" t="s">
        <v>409</v>
      </c>
      <c r="C144" s="84" t="s">
        <v>712</v>
      </c>
      <c r="D144" s="86"/>
      <c r="E144" s="86"/>
      <c r="F144" s="87"/>
      <c r="G144" s="88">
        <v>1</v>
      </c>
    </row>
    <row r="145" spans="1:13" s="69" customFormat="1" ht="22.5" customHeight="1" outlineLevel="1" x14ac:dyDescent="0.25">
      <c r="A145" s="70"/>
      <c r="B145" s="264" t="s">
        <v>658</v>
      </c>
      <c r="C145" s="332"/>
      <c r="D145" s="70"/>
      <c r="E145" s="82"/>
      <c r="F145" s="83"/>
      <c r="G145" s="265">
        <f>SUM(G140:G141)*G142*G143*G144</f>
        <v>694.16978400000005</v>
      </c>
    </row>
    <row r="146" spans="1:13" s="69" customFormat="1" ht="23.25" customHeight="1" outlineLevel="1" x14ac:dyDescent="0.25">
      <c r="A146" s="66" t="s">
        <v>1300</v>
      </c>
      <c r="B146" s="67" t="s">
        <v>719</v>
      </c>
      <c r="C146" s="331"/>
      <c r="D146" s="67"/>
      <c r="E146" s="67"/>
      <c r="F146" s="67"/>
      <c r="G146" s="67"/>
    </row>
    <row r="147" spans="1:13" s="69" customFormat="1" ht="46.5" customHeight="1" outlineLevel="1" x14ac:dyDescent="0.25">
      <c r="A147" s="70"/>
      <c r="B147" s="71" t="s">
        <v>713</v>
      </c>
      <c r="C147" s="331" t="s">
        <v>715</v>
      </c>
      <c r="D147" s="73" t="s">
        <v>714</v>
      </c>
      <c r="E147" s="74">
        <v>1000</v>
      </c>
      <c r="F147" s="75">
        <v>23.16</v>
      </c>
      <c r="G147" s="75">
        <f>E147*F147</f>
        <v>23160</v>
      </c>
      <c r="H147" s="69">
        <v>1000</v>
      </c>
      <c r="I147" s="69" t="s">
        <v>1298</v>
      </c>
    </row>
    <row r="148" spans="1:13" s="89" customFormat="1" ht="51" outlineLevel="1" x14ac:dyDescent="0.2">
      <c r="A148" s="84"/>
      <c r="B148" s="85" t="s">
        <v>405</v>
      </c>
      <c r="C148" s="84" t="s">
        <v>716</v>
      </c>
      <c r="D148" s="86"/>
      <c r="E148" s="86"/>
      <c r="F148" s="87"/>
      <c r="G148" s="88">
        <v>0.83</v>
      </c>
    </row>
    <row r="149" spans="1:13" s="89" customFormat="1" ht="49.5" customHeight="1" outlineLevel="1" x14ac:dyDescent="0.2">
      <c r="A149" s="84"/>
      <c r="B149" s="85" t="s">
        <v>488</v>
      </c>
      <c r="C149" s="84" t="s">
        <v>717</v>
      </c>
      <c r="D149" s="86"/>
      <c r="E149" s="86"/>
      <c r="F149" s="87"/>
      <c r="G149" s="88">
        <v>0.99</v>
      </c>
    </row>
    <row r="150" spans="1:13" s="89" customFormat="1" ht="25.5" outlineLevel="1" x14ac:dyDescent="0.2">
      <c r="A150" s="84"/>
      <c r="B150" s="85" t="s">
        <v>409</v>
      </c>
      <c r="C150" s="84" t="s">
        <v>718</v>
      </c>
      <c r="D150" s="86"/>
      <c r="E150" s="86"/>
      <c r="F150" s="87"/>
      <c r="G150" s="88">
        <v>1.03</v>
      </c>
    </row>
    <row r="151" spans="1:13" s="69" customFormat="1" ht="22.5" customHeight="1" outlineLevel="1" x14ac:dyDescent="0.25">
      <c r="A151" s="70"/>
      <c r="B151" s="264" t="s">
        <v>1302</v>
      </c>
      <c r="C151" s="332"/>
      <c r="D151" s="70"/>
      <c r="E151" s="82"/>
      <c r="F151" s="83"/>
      <c r="G151" s="265">
        <f>G147*G148*G149*G150</f>
        <v>19601.489160000001</v>
      </c>
    </row>
    <row r="152" spans="1:13" s="69" customFormat="1" ht="22.5" customHeight="1" x14ac:dyDescent="0.25">
      <c r="A152" s="267"/>
      <c r="B152" s="266" t="s">
        <v>1301</v>
      </c>
      <c r="C152" s="332"/>
      <c r="D152" s="70"/>
      <c r="E152" s="82"/>
      <c r="F152" s="83"/>
      <c r="G152" s="265">
        <f>G151+G145+G138+G132+G126+G120+G114+G108+G102+G96+G89+G83+G77</f>
        <v>294676.45360031998</v>
      </c>
      <c r="H152" s="299"/>
      <c r="I152" s="102"/>
    </row>
    <row r="153" spans="1:13" s="43" customFormat="1" ht="18" customHeight="1" x14ac:dyDescent="0.25">
      <c r="A153" s="1218" t="s">
        <v>105</v>
      </c>
      <c r="B153" s="1218"/>
      <c r="C153" s="1218"/>
      <c r="D153" s="1218"/>
      <c r="E153" s="1218"/>
      <c r="F153" s="1218"/>
      <c r="G153" s="1218"/>
      <c r="H153" s="52"/>
      <c r="I153" s="60"/>
      <c r="J153" s="60"/>
      <c r="K153" s="60"/>
      <c r="L153" s="61"/>
      <c r="M153" s="61"/>
    </row>
    <row r="154" spans="1:13" s="69" customFormat="1" ht="23.25" customHeight="1" outlineLevel="1" x14ac:dyDescent="0.25">
      <c r="A154" s="66" t="s">
        <v>365</v>
      </c>
      <c r="B154" s="67" t="s">
        <v>122</v>
      </c>
      <c r="C154" s="331"/>
      <c r="D154" s="67"/>
      <c r="E154" s="67"/>
      <c r="F154" s="67"/>
      <c r="G154" s="67"/>
    </row>
    <row r="155" spans="1:13" s="69" customFormat="1" ht="43.5" customHeight="1" outlineLevel="1" x14ac:dyDescent="0.25">
      <c r="A155" s="70"/>
      <c r="B155" s="71" t="s">
        <v>519</v>
      </c>
      <c r="C155" s="331" t="s">
        <v>518</v>
      </c>
      <c r="D155" s="73" t="s">
        <v>474</v>
      </c>
      <c r="E155" s="74">
        <f>2500*1/100</f>
        <v>25</v>
      </c>
      <c r="F155" s="75">
        <v>802.59</v>
      </c>
      <c r="G155" s="75">
        <f>E155*F155</f>
        <v>20064.75</v>
      </c>
      <c r="H155" s="69" t="s">
        <v>2384</v>
      </c>
    </row>
    <row r="156" spans="1:13" s="89" customFormat="1" ht="41.25" customHeight="1" outlineLevel="1" x14ac:dyDescent="0.2">
      <c r="A156" s="84"/>
      <c r="B156" s="85" t="s">
        <v>563</v>
      </c>
      <c r="C156" s="84" t="s">
        <v>562</v>
      </c>
      <c r="D156" s="86"/>
      <c r="E156" s="86"/>
      <c r="F156" s="87"/>
      <c r="G156" s="88">
        <v>1.04</v>
      </c>
    </row>
    <row r="157" spans="1:13" s="89" customFormat="1" ht="51" outlineLevel="1" x14ac:dyDescent="0.2">
      <c r="A157" s="84"/>
      <c r="B157" s="85" t="s">
        <v>405</v>
      </c>
      <c r="C157" s="84" t="s">
        <v>496</v>
      </c>
      <c r="D157" s="86"/>
      <c r="E157" s="86"/>
      <c r="F157" s="87"/>
      <c r="G157" s="88">
        <v>0.84</v>
      </c>
    </row>
    <row r="158" spans="1:13" s="89" customFormat="1" ht="49.5" customHeight="1" outlineLevel="1" x14ac:dyDescent="0.2">
      <c r="A158" s="84"/>
      <c r="B158" s="85" t="s">
        <v>478</v>
      </c>
      <c r="C158" s="84" t="s">
        <v>497</v>
      </c>
      <c r="D158" s="86"/>
      <c r="E158" s="86"/>
      <c r="F158" s="87"/>
      <c r="G158" s="88">
        <v>0.99</v>
      </c>
    </row>
    <row r="159" spans="1:13" s="89" customFormat="1" ht="12.75" outlineLevel="1" x14ac:dyDescent="0.2">
      <c r="A159" s="84"/>
      <c r="B159" s="85" t="s">
        <v>409</v>
      </c>
      <c r="C159" s="84" t="s">
        <v>498</v>
      </c>
      <c r="D159" s="86"/>
      <c r="E159" s="86"/>
      <c r="F159" s="87"/>
      <c r="G159" s="88">
        <v>1</v>
      </c>
    </row>
    <row r="160" spans="1:13" s="69" customFormat="1" ht="22.5" customHeight="1" outlineLevel="1" x14ac:dyDescent="0.25">
      <c r="A160" s="70"/>
      <c r="B160" s="264" t="s">
        <v>571</v>
      </c>
      <c r="C160" s="332"/>
      <c r="D160" s="70"/>
      <c r="E160" s="82"/>
      <c r="F160" s="83"/>
      <c r="G160" s="265">
        <f>G155*G156*G157*G158*G159</f>
        <v>17353.279943999998</v>
      </c>
    </row>
    <row r="161" spans="1:9" s="69" customFormat="1" ht="23.25" customHeight="1" outlineLevel="1" x14ac:dyDescent="0.25">
      <c r="A161" s="66" t="s">
        <v>479</v>
      </c>
      <c r="B161" s="67" t="s">
        <v>554</v>
      </c>
      <c r="C161" s="68"/>
      <c r="D161" s="67"/>
      <c r="E161" s="67"/>
      <c r="F161" s="67"/>
      <c r="G161" s="67"/>
    </row>
    <row r="162" spans="1:9" s="69" customFormat="1" ht="66.75" customHeight="1" outlineLevel="1" x14ac:dyDescent="0.25">
      <c r="A162" s="70"/>
      <c r="B162" s="71" t="s">
        <v>557</v>
      </c>
      <c r="C162" s="956" t="s">
        <v>553</v>
      </c>
      <c r="D162" s="73" t="s">
        <v>555</v>
      </c>
      <c r="E162" s="74">
        <v>18</v>
      </c>
      <c r="F162" s="75">
        <v>301.99</v>
      </c>
      <c r="G162" s="75">
        <f>E162*F162</f>
        <v>5435.82</v>
      </c>
    </row>
    <row r="163" spans="1:9" s="89" customFormat="1" ht="51" outlineLevel="1" x14ac:dyDescent="0.2">
      <c r="A163" s="84"/>
      <c r="B163" s="85" t="s">
        <v>405</v>
      </c>
      <c r="C163" s="84" t="s">
        <v>496</v>
      </c>
      <c r="D163" s="86"/>
      <c r="E163" s="86"/>
      <c r="F163" s="87"/>
      <c r="G163" s="88">
        <v>0.84</v>
      </c>
    </row>
    <row r="164" spans="1:9" s="89" customFormat="1" ht="49.5" customHeight="1" outlineLevel="1" x14ac:dyDescent="0.2">
      <c r="A164" s="84"/>
      <c r="B164" s="85" t="s">
        <v>488</v>
      </c>
      <c r="C164" s="84" t="s">
        <v>497</v>
      </c>
      <c r="D164" s="86"/>
      <c r="E164" s="86"/>
      <c r="F164" s="87"/>
      <c r="G164" s="88">
        <v>0.99</v>
      </c>
    </row>
    <row r="165" spans="1:9" s="89" customFormat="1" ht="12.75" outlineLevel="1" x14ac:dyDescent="0.2">
      <c r="A165" s="84"/>
      <c r="B165" s="85" t="s">
        <v>409</v>
      </c>
      <c r="C165" s="84" t="s">
        <v>498</v>
      </c>
      <c r="D165" s="86"/>
      <c r="E165" s="86"/>
      <c r="F165" s="87"/>
      <c r="G165" s="88">
        <v>1</v>
      </c>
    </row>
    <row r="166" spans="1:9" s="69" customFormat="1" ht="22.5" customHeight="1" outlineLevel="1" x14ac:dyDescent="0.25">
      <c r="A166" s="70"/>
      <c r="B166" s="264" t="s">
        <v>480</v>
      </c>
      <c r="C166" s="81"/>
      <c r="D166" s="70"/>
      <c r="E166" s="82"/>
      <c r="F166" s="83"/>
      <c r="G166" s="265">
        <f>G162*G163*G164*G165</f>
        <v>4520.4279119999992</v>
      </c>
    </row>
    <row r="167" spans="1:9" s="69" customFormat="1" ht="23.25" customHeight="1" outlineLevel="1" x14ac:dyDescent="0.25">
      <c r="A167" s="66" t="s">
        <v>481</v>
      </c>
      <c r="B167" s="67" t="s">
        <v>741</v>
      </c>
      <c r="C167" s="331"/>
      <c r="D167" s="67"/>
      <c r="E167" s="67"/>
      <c r="F167" s="67"/>
      <c r="G167" s="67"/>
    </row>
    <row r="168" spans="1:9" s="69" customFormat="1" ht="33" customHeight="1" outlineLevel="1" x14ac:dyDescent="0.25">
      <c r="A168" s="70"/>
      <c r="B168" s="71" t="s">
        <v>741</v>
      </c>
      <c r="C168" s="331" t="s">
        <v>742</v>
      </c>
      <c r="D168" s="73" t="s">
        <v>474</v>
      </c>
      <c r="E168" s="74">
        <v>18</v>
      </c>
      <c r="F168" s="75">
        <v>361.66</v>
      </c>
      <c r="G168" s="75">
        <f>E168*F168</f>
        <v>6509.88</v>
      </c>
    </row>
    <row r="169" spans="1:9" s="89" customFormat="1" ht="41.25" customHeight="1" outlineLevel="1" x14ac:dyDescent="0.2">
      <c r="A169" s="84"/>
      <c r="B169" s="85" t="s">
        <v>405</v>
      </c>
      <c r="C169" s="84" t="s">
        <v>743</v>
      </c>
      <c r="D169" s="86"/>
      <c r="E169" s="86"/>
      <c r="F169" s="87"/>
      <c r="G169" s="88">
        <v>0.92</v>
      </c>
    </row>
    <row r="170" spans="1:9" s="89" customFormat="1" ht="38.25" outlineLevel="1" x14ac:dyDescent="0.2">
      <c r="A170" s="84"/>
      <c r="B170" s="85" t="s">
        <v>478</v>
      </c>
      <c r="C170" s="84" t="s">
        <v>744</v>
      </c>
      <c r="D170" s="86"/>
      <c r="E170" s="86"/>
      <c r="F170" s="87"/>
      <c r="G170" s="88">
        <v>1</v>
      </c>
    </row>
    <row r="171" spans="1:9" s="89" customFormat="1" ht="12.75" outlineLevel="1" x14ac:dyDescent="0.2">
      <c r="A171" s="84"/>
      <c r="B171" s="85" t="s">
        <v>409</v>
      </c>
      <c r="C171" s="84" t="s">
        <v>605</v>
      </c>
      <c r="D171" s="86"/>
      <c r="E171" s="86"/>
      <c r="F171" s="87"/>
      <c r="G171" s="88">
        <v>1</v>
      </c>
    </row>
    <row r="172" spans="1:9" s="69" customFormat="1" ht="22.5" customHeight="1" outlineLevel="1" x14ac:dyDescent="0.25">
      <c r="A172" s="70"/>
      <c r="B172" s="264" t="s">
        <v>520</v>
      </c>
      <c r="C172" s="332"/>
      <c r="D172" s="70"/>
      <c r="E172" s="82"/>
      <c r="F172" s="83"/>
      <c r="G172" s="265">
        <f>G168*G169*G170*G171</f>
        <v>5989.0896000000002</v>
      </c>
    </row>
    <row r="173" spans="1:9" s="69" customFormat="1" ht="23.25" customHeight="1" outlineLevel="1" x14ac:dyDescent="0.25">
      <c r="A173" s="66" t="s">
        <v>483</v>
      </c>
      <c r="B173" s="67" t="s">
        <v>472</v>
      </c>
      <c r="C173" s="331"/>
      <c r="D173" s="67"/>
      <c r="E173" s="67"/>
      <c r="F173" s="67"/>
      <c r="G173" s="67"/>
    </row>
    <row r="174" spans="1:9" s="69" customFormat="1" ht="47.25" customHeight="1" outlineLevel="1" x14ac:dyDescent="0.25">
      <c r="A174" s="70"/>
      <c r="B174" s="71" t="s">
        <v>473</v>
      </c>
      <c r="C174" s="331" t="s">
        <v>495</v>
      </c>
      <c r="D174" s="73" t="s">
        <v>474</v>
      </c>
      <c r="E174" s="74">
        <f>H174*10000/100</f>
        <v>880</v>
      </c>
      <c r="F174" s="75">
        <v>20.29</v>
      </c>
      <c r="G174" s="75">
        <f>E174*F174</f>
        <v>17855.2</v>
      </c>
      <c r="H174" s="69">
        <v>8.8000000000000007</v>
      </c>
      <c r="I174" s="69" t="s">
        <v>0</v>
      </c>
    </row>
    <row r="175" spans="1:9" s="89" customFormat="1" ht="51" outlineLevel="1" x14ac:dyDescent="0.2">
      <c r="A175" s="84"/>
      <c r="B175" s="85" t="s">
        <v>405</v>
      </c>
      <c r="C175" s="84" t="s">
        <v>496</v>
      </c>
      <c r="D175" s="86"/>
      <c r="E175" s="86"/>
      <c r="F175" s="87"/>
      <c r="G175" s="88">
        <v>0.84</v>
      </c>
    </row>
    <row r="176" spans="1:9" s="89" customFormat="1" ht="49.5" customHeight="1" outlineLevel="1" x14ac:dyDescent="0.2">
      <c r="A176" s="84"/>
      <c r="B176" s="85" t="s">
        <v>478</v>
      </c>
      <c r="C176" s="84" t="s">
        <v>497</v>
      </c>
      <c r="D176" s="86"/>
      <c r="E176" s="86"/>
      <c r="F176" s="87"/>
      <c r="G176" s="88">
        <v>0.99</v>
      </c>
    </row>
    <row r="177" spans="1:15" s="89" customFormat="1" ht="12.75" outlineLevel="1" x14ac:dyDescent="0.2">
      <c r="A177" s="84"/>
      <c r="B177" s="85" t="s">
        <v>409</v>
      </c>
      <c r="C177" s="84" t="s">
        <v>498</v>
      </c>
      <c r="D177" s="86"/>
      <c r="E177" s="86"/>
      <c r="F177" s="87"/>
      <c r="G177" s="88">
        <v>1</v>
      </c>
    </row>
    <row r="178" spans="1:15" s="69" customFormat="1" ht="22.5" customHeight="1" outlineLevel="1" x14ac:dyDescent="0.25">
      <c r="A178" s="70"/>
      <c r="B178" s="264" t="s">
        <v>484</v>
      </c>
      <c r="C178" s="332"/>
      <c r="D178" s="70"/>
      <c r="E178" s="82"/>
      <c r="F178" s="83"/>
      <c r="G178" s="265">
        <f>G174*G175*G176*G177</f>
        <v>14848.384320000001</v>
      </c>
    </row>
    <row r="179" spans="1:15" s="69" customFormat="1" ht="23.25" customHeight="1" outlineLevel="1" x14ac:dyDescent="0.25">
      <c r="A179" s="66" t="s">
        <v>485</v>
      </c>
      <c r="B179" s="67" t="s">
        <v>98</v>
      </c>
      <c r="C179" s="331"/>
      <c r="D179" s="67"/>
      <c r="E179" s="67"/>
      <c r="F179" s="67"/>
      <c r="G179" s="67"/>
    </row>
    <row r="180" spans="1:15" s="69" customFormat="1" ht="57" customHeight="1" outlineLevel="1" x14ac:dyDescent="0.25">
      <c r="A180" s="70"/>
      <c r="B180" s="71" t="s">
        <v>750</v>
      </c>
      <c r="C180" s="331" t="s">
        <v>745</v>
      </c>
      <c r="D180" s="73" t="s">
        <v>708</v>
      </c>
      <c r="E180" s="74">
        <v>50</v>
      </c>
      <c r="F180" s="75">
        <v>339.78</v>
      </c>
      <c r="G180" s="75">
        <f>E180*F180</f>
        <v>16989</v>
      </c>
      <c r="H180" s="69" t="e">
        <f>#REF!</f>
        <v>#REF!</v>
      </c>
      <c r="I180" s="69" t="s">
        <v>746</v>
      </c>
    </row>
    <row r="181" spans="1:15" s="89" customFormat="1" ht="51" outlineLevel="1" x14ac:dyDescent="0.2">
      <c r="A181" s="84"/>
      <c r="B181" s="85" t="s">
        <v>405</v>
      </c>
      <c r="C181" s="84" t="s">
        <v>749</v>
      </c>
      <c r="D181" s="86"/>
      <c r="E181" s="86"/>
      <c r="F181" s="87"/>
      <c r="G181" s="88">
        <v>0.87</v>
      </c>
    </row>
    <row r="182" spans="1:15" s="89" customFormat="1" ht="46.5" customHeight="1" outlineLevel="1" x14ac:dyDescent="0.2">
      <c r="A182" s="84"/>
      <c r="B182" s="85" t="s">
        <v>747</v>
      </c>
      <c r="C182" s="84" t="s">
        <v>748</v>
      </c>
      <c r="D182" s="86"/>
      <c r="E182" s="86"/>
      <c r="F182" s="87"/>
      <c r="G182" s="88">
        <v>1.1399999999999999</v>
      </c>
    </row>
    <row r="183" spans="1:15" s="89" customFormat="1" ht="20.25" customHeight="1" outlineLevel="1" x14ac:dyDescent="0.2">
      <c r="A183" s="84"/>
      <c r="B183" s="85" t="s">
        <v>409</v>
      </c>
      <c r="C183" s="84" t="s">
        <v>751</v>
      </c>
      <c r="D183" s="86"/>
      <c r="E183" s="86"/>
      <c r="F183" s="87"/>
      <c r="G183" s="88">
        <v>1</v>
      </c>
    </row>
    <row r="184" spans="1:15" s="89" customFormat="1" ht="15.75" outlineLevel="1" x14ac:dyDescent="0.2">
      <c r="A184" s="84"/>
      <c r="B184" s="264" t="s">
        <v>490</v>
      </c>
      <c r="C184" s="333"/>
      <c r="D184" s="86"/>
      <c r="E184" s="86"/>
      <c r="F184" s="87"/>
      <c r="G184" s="265">
        <f>SUM(G180*G181*G182*G183)</f>
        <v>16849.690199999997</v>
      </c>
    </row>
    <row r="185" spans="1:15" s="69" customFormat="1" ht="23.25" customHeight="1" outlineLevel="1" x14ac:dyDescent="0.25">
      <c r="A185" s="66" t="s">
        <v>523</v>
      </c>
      <c r="B185" s="67" t="s">
        <v>476</v>
      </c>
      <c r="C185" s="331"/>
      <c r="D185" s="67"/>
      <c r="E185" s="67"/>
      <c r="F185" s="67"/>
      <c r="G185" s="67"/>
      <c r="I185" s="69" t="s">
        <v>618</v>
      </c>
    </row>
    <row r="186" spans="1:15" s="69" customFormat="1" ht="43.5" customHeight="1" outlineLevel="1" x14ac:dyDescent="0.2">
      <c r="A186" s="70"/>
      <c r="B186" s="71" t="s">
        <v>477</v>
      </c>
      <c r="C186" s="331" t="s">
        <v>499</v>
      </c>
      <c r="D186" s="73" t="s">
        <v>474</v>
      </c>
      <c r="E186" s="955"/>
      <c r="F186" s="75">
        <v>196.55</v>
      </c>
      <c r="G186" s="75">
        <f>E186*F186</f>
        <v>0</v>
      </c>
      <c r="H186" s="69" t="e">
        <f>#REF!</f>
        <v>#REF!</v>
      </c>
      <c r="I186" s="69" t="s">
        <v>0</v>
      </c>
      <c r="O186" s="89"/>
    </row>
    <row r="187" spans="1:15" s="89" customFormat="1" ht="51" outlineLevel="1" x14ac:dyDescent="0.2">
      <c r="A187" s="84"/>
      <c r="B187" s="85" t="s">
        <v>405</v>
      </c>
      <c r="C187" s="84" t="s">
        <v>496</v>
      </c>
      <c r="D187" s="86"/>
      <c r="E187" s="86"/>
      <c r="F187" s="87"/>
      <c r="G187" s="88">
        <v>0.84</v>
      </c>
      <c r="N187" s="69"/>
    </row>
    <row r="188" spans="1:15" s="89" customFormat="1" ht="42.75" customHeight="1" outlineLevel="1" x14ac:dyDescent="0.2">
      <c r="A188" s="84"/>
      <c r="B188" s="85" t="s">
        <v>478</v>
      </c>
      <c r="C188" s="84" t="s">
        <v>497</v>
      </c>
      <c r="D188" s="86"/>
      <c r="E188" s="86"/>
      <c r="F188" s="87"/>
      <c r="G188" s="88">
        <v>0.99</v>
      </c>
    </row>
    <row r="189" spans="1:15" s="89" customFormat="1" ht="12.75" outlineLevel="1" x14ac:dyDescent="0.2">
      <c r="A189" s="84"/>
      <c r="B189" s="85" t="s">
        <v>409</v>
      </c>
      <c r="C189" s="84" t="s">
        <v>498</v>
      </c>
      <c r="D189" s="86"/>
      <c r="E189" s="86"/>
      <c r="F189" s="87"/>
      <c r="G189" s="88">
        <v>1</v>
      </c>
    </row>
    <row r="190" spans="1:15" s="69" customFormat="1" ht="22.5" customHeight="1" outlineLevel="1" x14ac:dyDescent="0.25">
      <c r="A190" s="70"/>
      <c r="B190" s="264" t="s">
        <v>572</v>
      </c>
      <c r="C190" s="332"/>
      <c r="D190" s="70"/>
      <c r="E190" s="82"/>
      <c r="F190" s="83"/>
      <c r="G190" s="265">
        <f>G186*G187*G188*G189</f>
        <v>0</v>
      </c>
    </row>
    <row r="191" spans="1:15" s="69" customFormat="1" ht="23.25" customHeight="1" outlineLevel="1" x14ac:dyDescent="0.25">
      <c r="A191" s="66" t="s">
        <v>573</v>
      </c>
      <c r="B191" s="67" t="s">
        <v>603</v>
      </c>
      <c r="C191" s="331"/>
      <c r="D191" s="67"/>
      <c r="E191" s="67"/>
      <c r="F191" s="67"/>
      <c r="G191" s="67"/>
      <c r="M191" s="299"/>
    </row>
    <row r="192" spans="1:15" s="69" customFormat="1" ht="59.25" customHeight="1" outlineLevel="1" x14ac:dyDescent="0.25">
      <c r="A192" s="70"/>
      <c r="B192" s="71" t="s">
        <v>671</v>
      </c>
      <c r="C192" s="331" t="s">
        <v>602</v>
      </c>
      <c r="D192" s="73" t="s">
        <v>600</v>
      </c>
      <c r="E192" s="74">
        <v>1</v>
      </c>
      <c r="F192" s="75">
        <v>22732.5</v>
      </c>
      <c r="G192" s="75">
        <f>E192*F192</f>
        <v>22732.5</v>
      </c>
    </row>
    <row r="193" spans="1:13" s="89" customFormat="1" ht="51" outlineLevel="1" x14ac:dyDescent="0.2">
      <c r="A193" s="84"/>
      <c r="B193" s="85" t="s">
        <v>405</v>
      </c>
      <c r="C193" s="84" t="s">
        <v>509</v>
      </c>
      <c r="D193" s="86"/>
      <c r="E193" s="86"/>
      <c r="F193" s="87"/>
      <c r="G193" s="88">
        <v>0.92</v>
      </c>
      <c r="M193" s="300"/>
    </row>
    <row r="194" spans="1:13" s="89" customFormat="1" ht="49.5" customHeight="1" outlineLevel="1" x14ac:dyDescent="0.2">
      <c r="A194" s="84"/>
      <c r="B194" s="85" t="s">
        <v>478</v>
      </c>
      <c r="C194" s="84" t="s">
        <v>604</v>
      </c>
      <c r="D194" s="86"/>
      <c r="E194" s="86"/>
      <c r="F194" s="87"/>
      <c r="G194" s="88">
        <v>0.98</v>
      </c>
    </row>
    <row r="195" spans="1:13" s="89" customFormat="1" ht="12.75" outlineLevel="1" x14ac:dyDescent="0.2">
      <c r="A195" s="84"/>
      <c r="B195" s="85" t="s">
        <v>409</v>
      </c>
      <c r="C195" s="84" t="s">
        <v>605</v>
      </c>
      <c r="D195" s="86"/>
      <c r="E195" s="86"/>
      <c r="F195" s="87"/>
      <c r="G195" s="88">
        <v>1</v>
      </c>
    </row>
    <row r="196" spans="1:13" s="69" customFormat="1" ht="22.5" customHeight="1" outlineLevel="1" x14ac:dyDescent="0.25">
      <c r="A196" s="70"/>
      <c r="B196" s="264" t="s">
        <v>574</v>
      </c>
      <c r="C196" s="332"/>
      <c r="D196" s="70"/>
      <c r="E196" s="82"/>
      <c r="F196" s="83"/>
      <c r="G196" s="265">
        <f>G192*G193*G194*G195</f>
        <v>20495.621999999999</v>
      </c>
    </row>
    <row r="197" spans="1:13" s="69" customFormat="1" ht="23.25" customHeight="1" outlineLevel="1" x14ac:dyDescent="0.25">
      <c r="A197" s="66" t="s">
        <v>577</v>
      </c>
      <c r="B197" s="67" t="s">
        <v>752</v>
      </c>
      <c r="C197" s="331"/>
      <c r="D197" s="67"/>
      <c r="E197" s="67"/>
      <c r="F197" s="67"/>
      <c r="G197" s="67"/>
      <c r="M197" s="299"/>
    </row>
    <row r="198" spans="1:13" s="69" customFormat="1" ht="75.75" customHeight="1" outlineLevel="1" x14ac:dyDescent="0.25">
      <c r="A198" s="70"/>
      <c r="B198" s="71" t="s">
        <v>815</v>
      </c>
      <c r="C198" s="331" t="s">
        <v>753</v>
      </c>
      <c r="D198" s="73" t="s">
        <v>754</v>
      </c>
      <c r="E198" s="74">
        <v>3</v>
      </c>
      <c r="F198" s="75">
        <v>1059.26</v>
      </c>
      <c r="G198" s="75">
        <f>E198*F198</f>
        <v>3177.7799999999997</v>
      </c>
    </row>
    <row r="199" spans="1:13" s="89" customFormat="1" ht="51" outlineLevel="1" x14ac:dyDescent="0.2">
      <c r="A199" s="84"/>
      <c r="B199" s="85" t="s">
        <v>405</v>
      </c>
      <c r="C199" s="84" t="s">
        <v>509</v>
      </c>
      <c r="D199" s="86"/>
      <c r="E199" s="86"/>
      <c r="F199" s="87"/>
      <c r="G199" s="88">
        <v>0.92</v>
      </c>
      <c r="M199" s="300"/>
    </row>
    <row r="200" spans="1:13" s="89" customFormat="1" ht="41.25" customHeight="1" outlineLevel="1" x14ac:dyDescent="0.2">
      <c r="A200" s="84"/>
      <c r="B200" s="85" t="s">
        <v>478</v>
      </c>
      <c r="C200" s="84" t="s">
        <v>604</v>
      </c>
      <c r="D200" s="86"/>
      <c r="E200" s="86"/>
      <c r="F200" s="87"/>
      <c r="G200" s="88">
        <v>0.98</v>
      </c>
    </row>
    <row r="201" spans="1:13" s="89" customFormat="1" ht="12.75" outlineLevel="1" x14ac:dyDescent="0.2">
      <c r="A201" s="84"/>
      <c r="B201" s="85" t="s">
        <v>409</v>
      </c>
      <c r="C201" s="84" t="s">
        <v>605</v>
      </c>
      <c r="D201" s="86"/>
      <c r="E201" s="86"/>
      <c r="F201" s="87"/>
      <c r="G201" s="88">
        <v>1</v>
      </c>
    </row>
    <row r="202" spans="1:13" s="69" customFormat="1" ht="22.5" customHeight="1" outlineLevel="1" x14ac:dyDescent="0.25">
      <c r="A202" s="70"/>
      <c r="B202" s="264" t="s">
        <v>580</v>
      </c>
      <c r="C202" s="332"/>
      <c r="D202" s="70"/>
      <c r="E202" s="82"/>
      <c r="F202" s="83"/>
      <c r="G202" s="265">
        <f>G198*G199*G200*G201</f>
        <v>2865.086448</v>
      </c>
    </row>
    <row r="203" spans="1:13" s="69" customFormat="1" ht="23.25" customHeight="1" outlineLevel="1" x14ac:dyDescent="0.25">
      <c r="A203" s="66" t="s">
        <v>581</v>
      </c>
      <c r="B203" s="67" t="s">
        <v>538</v>
      </c>
      <c r="C203" s="68"/>
      <c r="D203" s="67"/>
      <c r="E203" s="67"/>
      <c r="F203" s="67"/>
      <c r="G203" s="67"/>
    </row>
    <row r="204" spans="1:13" s="69" customFormat="1" ht="33.75" customHeight="1" outlineLevel="1" x14ac:dyDescent="0.25">
      <c r="A204" s="70"/>
      <c r="B204" s="71" t="s">
        <v>541</v>
      </c>
      <c r="C204" s="956" t="s">
        <v>542</v>
      </c>
      <c r="D204" s="73" t="s">
        <v>540</v>
      </c>
      <c r="E204" s="74">
        <v>150</v>
      </c>
      <c r="F204" s="75">
        <v>97.67</v>
      </c>
      <c r="G204" s="75">
        <f>E204*F204</f>
        <v>14650.5</v>
      </c>
    </row>
    <row r="205" spans="1:13" s="89" customFormat="1" ht="51" outlineLevel="1" x14ac:dyDescent="0.2">
      <c r="A205" s="84"/>
      <c r="B205" s="85" t="s">
        <v>405</v>
      </c>
      <c r="C205" s="84" t="s">
        <v>539</v>
      </c>
      <c r="D205" s="86"/>
      <c r="E205" s="86"/>
      <c r="F205" s="87"/>
      <c r="G205" s="88">
        <v>0.82</v>
      </c>
    </row>
    <row r="206" spans="1:13" s="89" customFormat="1" ht="38.25" customHeight="1" outlineLevel="1" x14ac:dyDescent="0.2">
      <c r="A206" s="84"/>
      <c r="B206" s="85" t="s">
        <v>478</v>
      </c>
      <c r="C206" s="84" t="s">
        <v>543</v>
      </c>
      <c r="D206" s="86"/>
      <c r="E206" s="86"/>
      <c r="F206" s="87"/>
      <c r="G206" s="88">
        <v>0.99</v>
      </c>
    </row>
    <row r="207" spans="1:13" s="89" customFormat="1" ht="12.75" outlineLevel="1" x14ac:dyDescent="0.2">
      <c r="A207" s="84"/>
      <c r="B207" s="85"/>
      <c r="C207" s="84"/>
      <c r="D207" s="86"/>
      <c r="E207" s="86"/>
      <c r="F207" s="87"/>
      <c r="G207" s="88"/>
    </row>
    <row r="208" spans="1:13" s="69" customFormat="1" ht="22.5" customHeight="1" outlineLevel="1" x14ac:dyDescent="0.25">
      <c r="A208" s="70"/>
      <c r="B208" s="264" t="s">
        <v>578</v>
      </c>
      <c r="C208" s="81"/>
      <c r="D208" s="70"/>
      <c r="E208" s="82"/>
      <c r="F208" s="83"/>
      <c r="G208" s="265">
        <f>G204*G205*G206</f>
        <v>11893.275900000001</v>
      </c>
    </row>
    <row r="209" spans="1:9" s="69" customFormat="1" ht="23.25" customHeight="1" outlineLevel="1" x14ac:dyDescent="0.25">
      <c r="A209" s="66" t="s">
        <v>579</v>
      </c>
      <c r="B209" s="67" t="s">
        <v>706</v>
      </c>
      <c r="C209" s="331"/>
      <c r="D209" s="67"/>
      <c r="E209" s="67"/>
      <c r="F209" s="67"/>
      <c r="G209" s="67"/>
    </row>
    <row r="210" spans="1:9" s="69" customFormat="1" ht="61.5" customHeight="1" outlineLevel="1" x14ac:dyDescent="0.25">
      <c r="A210" s="70"/>
      <c r="B210" s="71" t="s">
        <v>755</v>
      </c>
      <c r="C210" s="331" t="s">
        <v>709</v>
      </c>
      <c r="D210" s="73" t="s">
        <v>708</v>
      </c>
      <c r="E210" s="74">
        <v>2</v>
      </c>
      <c r="F210" s="75">
        <v>232.33</v>
      </c>
      <c r="G210" s="75">
        <f>E210*F210</f>
        <v>464.66</v>
      </c>
      <c r="H210" s="69" t="e">
        <f>#REF!</f>
        <v>#REF!</v>
      </c>
      <c r="I210" s="52"/>
    </row>
    <row r="211" spans="1:9" s="69" customFormat="1" ht="61.5" customHeight="1" outlineLevel="1" x14ac:dyDescent="0.25">
      <c r="A211" s="70"/>
      <c r="B211" s="71" t="s">
        <v>756</v>
      </c>
      <c r="C211" s="84" t="s">
        <v>757</v>
      </c>
      <c r="D211" s="73" t="s">
        <v>758</v>
      </c>
      <c r="E211" s="954">
        <v>6</v>
      </c>
      <c r="F211" s="75">
        <v>61.68</v>
      </c>
      <c r="G211" s="75">
        <f>E211*F211</f>
        <v>370.08</v>
      </c>
      <c r="H211" s="519" t="s">
        <v>1307</v>
      </c>
    </row>
    <row r="212" spans="1:9" s="89" customFormat="1" ht="51" outlineLevel="1" x14ac:dyDescent="0.2">
      <c r="A212" s="84"/>
      <c r="B212" s="85" t="s">
        <v>405</v>
      </c>
      <c r="C212" s="84" t="s">
        <v>710</v>
      </c>
      <c r="D212" s="86"/>
      <c r="E212" s="86"/>
      <c r="F212" s="87"/>
      <c r="G212" s="88">
        <v>0.84</v>
      </c>
    </row>
    <row r="213" spans="1:9" s="89" customFormat="1" ht="49.5" customHeight="1" outlineLevel="1" x14ac:dyDescent="0.2">
      <c r="A213" s="84"/>
      <c r="B213" s="85" t="s">
        <v>488</v>
      </c>
      <c r="C213" s="84" t="s">
        <v>711</v>
      </c>
      <c r="D213" s="86"/>
      <c r="E213" s="86"/>
      <c r="F213" s="87"/>
      <c r="G213" s="88">
        <v>0.99</v>
      </c>
    </row>
    <row r="214" spans="1:9" s="89" customFormat="1" ht="12.75" outlineLevel="1" x14ac:dyDescent="0.2">
      <c r="A214" s="84"/>
      <c r="B214" s="85" t="s">
        <v>409</v>
      </c>
      <c r="C214" s="84" t="s">
        <v>712</v>
      </c>
      <c r="D214" s="86"/>
      <c r="E214" s="86"/>
      <c r="F214" s="87"/>
      <c r="G214" s="88">
        <v>1</v>
      </c>
    </row>
    <row r="215" spans="1:9" s="69" customFormat="1" ht="22.5" customHeight="1" outlineLevel="1" x14ac:dyDescent="0.25">
      <c r="A215" s="70"/>
      <c r="B215" s="264" t="s">
        <v>583</v>
      </c>
      <c r="C215" s="332"/>
      <c r="D215" s="70"/>
      <c r="E215" s="82"/>
      <c r="F215" s="83"/>
      <c r="G215" s="265">
        <f>SUM(G210:G211)*G212*G213*G214</f>
        <v>694.16978400000005</v>
      </c>
    </row>
    <row r="216" spans="1:9" s="69" customFormat="1" ht="23.25" customHeight="1" outlineLevel="1" x14ac:dyDescent="0.25">
      <c r="A216" s="66" t="s">
        <v>586</v>
      </c>
      <c r="B216" s="67" t="s">
        <v>719</v>
      </c>
      <c r="C216" s="331"/>
      <c r="D216" s="67"/>
      <c r="E216" s="67"/>
      <c r="F216" s="67"/>
      <c r="G216" s="67"/>
    </row>
    <row r="217" spans="1:9" s="69" customFormat="1" ht="46.5" customHeight="1" outlineLevel="1" x14ac:dyDescent="0.25">
      <c r="A217" s="70"/>
      <c r="B217" s="71" t="s">
        <v>713</v>
      </c>
      <c r="C217" s="331" t="s">
        <v>715</v>
      </c>
      <c r="D217" s="73" t="s">
        <v>714</v>
      </c>
      <c r="E217" s="74">
        <v>1800</v>
      </c>
      <c r="F217" s="75">
        <v>23.16</v>
      </c>
      <c r="G217" s="75">
        <f>E217*F217</f>
        <v>41688</v>
      </c>
      <c r="H217" s="69">
        <v>18000</v>
      </c>
    </row>
    <row r="218" spans="1:9" s="89" customFormat="1" ht="51" outlineLevel="1" x14ac:dyDescent="0.2">
      <c r="A218" s="84"/>
      <c r="B218" s="85" t="s">
        <v>405</v>
      </c>
      <c r="C218" s="84" t="s">
        <v>716</v>
      </c>
      <c r="D218" s="86"/>
      <c r="E218" s="86"/>
      <c r="F218" s="87"/>
      <c r="G218" s="88">
        <v>0.83</v>
      </c>
    </row>
    <row r="219" spans="1:9" s="89" customFormat="1" ht="49.5" customHeight="1" outlineLevel="1" x14ac:dyDescent="0.2">
      <c r="A219" s="84"/>
      <c r="B219" s="85" t="s">
        <v>488</v>
      </c>
      <c r="C219" s="84" t="s">
        <v>717</v>
      </c>
      <c r="D219" s="86"/>
      <c r="E219" s="86"/>
      <c r="F219" s="87"/>
      <c r="G219" s="88">
        <v>0.99</v>
      </c>
    </row>
    <row r="220" spans="1:9" s="89" customFormat="1" ht="25.5" outlineLevel="1" x14ac:dyDescent="0.2">
      <c r="A220" s="84"/>
      <c r="B220" s="85" t="s">
        <v>409</v>
      </c>
      <c r="C220" s="84" t="s">
        <v>718</v>
      </c>
      <c r="D220" s="86"/>
      <c r="E220" s="86"/>
      <c r="F220" s="87"/>
      <c r="G220" s="88">
        <v>1.03</v>
      </c>
    </row>
    <row r="221" spans="1:9" s="69" customFormat="1" ht="22.5" customHeight="1" outlineLevel="1" x14ac:dyDescent="0.25">
      <c r="A221" s="70"/>
      <c r="B221" s="264" t="s">
        <v>587</v>
      </c>
      <c r="C221" s="332"/>
      <c r="D221" s="70"/>
      <c r="E221" s="82"/>
      <c r="F221" s="83"/>
      <c r="G221" s="265">
        <f>G217*G218*G219*G220</f>
        <v>35282.680488000005</v>
      </c>
    </row>
    <row r="222" spans="1:9" s="69" customFormat="1" ht="23.25" customHeight="1" outlineLevel="1" x14ac:dyDescent="0.25">
      <c r="A222" s="66" t="s">
        <v>657</v>
      </c>
      <c r="B222" s="67" t="s">
        <v>2374</v>
      </c>
      <c r="C222" s="331"/>
      <c r="D222" s="67"/>
      <c r="E222" s="67"/>
      <c r="F222" s="67"/>
      <c r="G222" s="67"/>
    </row>
    <row r="223" spans="1:9" s="69" customFormat="1" ht="46.5" customHeight="1" outlineLevel="1" x14ac:dyDescent="0.25">
      <c r="A223" s="70"/>
      <c r="B223" s="71" t="s">
        <v>2381</v>
      </c>
      <c r="C223" s="331" t="s">
        <v>2382</v>
      </c>
      <c r="D223" s="73" t="s">
        <v>714</v>
      </c>
      <c r="E223" s="74">
        <v>260</v>
      </c>
      <c r="F223" s="75">
        <v>455.16</v>
      </c>
      <c r="G223" s="822">
        <f>E223*F223</f>
        <v>118341.6</v>
      </c>
    </row>
    <row r="224" spans="1:9" s="89" customFormat="1" ht="12.75" outlineLevel="1" x14ac:dyDescent="0.2">
      <c r="A224" s="84"/>
      <c r="B224" s="85"/>
      <c r="C224" s="84"/>
      <c r="D224" s="86"/>
      <c r="E224" s="86"/>
      <c r="F224" s="87"/>
      <c r="G224" s="88"/>
    </row>
    <row r="225" spans="1:13" s="89" customFormat="1" ht="51" outlineLevel="1" x14ac:dyDescent="0.2">
      <c r="A225" s="84"/>
      <c r="B225" s="85" t="s">
        <v>405</v>
      </c>
      <c r="C225" s="84" t="s">
        <v>2378</v>
      </c>
      <c r="D225" s="86"/>
      <c r="E225" s="86"/>
      <c r="F225" s="87"/>
      <c r="G225" s="88">
        <v>0.84</v>
      </c>
    </row>
    <row r="226" spans="1:13" s="89" customFormat="1" ht="49.5" customHeight="1" outlineLevel="1" x14ac:dyDescent="0.2">
      <c r="A226" s="84"/>
      <c r="B226" s="85" t="s">
        <v>488</v>
      </c>
      <c r="C226" s="84" t="s">
        <v>2379</v>
      </c>
      <c r="D226" s="86"/>
      <c r="E226" s="86"/>
      <c r="F226" s="87"/>
      <c r="G226" s="88">
        <v>0.99</v>
      </c>
    </row>
    <row r="227" spans="1:13" s="69" customFormat="1" ht="22.5" customHeight="1" outlineLevel="1" x14ac:dyDescent="0.25">
      <c r="A227" s="70"/>
      <c r="B227" s="264" t="s">
        <v>658</v>
      </c>
      <c r="C227" s="332"/>
      <c r="D227" s="70"/>
      <c r="E227" s="82"/>
      <c r="F227" s="83"/>
      <c r="G227" s="265">
        <f>G223*G225*G226</f>
        <v>98412.874559999997</v>
      </c>
    </row>
    <row r="228" spans="1:13" s="69" customFormat="1" ht="22.5" customHeight="1" x14ac:dyDescent="0.25">
      <c r="A228" s="267"/>
      <c r="B228" s="266" t="s">
        <v>1299</v>
      </c>
      <c r="C228" s="552"/>
      <c r="D228" s="267"/>
      <c r="E228" s="553"/>
      <c r="F228" s="554"/>
      <c r="G228" s="957">
        <f>G227+G221+G215+G208+G202+G196+G190+G184+G178+G172+G166+G160</f>
        <v>229204.58115600003</v>
      </c>
      <c r="H228" s="299">
        <f>G228*G724*G725*G726</f>
        <v>267860.64338534273</v>
      </c>
      <c r="I228" s="102"/>
    </row>
    <row r="229" spans="1:13" s="43" customFormat="1" ht="18" customHeight="1" x14ac:dyDescent="0.25">
      <c r="A229" s="1224" t="s">
        <v>119</v>
      </c>
      <c r="B229" s="1224"/>
      <c r="C229" s="1224"/>
      <c r="D229" s="1224"/>
      <c r="E229" s="1224"/>
      <c r="F229" s="1224"/>
      <c r="G229" s="1224"/>
      <c r="H229" s="52"/>
      <c r="I229" s="60"/>
      <c r="J229" s="60"/>
      <c r="K229" s="60"/>
      <c r="L229" s="61"/>
      <c r="M229" s="61"/>
    </row>
    <row r="230" spans="1:13" s="69" customFormat="1" ht="23.25" customHeight="1" outlineLevel="1" x14ac:dyDescent="0.25">
      <c r="A230" s="66" t="s">
        <v>365</v>
      </c>
      <c r="B230" s="67" t="s">
        <v>122</v>
      </c>
      <c r="C230" s="331"/>
      <c r="D230" s="67"/>
      <c r="E230" s="67"/>
      <c r="F230" s="67"/>
      <c r="G230" s="67"/>
    </row>
    <row r="231" spans="1:13" s="69" customFormat="1" ht="43.5" customHeight="1" outlineLevel="1" x14ac:dyDescent="0.25">
      <c r="A231" s="70"/>
      <c r="B231" s="71" t="s">
        <v>519</v>
      </c>
      <c r="C231" s="331" t="s">
        <v>518</v>
      </c>
      <c r="D231" s="73" t="s">
        <v>474</v>
      </c>
      <c r="E231" s="74">
        <v>9</v>
      </c>
      <c r="F231" s="75">
        <v>802.59</v>
      </c>
      <c r="G231" s="75">
        <f>E231*F231</f>
        <v>7223.31</v>
      </c>
    </row>
    <row r="232" spans="1:13" s="89" customFormat="1" ht="41.25" customHeight="1" outlineLevel="1" x14ac:dyDescent="0.2">
      <c r="A232" s="84"/>
      <c r="B232" s="85" t="s">
        <v>563</v>
      </c>
      <c r="C232" s="84" t="s">
        <v>562</v>
      </c>
      <c r="D232" s="86"/>
      <c r="E232" s="86"/>
      <c r="F232" s="87"/>
      <c r="G232" s="88">
        <v>1.04</v>
      </c>
    </row>
    <row r="233" spans="1:13" s="89" customFormat="1" ht="51" outlineLevel="1" x14ac:dyDescent="0.2">
      <c r="A233" s="84"/>
      <c r="B233" s="85" t="s">
        <v>405</v>
      </c>
      <c r="C233" s="84" t="s">
        <v>496</v>
      </c>
      <c r="D233" s="86"/>
      <c r="E233" s="86"/>
      <c r="F233" s="87"/>
      <c r="G233" s="88">
        <v>0.84</v>
      </c>
    </row>
    <row r="234" spans="1:13" s="89" customFormat="1" ht="49.5" customHeight="1" outlineLevel="1" x14ac:dyDescent="0.2">
      <c r="A234" s="84"/>
      <c r="B234" s="85" t="s">
        <v>478</v>
      </c>
      <c r="C234" s="84" t="s">
        <v>497</v>
      </c>
      <c r="D234" s="86"/>
      <c r="E234" s="86"/>
      <c r="F234" s="87"/>
      <c r="G234" s="88">
        <v>0.99</v>
      </c>
    </row>
    <row r="235" spans="1:13" s="89" customFormat="1" ht="12.75" outlineLevel="1" x14ac:dyDescent="0.2">
      <c r="A235" s="84"/>
      <c r="B235" s="85" t="s">
        <v>409</v>
      </c>
      <c r="C235" s="84" t="s">
        <v>498</v>
      </c>
      <c r="D235" s="86"/>
      <c r="E235" s="86"/>
      <c r="F235" s="87"/>
      <c r="G235" s="88">
        <v>1</v>
      </c>
    </row>
    <row r="236" spans="1:13" s="69" customFormat="1" ht="22.5" customHeight="1" outlineLevel="1" x14ac:dyDescent="0.25">
      <c r="A236" s="70"/>
      <c r="B236" s="264" t="s">
        <v>571</v>
      </c>
      <c r="C236" s="332"/>
      <c r="D236" s="70"/>
      <c r="E236" s="82"/>
      <c r="F236" s="83"/>
      <c r="G236" s="265">
        <f>G231*G232*G233*G234*G235</f>
        <v>6247.1807798400005</v>
      </c>
    </row>
    <row r="237" spans="1:13" s="69" customFormat="1" ht="23.25" customHeight="1" outlineLevel="1" x14ac:dyDescent="0.25">
      <c r="A237" s="66" t="s">
        <v>479</v>
      </c>
      <c r="B237" s="67" t="s">
        <v>124</v>
      </c>
      <c r="C237" s="331"/>
      <c r="D237" s="67"/>
      <c r="E237" s="67"/>
      <c r="F237" s="67"/>
      <c r="G237" s="67"/>
    </row>
    <row r="238" spans="1:13" s="69" customFormat="1" ht="43.5" customHeight="1" outlineLevel="1" x14ac:dyDescent="0.25">
      <c r="A238" s="70"/>
      <c r="B238" s="71" t="s">
        <v>705</v>
      </c>
      <c r="C238" s="331" t="s">
        <v>545</v>
      </c>
      <c r="D238" s="73" t="s">
        <v>474</v>
      </c>
      <c r="E238" s="74">
        <v>1</v>
      </c>
      <c r="F238" s="75">
        <v>802.59</v>
      </c>
      <c r="G238" s="75">
        <f>E238*F238</f>
        <v>802.59</v>
      </c>
    </row>
    <row r="239" spans="1:13" s="89" customFormat="1" ht="41.25" customHeight="1" outlineLevel="1" x14ac:dyDescent="0.2">
      <c r="A239" s="84"/>
      <c r="B239" s="85" t="s">
        <v>563</v>
      </c>
      <c r="C239" s="84" t="s">
        <v>562</v>
      </c>
      <c r="D239" s="86"/>
      <c r="E239" s="86"/>
      <c r="F239" s="87"/>
      <c r="G239" s="88">
        <v>1.04</v>
      </c>
    </row>
    <row r="240" spans="1:13" s="89" customFormat="1" ht="51" outlineLevel="1" x14ac:dyDescent="0.2">
      <c r="A240" s="84"/>
      <c r="B240" s="85" t="s">
        <v>405</v>
      </c>
      <c r="C240" s="84" t="s">
        <v>496</v>
      </c>
      <c r="D240" s="86"/>
      <c r="E240" s="86"/>
      <c r="F240" s="87"/>
      <c r="G240" s="88">
        <v>0.84</v>
      </c>
    </row>
    <row r="241" spans="1:15" s="89" customFormat="1" ht="49.5" customHeight="1" outlineLevel="1" x14ac:dyDescent="0.2">
      <c r="A241" s="84"/>
      <c r="B241" s="85" t="s">
        <v>478</v>
      </c>
      <c r="C241" s="84" t="s">
        <v>497</v>
      </c>
      <c r="D241" s="86"/>
      <c r="E241" s="86"/>
      <c r="F241" s="87"/>
      <c r="G241" s="88">
        <v>0.99</v>
      </c>
    </row>
    <row r="242" spans="1:15" s="89" customFormat="1" ht="12.75" outlineLevel="1" x14ac:dyDescent="0.2">
      <c r="A242" s="84"/>
      <c r="B242" s="85" t="s">
        <v>409</v>
      </c>
      <c r="C242" s="84" t="s">
        <v>498</v>
      </c>
      <c r="D242" s="86"/>
      <c r="E242" s="86"/>
      <c r="F242" s="87"/>
      <c r="G242" s="88">
        <v>1</v>
      </c>
    </row>
    <row r="243" spans="1:15" s="69" customFormat="1" ht="22.5" customHeight="1" outlineLevel="1" x14ac:dyDescent="0.25">
      <c r="A243" s="70"/>
      <c r="B243" s="264" t="s">
        <v>480</v>
      </c>
      <c r="C243" s="332"/>
      <c r="D243" s="70"/>
      <c r="E243" s="82"/>
      <c r="F243" s="83"/>
      <c r="G243" s="265">
        <f>G238*G239*G240*G241*G242</f>
        <v>694.13119776000008</v>
      </c>
    </row>
    <row r="244" spans="1:15" s="69" customFormat="1" ht="23.25" customHeight="1" outlineLevel="1" x14ac:dyDescent="0.25">
      <c r="A244" s="66" t="s">
        <v>481</v>
      </c>
      <c r="B244" s="67" t="s">
        <v>472</v>
      </c>
      <c r="C244" s="331"/>
      <c r="D244" s="67"/>
      <c r="E244" s="67"/>
      <c r="F244" s="67"/>
      <c r="G244" s="67"/>
    </row>
    <row r="245" spans="1:15" s="69" customFormat="1" ht="47.25" customHeight="1" outlineLevel="1" x14ac:dyDescent="0.25">
      <c r="A245" s="70"/>
      <c r="B245" s="71" t="s">
        <v>473</v>
      </c>
      <c r="C245" s="331" t="s">
        <v>495</v>
      </c>
      <c r="D245" s="73" t="s">
        <v>474</v>
      </c>
      <c r="E245" s="74">
        <v>160</v>
      </c>
      <c r="F245" s="75">
        <v>20.29</v>
      </c>
      <c r="G245" s="75">
        <f>E245*F245</f>
        <v>3246.3999999999996</v>
      </c>
      <c r="H245" s="69">
        <v>1.6</v>
      </c>
      <c r="I245" s="69" t="s">
        <v>0</v>
      </c>
    </row>
    <row r="246" spans="1:15" s="89" customFormat="1" ht="51" outlineLevel="1" x14ac:dyDescent="0.2">
      <c r="A246" s="84"/>
      <c r="B246" s="85" t="s">
        <v>405</v>
      </c>
      <c r="C246" s="84" t="s">
        <v>496</v>
      </c>
      <c r="D246" s="86"/>
      <c r="E246" s="86"/>
      <c r="F246" s="87"/>
      <c r="G246" s="88">
        <v>0.84</v>
      </c>
    </row>
    <row r="247" spans="1:15" s="89" customFormat="1" ht="49.5" customHeight="1" outlineLevel="1" x14ac:dyDescent="0.2">
      <c r="A247" s="84"/>
      <c r="B247" s="85" t="s">
        <v>478</v>
      </c>
      <c r="C247" s="84" t="s">
        <v>497</v>
      </c>
      <c r="D247" s="86"/>
      <c r="E247" s="86"/>
      <c r="F247" s="87"/>
      <c r="G247" s="88">
        <v>0.99</v>
      </c>
    </row>
    <row r="248" spans="1:15" s="89" customFormat="1" ht="12.75" outlineLevel="1" x14ac:dyDescent="0.2">
      <c r="A248" s="84"/>
      <c r="B248" s="85" t="s">
        <v>409</v>
      </c>
      <c r="C248" s="84" t="s">
        <v>498</v>
      </c>
      <c r="D248" s="86"/>
      <c r="E248" s="86"/>
      <c r="F248" s="87"/>
      <c r="G248" s="88">
        <v>1</v>
      </c>
    </row>
    <row r="249" spans="1:15" s="69" customFormat="1" ht="22.5" customHeight="1" outlineLevel="1" x14ac:dyDescent="0.25">
      <c r="A249" s="70"/>
      <c r="B249" s="264" t="s">
        <v>520</v>
      </c>
      <c r="C249" s="332"/>
      <c r="D249" s="70"/>
      <c r="E249" s="82"/>
      <c r="F249" s="83"/>
      <c r="G249" s="265">
        <f>G245*G246*G247*G248</f>
        <v>2699.7062399999995</v>
      </c>
    </row>
    <row r="250" spans="1:15" s="69" customFormat="1" ht="23.25" customHeight="1" outlineLevel="1" x14ac:dyDescent="0.25">
      <c r="A250" s="66" t="s">
        <v>483</v>
      </c>
      <c r="B250" s="67" t="s">
        <v>482</v>
      </c>
      <c r="C250" s="331"/>
      <c r="D250" s="67"/>
      <c r="E250" s="67"/>
      <c r="F250" s="67"/>
      <c r="G250" s="67"/>
    </row>
    <row r="251" spans="1:15" s="69" customFormat="1" ht="35.25" customHeight="1" outlineLevel="1" x14ac:dyDescent="0.25">
      <c r="A251" s="70"/>
      <c r="B251" s="71" t="s">
        <v>408</v>
      </c>
      <c r="C251" s="331" t="s">
        <v>491</v>
      </c>
      <c r="D251" s="73" t="s">
        <v>0</v>
      </c>
      <c r="E251" s="74">
        <v>1</v>
      </c>
      <c r="F251" s="75">
        <v>21046.92</v>
      </c>
      <c r="G251" s="75">
        <f>E251*F251</f>
        <v>21046.92</v>
      </c>
      <c r="H251" s="69" t="e">
        <f>#REF!</f>
        <v>#REF!</v>
      </c>
      <c r="I251" s="69" t="s">
        <v>0</v>
      </c>
    </row>
    <row r="252" spans="1:15" s="89" customFormat="1" ht="51" outlineLevel="1" x14ac:dyDescent="0.2">
      <c r="A252" s="84"/>
      <c r="B252" s="85" t="s">
        <v>405</v>
      </c>
      <c r="C252" s="84" t="s">
        <v>492</v>
      </c>
      <c r="D252" s="86"/>
      <c r="E252" s="86"/>
      <c r="F252" s="87"/>
      <c r="G252" s="88">
        <v>0.84</v>
      </c>
    </row>
    <row r="253" spans="1:15" s="89" customFormat="1" ht="30" customHeight="1" outlineLevel="1" x14ac:dyDescent="0.2">
      <c r="A253" s="84"/>
      <c r="B253" s="85" t="s">
        <v>409</v>
      </c>
      <c r="C253" s="84" t="s">
        <v>493</v>
      </c>
      <c r="D253" s="86"/>
      <c r="E253" s="86"/>
      <c r="F253" s="87"/>
      <c r="G253" s="88">
        <v>1</v>
      </c>
    </row>
    <row r="254" spans="1:15" s="89" customFormat="1" ht="15.75" outlineLevel="1" x14ac:dyDescent="0.2">
      <c r="A254" s="84"/>
      <c r="B254" s="264" t="s">
        <v>484</v>
      </c>
      <c r="C254" s="333"/>
      <c r="D254" s="86"/>
      <c r="E254" s="86"/>
      <c r="F254" s="87"/>
      <c r="G254" s="265">
        <f>SUM(G251*G252*G253)</f>
        <v>17679.412799999998</v>
      </c>
    </row>
    <row r="255" spans="1:15" s="69" customFormat="1" ht="23.25" customHeight="1" outlineLevel="1" x14ac:dyDescent="0.25">
      <c r="A255" s="66" t="s">
        <v>485</v>
      </c>
      <c r="B255" s="67" t="s">
        <v>476</v>
      </c>
      <c r="C255" s="331"/>
      <c r="D255" s="67"/>
      <c r="E255" s="67"/>
      <c r="F255" s="67"/>
      <c r="G255" s="67"/>
      <c r="I255" s="69" t="s">
        <v>618</v>
      </c>
    </row>
    <row r="256" spans="1:15" s="69" customFormat="1" ht="43.5" customHeight="1" outlineLevel="1" x14ac:dyDescent="0.2">
      <c r="A256" s="70"/>
      <c r="B256" s="71" t="s">
        <v>477</v>
      </c>
      <c r="C256" s="331" t="s">
        <v>499</v>
      </c>
      <c r="D256" s="73" t="s">
        <v>474</v>
      </c>
      <c r="E256" s="955">
        <v>9</v>
      </c>
      <c r="F256" s="75">
        <v>196.55</v>
      </c>
      <c r="G256" s="75">
        <f>E256*F256</f>
        <v>1768.95</v>
      </c>
      <c r="H256" s="69" t="e">
        <f>#REF!</f>
        <v>#REF!</v>
      </c>
      <c r="I256" s="69" t="s">
        <v>0</v>
      </c>
      <c r="O256" s="89"/>
    </row>
    <row r="257" spans="1:14" s="89" customFormat="1" ht="51" outlineLevel="1" x14ac:dyDescent="0.2">
      <c r="A257" s="84"/>
      <c r="B257" s="85" t="s">
        <v>405</v>
      </c>
      <c r="C257" s="84" t="s">
        <v>496</v>
      </c>
      <c r="D257" s="86"/>
      <c r="E257" s="86"/>
      <c r="F257" s="87"/>
      <c r="G257" s="88">
        <v>0.84</v>
      </c>
      <c r="N257" s="69"/>
    </row>
    <row r="258" spans="1:14" s="89" customFormat="1" ht="42.75" customHeight="1" outlineLevel="1" x14ac:dyDescent="0.2">
      <c r="A258" s="84"/>
      <c r="B258" s="85" t="s">
        <v>478</v>
      </c>
      <c r="C258" s="84" t="s">
        <v>497</v>
      </c>
      <c r="D258" s="86"/>
      <c r="E258" s="86"/>
      <c r="F258" s="87"/>
      <c r="G258" s="88">
        <v>0.99</v>
      </c>
    </row>
    <row r="259" spans="1:14" s="89" customFormat="1" ht="12.75" outlineLevel="1" x14ac:dyDescent="0.2">
      <c r="A259" s="84"/>
      <c r="B259" s="85" t="s">
        <v>409</v>
      </c>
      <c r="C259" s="84" t="s">
        <v>498</v>
      </c>
      <c r="D259" s="86"/>
      <c r="E259" s="86"/>
      <c r="F259" s="87"/>
      <c r="G259" s="88">
        <v>1</v>
      </c>
    </row>
    <row r="260" spans="1:14" s="69" customFormat="1" ht="22.5" customHeight="1" outlineLevel="1" x14ac:dyDescent="0.25">
      <c r="A260" s="70"/>
      <c r="B260" s="264" t="s">
        <v>490</v>
      </c>
      <c r="C260" s="332"/>
      <c r="D260" s="70"/>
      <c r="E260" s="82"/>
      <c r="F260" s="83"/>
      <c r="G260" s="265">
        <f>G256*G257*G258*G259</f>
        <v>1471.05882</v>
      </c>
    </row>
    <row r="261" spans="1:14" s="69" customFormat="1" ht="23.25" customHeight="1" outlineLevel="1" x14ac:dyDescent="0.25">
      <c r="A261" s="66" t="s">
        <v>523</v>
      </c>
      <c r="B261" s="67" t="s">
        <v>603</v>
      </c>
      <c r="C261" s="331"/>
      <c r="D261" s="67"/>
      <c r="E261" s="67"/>
      <c r="F261" s="67"/>
      <c r="G261" s="67"/>
      <c r="M261" s="299"/>
    </row>
    <row r="262" spans="1:14" s="69" customFormat="1" ht="59.25" customHeight="1" outlineLevel="1" x14ac:dyDescent="0.25">
      <c r="A262" s="70"/>
      <c r="B262" s="71" t="s">
        <v>671</v>
      </c>
      <c r="C262" s="331" t="s">
        <v>602</v>
      </c>
      <c r="D262" s="73" t="s">
        <v>600</v>
      </c>
      <c r="E262" s="74">
        <v>0.9</v>
      </c>
      <c r="F262" s="75">
        <v>22732.5</v>
      </c>
      <c r="G262" s="75">
        <f>E262*F262</f>
        <v>20459.25</v>
      </c>
    </row>
    <row r="263" spans="1:14" s="89" customFormat="1" ht="51" outlineLevel="1" x14ac:dyDescent="0.2">
      <c r="A263" s="84"/>
      <c r="B263" s="85" t="s">
        <v>405</v>
      </c>
      <c r="C263" s="84" t="s">
        <v>509</v>
      </c>
      <c r="D263" s="86"/>
      <c r="E263" s="86"/>
      <c r="F263" s="87"/>
      <c r="G263" s="88">
        <v>0.92</v>
      </c>
      <c r="M263" s="300"/>
    </row>
    <row r="264" spans="1:14" s="89" customFormat="1" ht="49.5" customHeight="1" outlineLevel="1" x14ac:dyDescent="0.2">
      <c r="A264" s="84"/>
      <c r="B264" s="85" t="s">
        <v>478</v>
      </c>
      <c r="C264" s="84" t="s">
        <v>604</v>
      </c>
      <c r="D264" s="86"/>
      <c r="E264" s="86"/>
      <c r="F264" s="87"/>
      <c r="G264" s="88">
        <v>0.98</v>
      </c>
    </row>
    <row r="265" spans="1:14" s="89" customFormat="1" ht="12.75" outlineLevel="1" x14ac:dyDescent="0.2">
      <c r="A265" s="84"/>
      <c r="B265" s="85" t="s">
        <v>409</v>
      </c>
      <c r="C265" s="84" t="s">
        <v>605</v>
      </c>
      <c r="D265" s="86"/>
      <c r="E265" s="86"/>
      <c r="F265" s="87"/>
      <c r="G265" s="88">
        <v>1</v>
      </c>
    </row>
    <row r="266" spans="1:14" s="69" customFormat="1" ht="22.5" customHeight="1" outlineLevel="1" x14ac:dyDescent="0.25">
      <c r="A266" s="70"/>
      <c r="B266" s="264" t="s">
        <v>572</v>
      </c>
      <c r="C266" s="332"/>
      <c r="D266" s="70"/>
      <c r="E266" s="82"/>
      <c r="F266" s="83"/>
      <c r="G266" s="265">
        <f>G262*G263*G264*G265</f>
        <v>18446.059800000003</v>
      </c>
    </row>
    <row r="267" spans="1:14" s="69" customFormat="1" ht="23.25" customHeight="1" outlineLevel="1" x14ac:dyDescent="0.25">
      <c r="A267" s="66" t="s">
        <v>573</v>
      </c>
      <c r="B267" s="67" t="s">
        <v>205</v>
      </c>
      <c r="C267" s="331"/>
      <c r="D267" s="67"/>
      <c r="E267" s="67"/>
      <c r="F267" s="67"/>
      <c r="G267" s="67"/>
    </row>
    <row r="268" spans="1:14" s="69" customFormat="1" ht="33.75" customHeight="1" outlineLevel="1" x14ac:dyDescent="0.25">
      <c r="A268" s="70"/>
      <c r="B268" s="71" t="s">
        <v>536</v>
      </c>
      <c r="C268" s="331" t="s">
        <v>500</v>
      </c>
      <c r="D268" s="73" t="s">
        <v>517</v>
      </c>
      <c r="E268" s="74">
        <v>80</v>
      </c>
      <c r="F268" s="75">
        <v>51.66</v>
      </c>
      <c r="G268" s="75">
        <f>E268*F268</f>
        <v>4132.7999999999993</v>
      </c>
      <c r="H268" s="69" t="s">
        <v>307</v>
      </c>
    </row>
    <row r="269" spans="1:14" s="89" customFormat="1" ht="51" outlineLevel="1" x14ac:dyDescent="0.2">
      <c r="A269" s="84"/>
      <c r="B269" s="85" t="s">
        <v>405</v>
      </c>
      <c r="C269" s="84" t="s">
        <v>501</v>
      </c>
      <c r="D269" s="86"/>
      <c r="E269" s="86"/>
      <c r="F269" s="87"/>
      <c r="G269" s="88">
        <v>0.82</v>
      </c>
    </row>
    <row r="270" spans="1:14" s="89" customFormat="1" ht="49.5" customHeight="1" outlineLevel="1" x14ac:dyDescent="0.2">
      <c r="A270" s="84"/>
      <c r="B270" s="85" t="s">
        <v>478</v>
      </c>
      <c r="C270" s="84" t="s">
        <v>502</v>
      </c>
      <c r="D270" s="86"/>
      <c r="E270" s="86"/>
      <c r="F270" s="87"/>
      <c r="G270" s="88">
        <v>0.99</v>
      </c>
    </row>
    <row r="271" spans="1:14" s="89" customFormat="1" ht="12.75" outlineLevel="1" x14ac:dyDescent="0.2">
      <c r="A271" s="84"/>
      <c r="B271" s="85" t="s">
        <v>409</v>
      </c>
      <c r="C271" s="84" t="s">
        <v>582</v>
      </c>
      <c r="D271" s="86"/>
      <c r="E271" s="86"/>
      <c r="F271" s="87"/>
      <c r="G271" s="88">
        <v>1</v>
      </c>
    </row>
    <row r="272" spans="1:14" s="69" customFormat="1" ht="22.5" customHeight="1" outlineLevel="1" x14ac:dyDescent="0.25">
      <c r="A272" s="70"/>
      <c r="B272" s="264" t="s">
        <v>574</v>
      </c>
      <c r="C272" s="332"/>
      <c r="D272" s="70"/>
      <c r="E272" s="82"/>
      <c r="F272" s="83"/>
      <c r="G272" s="265">
        <f>G268*G269*G270*G271</f>
        <v>3355.0070399999991</v>
      </c>
    </row>
    <row r="273" spans="1:17" s="69" customFormat="1" ht="23.25" customHeight="1" outlineLevel="1" x14ac:dyDescent="0.25">
      <c r="A273" s="66" t="s">
        <v>577</v>
      </c>
      <c r="B273" s="67" t="s">
        <v>652</v>
      </c>
      <c r="C273" s="331"/>
      <c r="D273" s="67"/>
      <c r="E273" s="67"/>
      <c r="F273" s="67"/>
      <c r="G273" s="67"/>
    </row>
    <row r="274" spans="1:17" s="69" customFormat="1" ht="47.25" customHeight="1" outlineLevel="1" x14ac:dyDescent="0.25">
      <c r="A274" s="70"/>
      <c r="B274" s="71" t="s">
        <v>653</v>
      </c>
      <c r="C274" s="331" t="s">
        <v>654</v>
      </c>
      <c r="D274" s="73" t="s">
        <v>487</v>
      </c>
      <c r="E274" s="74">
        <v>25</v>
      </c>
      <c r="F274" s="75">
        <v>585.55999999999995</v>
      </c>
      <c r="G274" s="75">
        <f>E274*F274</f>
        <v>14638.999999999998</v>
      </c>
    </row>
    <row r="275" spans="1:17" s="89" customFormat="1" ht="51" outlineLevel="1" x14ac:dyDescent="0.2">
      <c r="A275" s="84"/>
      <c r="B275" s="85" t="s">
        <v>405</v>
      </c>
      <c r="C275" s="84" t="s">
        <v>509</v>
      </c>
      <c r="D275" s="86"/>
      <c r="E275" s="86"/>
      <c r="F275" s="87"/>
      <c r="G275" s="88">
        <v>0.92</v>
      </c>
    </row>
    <row r="276" spans="1:17" s="89" customFormat="1" ht="49.5" customHeight="1" outlineLevel="1" x14ac:dyDescent="0.2">
      <c r="A276" s="84"/>
      <c r="B276" s="85" t="s">
        <v>489</v>
      </c>
      <c r="C276" s="84" t="s">
        <v>508</v>
      </c>
      <c r="D276" s="86"/>
      <c r="E276" s="86"/>
      <c r="F276" s="87"/>
      <c r="G276" s="88">
        <v>1.08</v>
      </c>
      <c r="H276" s="1222" t="s">
        <v>507</v>
      </c>
      <c r="I276" s="1223"/>
      <c r="J276" s="1223"/>
      <c r="K276" s="1223"/>
      <c r="L276" s="1223"/>
      <c r="M276" s="1223"/>
      <c r="N276" s="1223"/>
      <c r="O276" s="1223"/>
      <c r="P276" s="1223"/>
      <c r="Q276" s="1223"/>
    </row>
    <row r="277" spans="1:17" s="89" customFormat="1" ht="49.5" customHeight="1" outlineLevel="1" x14ac:dyDescent="0.2">
      <c r="A277" s="84"/>
      <c r="B277" s="85" t="s">
        <v>488</v>
      </c>
      <c r="C277" s="84" t="s">
        <v>510</v>
      </c>
      <c r="D277" s="86"/>
      <c r="E277" s="86"/>
      <c r="F277" s="87"/>
      <c r="G277" s="88">
        <v>0.98</v>
      </c>
    </row>
    <row r="278" spans="1:17" s="89" customFormat="1" ht="12.75" outlineLevel="1" x14ac:dyDescent="0.2">
      <c r="A278" s="84"/>
      <c r="B278" s="85" t="s">
        <v>409</v>
      </c>
      <c r="C278" s="84" t="s">
        <v>511</v>
      </c>
      <c r="D278" s="86"/>
      <c r="E278" s="86"/>
      <c r="F278" s="87"/>
      <c r="G278" s="88">
        <v>1</v>
      </c>
    </row>
    <row r="279" spans="1:17" s="69" customFormat="1" ht="22.5" customHeight="1" outlineLevel="1" x14ac:dyDescent="0.25">
      <c r="A279" s="70"/>
      <c r="B279" s="264" t="s">
        <v>580</v>
      </c>
      <c r="C279" s="332"/>
      <c r="D279" s="70"/>
      <c r="E279" s="82"/>
      <c r="F279" s="83"/>
      <c r="G279" s="265">
        <f>G274*G275*G276*G277*G278</f>
        <v>14254.404192</v>
      </c>
    </row>
    <row r="280" spans="1:17" s="69" customFormat="1" ht="23.25" customHeight="1" outlineLevel="1" x14ac:dyDescent="0.25">
      <c r="A280" s="66" t="s">
        <v>581</v>
      </c>
      <c r="B280" s="67" t="s">
        <v>486</v>
      </c>
      <c r="C280" s="331"/>
      <c r="D280" s="67"/>
      <c r="E280" s="67"/>
      <c r="F280" s="67"/>
      <c r="G280" s="67"/>
    </row>
    <row r="281" spans="1:17" s="69" customFormat="1" ht="47.25" customHeight="1" outlineLevel="1" x14ac:dyDescent="0.25">
      <c r="A281" s="70"/>
      <c r="B281" s="71" t="s">
        <v>656</v>
      </c>
      <c r="C281" s="331" t="s">
        <v>655</v>
      </c>
      <c r="D281" s="73" t="s">
        <v>487</v>
      </c>
      <c r="E281" s="74">
        <v>25</v>
      </c>
      <c r="F281" s="75">
        <v>240.12</v>
      </c>
      <c r="G281" s="75">
        <f>E281*F281</f>
        <v>6003</v>
      </c>
    </row>
    <row r="282" spans="1:17" s="89" customFormat="1" ht="51" outlineLevel="1" x14ac:dyDescent="0.2">
      <c r="A282" s="84"/>
      <c r="B282" s="85" t="s">
        <v>405</v>
      </c>
      <c r="C282" s="84" t="s">
        <v>509</v>
      </c>
      <c r="D282" s="86"/>
      <c r="E282" s="86"/>
      <c r="F282" s="87"/>
      <c r="G282" s="88">
        <v>0.92</v>
      </c>
    </row>
    <row r="283" spans="1:17" s="89" customFormat="1" ht="49.5" customHeight="1" outlineLevel="1" x14ac:dyDescent="0.2">
      <c r="A283" s="84"/>
      <c r="B283" s="85" t="s">
        <v>489</v>
      </c>
      <c r="C283" s="84" t="s">
        <v>508</v>
      </c>
      <c r="D283" s="86"/>
      <c r="E283" s="86"/>
      <c r="F283" s="87"/>
      <c r="G283" s="88">
        <v>1.08</v>
      </c>
      <c r="H283" s="1222" t="s">
        <v>507</v>
      </c>
      <c r="I283" s="1223"/>
      <c r="J283" s="1223"/>
      <c r="K283" s="1223"/>
      <c r="L283" s="1223"/>
      <c r="M283" s="1223"/>
      <c r="N283" s="1223"/>
      <c r="O283" s="1223"/>
      <c r="P283" s="1223"/>
      <c r="Q283" s="1223"/>
    </row>
    <row r="284" spans="1:17" s="89" customFormat="1" ht="49.5" customHeight="1" outlineLevel="1" x14ac:dyDescent="0.2">
      <c r="A284" s="84"/>
      <c r="B284" s="85" t="s">
        <v>488</v>
      </c>
      <c r="C284" s="84" t="s">
        <v>510</v>
      </c>
      <c r="D284" s="86"/>
      <c r="E284" s="86"/>
      <c r="F284" s="87"/>
      <c r="G284" s="88">
        <v>0.98</v>
      </c>
    </row>
    <row r="285" spans="1:17" s="89" customFormat="1" ht="12.75" outlineLevel="1" x14ac:dyDescent="0.2">
      <c r="A285" s="84"/>
      <c r="B285" s="85" t="s">
        <v>409</v>
      </c>
      <c r="C285" s="84" t="s">
        <v>511</v>
      </c>
      <c r="D285" s="86"/>
      <c r="E285" s="86"/>
      <c r="F285" s="87"/>
      <c r="G285" s="88">
        <v>1</v>
      </c>
    </row>
    <row r="286" spans="1:17" s="69" customFormat="1" ht="22.5" customHeight="1" outlineLevel="1" x14ac:dyDescent="0.25">
      <c r="A286" s="70"/>
      <c r="B286" s="264" t="s">
        <v>578</v>
      </c>
      <c r="C286" s="332"/>
      <c r="D286" s="70"/>
      <c r="E286" s="82"/>
      <c r="F286" s="83"/>
      <c r="G286" s="265">
        <f>G281*G282*G283*G284*G285</f>
        <v>5845.2891840000002</v>
      </c>
    </row>
    <row r="287" spans="1:17" s="69" customFormat="1" ht="23.25" customHeight="1" outlineLevel="1" x14ac:dyDescent="0.25">
      <c r="A287" s="66" t="s">
        <v>579</v>
      </c>
      <c r="B287" s="67" t="s">
        <v>706</v>
      </c>
      <c r="C287" s="331"/>
      <c r="D287" s="67"/>
      <c r="E287" s="67"/>
      <c r="F287" s="67"/>
      <c r="G287" s="67"/>
    </row>
    <row r="288" spans="1:17" s="69" customFormat="1" ht="61.5" customHeight="1" outlineLevel="1" x14ac:dyDescent="0.25">
      <c r="A288" s="70"/>
      <c r="B288" s="71" t="s">
        <v>707</v>
      </c>
      <c r="C288" s="331" t="s">
        <v>709</v>
      </c>
      <c r="D288" s="73" t="s">
        <v>708</v>
      </c>
      <c r="E288" s="74">
        <v>4</v>
      </c>
      <c r="F288" s="75">
        <v>232.33</v>
      </c>
      <c r="G288" s="75">
        <f>E288*F288</f>
        <v>929.32</v>
      </c>
      <c r="H288" s="69">
        <f>'Этап 4 (Лот №1) (ПД)'!D15+'Этап 4 (Лот №1) (ПД)'!D16+'Этап 4 (Лот №1) (ПД)'!D17</f>
        <v>1200</v>
      </c>
    </row>
    <row r="289" spans="1:8" s="69" customFormat="1" ht="61.5" customHeight="1" outlineLevel="1" x14ac:dyDescent="0.25">
      <c r="A289" s="70"/>
      <c r="B289" s="71" t="s">
        <v>756</v>
      </c>
      <c r="C289" s="84" t="s">
        <v>757</v>
      </c>
      <c r="D289" s="73" t="s">
        <v>758</v>
      </c>
      <c r="E289" s="954">
        <v>34</v>
      </c>
      <c r="F289" s="75">
        <v>61.68</v>
      </c>
      <c r="G289" s="75">
        <f>E289*F289</f>
        <v>2097.12</v>
      </c>
      <c r="H289" s="519" t="s">
        <v>1307</v>
      </c>
    </row>
    <row r="290" spans="1:8" s="89" customFormat="1" ht="51" outlineLevel="1" x14ac:dyDescent="0.2">
      <c r="A290" s="84"/>
      <c r="B290" s="85" t="s">
        <v>405</v>
      </c>
      <c r="C290" s="84" t="s">
        <v>710</v>
      </c>
      <c r="D290" s="86"/>
      <c r="E290" s="86"/>
      <c r="F290" s="87"/>
      <c r="G290" s="88">
        <v>0.84</v>
      </c>
    </row>
    <row r="291" spans="1:8" s="89" customFormat="1" ht="49.5" customHeight="1" outlineLevel="1" x14ac:dyDescent="0.2">
      <c r="A291" s="84"/>
      <c r="B291" s="85" t="s">
        <v>488</v>
      </c>
      <c r="C291" s="84" t="s">
        <v>711</v>
      </c>
      <c r="D291" s="86"/>
      <c r="E291" s="86"/>
      <c r="F291" s="87"/>
      <c r="G291" s="88">
        <v>0.99</v>
      </c>
    </row>
    <row r="292" spans="1:8" s="89" customFormat="1" ht="12.75" outlineLevel="1" x14ac:dyDescent="0.2">
      <c r="A292" s="84"/>
      <c r="B292" s="85" t="s">
        <v>409</v>
      </c>
      <c r="C292" s="84" t="s">
        <v>712</v>
      </c>
      <c r="D292" s="86"/>
      <c r="E292" s="86"/>
      <c r="F292" s="87"/>
      <c r="G292" s="88">
        <v>1</v>
      </c>
    </row>
    <row r="293" spans="1:8" s="69" customFormat="1" ht="22.5" customHeight="1" outlineLevel="1" x14ac:dyDescent="0.25">
      <c r="A293" s="70"/>
      <c r="B293" s="264" t="s">
        <v>583</v>
      </c>
      <c r="C293" s="332"/>
      <c r="D293" s="70"/>
      <c r="E293" s="82"/>
      <c r="F293" s="83"/>
      <c r="G293" s="265">
        <f>SUM(G288:G289)*G290*G291*G292</f>
        <v>2516.7875039999999</v>
      </c>
    </row>
    <row r="294" spans="1:8" s="69" customFormat="1" ht="40.5" customHeight="1" outlineLevel="1" x14ac:dyDescent="0.25">
      <c r="A294" s="66" t="s">
        <v>586</v>
      </c>
      <c r="B294" s="67" t="s">
        <v>1450</v>
      </c>
      <c r="C294" s="331"/>
      <c r="D294" s="67"/>
      <c r="E294" s="67"/>
      <c r="F294" s="67"/>
      <c r="G294" s="67"/>
    </row>
    <row r="295" spans="1:8" s="69" customFormat="1" ht="61.5" customHeight="1" outlineLevel="1" x14ac:dyDescent="0.25">
      <c r="A295" s="70"/>
      <c r="B295" s="71" t="s">
        <v>759</v>
      </c>
      <c r="C295" s="331" t="s">
        <v>760</v>
      </c>
      <c r="D295" s="73" t="s">
        <v>600</v>
      </c>
      <c r="E295" s="74">
        <v>1.2</v>
      </c>
      <c r="F295" s="75">
        <v>976.17</v>
      </c>
      <c r="G295" s="75">
        <f>E295*F295</f>
        <v>1171.404</v>
      </c>
      <c r="H295" s="69">
        <f>'Этап 4 (Лот №1) (ПД)'!D15+'Этап 4 (Лот №1) (ПД)'!D16+'Этап 4 (Лот №1) (ПД)'!D17</f>
        <v>1200</v>
      </c>
    </row>
    <row r="296" spans="1:8" s="89" customFormat="1" ht="51" outlineLevel="1" x14ac:dyDescent="0.2">
      <c r="A296" s="84"/>
      <c r="B296" s="85" t="s">
        <v>405</v>
      </c>
      <c r="C296" s="84" t="s">
        <v>710</v>
      </c>
      <c r="D296" s="86"/>
      <c r="E296" s="86"/>
      <c r="F296" s="87"/>
      <c r="G296" s="88">
        <v>0.84</v>
      </c>
    </row>
    <row r="297" spans="1:8" s="89" customFormat="1" ht="49.5" customHeight="1" outlineLevel="1" x14ac:dyDescent="0.2">
      <c r="A297" s="84"/>
      <c r="B297" s="85" t="s">
        <v>488</v>
      </c>
      <c r="C297" s="84" t="s">
        <v>711</v>
      </c>
      <c r="D297" s="86"/>
      <c r="E297" s="86"/>
      <c r="F297" s="87"/>
      <c r="G297" s="88">
        <v>0.99</v>
      </c>
    </row>
    <row r="298" spans="1:8" s="89" customFormat="1" ht="12.75" outlineLevel="1" x14ac:dyDescent="0.2">
      <c r="A298" s="84"/>
      <c r="B298" s="85" t="s">
        <v>409</v>
      </c>
      <c r="C298" s="84" t="s">
        <v>712</v>
      </c>
      <c r="D298" s="86"/>
      <c r="E298" s="86"/>
      <c r="F298" s="87"/>
      <c r="G298" s="88">
        <v>1</v>
      </c>
    </row>
    <row r="299" spans="1:8" s="69" customFormat="1" ht="22.5" customHeight="1" outlineLevel="1" x14ac:dyDescent="0.25">
      <c r="A299" s="70"/>
      <c r="B299" s="264" t="s">
        <v>587</v>
      </c>
      <c r="C299" s="332"/>
      <c r="D299" s="70"/>
      <c r="E299" s="82"/>
      <c r="F299" s="83"/>
      <c r="G299" s="265">
        <f>SUM(G295:G295)*G296*G297*G298</f>
        <v>974.13956639999992</v>
      </c>
    </row>
    <row r="300" spans="1:8" s="69" customFormat="1" ht="23.25" customHeight="1" outlineLevel="1" x14ac:dyDescent="0.25">
      <c r="A300" s="66" t="s">
        <v>657</v>
      </c>
      <c r="B300" s="67" t="s">
        <v>719</v>
      </c>
      <c r="C300" s="331"/>
      <c r="D300" s="67"/>
      <c r="E300" s="67"/>
      <c r="F300" s="67"/>
      <c r="G300" s="67"/>
    </row>
    <row r="301" spans="1:8" s="69" customFormat="1" ht="46.5" customHeight="1" outlineLevel="1" x14ac:dyDescent="0.25">
      <c r="A301" s="70"/>
      <c r="B301" s="71" t="s">
        <v>713</v>
      </c>
      <c r="C301" s="331" t="s">
        <v>715</v>
      </c>
      <c r="D301" s="73" t="s">
        <v>714</v>
      </c>
      <c r="E301" s="74">
        <v>900</v>
      </c>
      <c r="F301" s="75">
        <v>23.16</v>
      </c>
      <c r="G301" s="75">
        <f>E301*F301</f>
        <v>20844</v>
      </c>
      <c r="H301" s="69">
        <v>900</v>
      </c>
    </row>
    <row r="302" spans="1:8" s="89" customFormat="1" ht="51" outlineLevel="1" x14ac:dyDescent="0.2">
      <c r="A302" s="84"/>
      <c r="B302" s="85" t="s">
        <v>405</v>
      </c>
      <c r="C302" s="84" t="s">
        <v>716</v>
      </c>
      <c r="D302" s="86"/>
      <c r="E302" s="86"/>
      <c r="F302" s="87"/>
      <c r="G302" s="88">
        <v>0.83</v>
      </c>
    </row>
    <row r="303" spans="1:8" s="89" customFormat="1" ht="49.5" customHeight="1" outlineLevel="1" x14ac:dyDescent="0.2">
      <c r="A303" s="84"/>
      <c r="B303" s="85" t="s">
        <v>488</v>
      </c>
      <c r="C303" s="84" t="s">
        <v>717</v>
      </c>
      <c r="D303" s="86"/>
      <c r="E303" s="86"/>
      <c r="F303" s="87"/>
      <c r="G303" s="88">
        <v>0.99</v>
      </c>
    </row>
    <row r="304" spans="1:8" s="89" customFormat="1" ht="25.5" outlineLevel="1" x14ac:dyDescent="0.2">
      <c r="A304" s="84"/>
      <c r="B304" s="85" t="s">
        <v>409</v>
      </c>
      <c r="C304" s="84" t="s">
        <v>718</v>
      </c>
      <c r="D304" s="86"/>
      <c r="E304" s="86"/>
      <c r="F304" s="87"/>
      <c r="G304" s="88">
        <v>1.03</v>
      </c>
    </row>
    <row r="305" spans="1:13" s="69" customFormat="1" ht="22.5" customHeight="1" outlineLevel="1" x14ac:dyDescent="0.25">
      <c r="A305" s="70"/>
      <c r="B305" s="264" t="s">
        <v>658</v>
      </c>
      <c r="C305" s="332"/>
      <c r="D305" s="70"/>
      <c r="E305" s="82"/>
      <c r="F305" s="83"/>
      <c r="G305" s="265">
        <f>G301*G302*G303*G304</f>
        <v>17641.340244000003</v>
      </c>
    </row>
    <row r="306" spans="1:13" s="69" customFormat="1" ht="23.25" customHeight="1" outlineLevel="1" x14ac:dyDescent="0.25">
      <c r="A306" s="66" t="s">
        <v>1300</v>
      </c>
      <c r="B306" s="67" t="s">
        <v>2374</v>
      </c>
      <c r="C306" s="331"/>
      <c r="D306" s="67"/>
      <c r="E306" s="67"/>
      <c r="F306" s="67"/>
      <c r="G306" s="67"/>
    </row>
    <row r="307" spans="1:13" s="69" customFormat="1" ht="46.5" customHeight="1" outlineLevel="1" x14ac:dyDescent="0.25">
      <c r="A307" s="70"/>
      <c r="B307" s="71" t="s">
        <v>2381</v>
      </c>
      <c r="C307" s="331" t="s">
        <v>2382</v>
      </c>
      <c r="D307" s="73" t="s">
        <v>714</v>
      </c>
      <c r="E307" s="74">
        <v>510</v>
      </c>
      <c r="F307" s="75">
        <v>455.16</v>
      </c>
      <c r="G307" s="822">
        <f>E307*F307</f>
        <v>232131.6</v>
      </c>
    </row>
    <row r="308" spans="1:13" s="89" customFormat="1" ht="12.75" outlineLevel="1" x14ac:dyDescent="0.2">
      <c r="A308" s="84"/>
      <c r="B308" s="85"/>
      <c r="C308" s="84"/>
      <c r="D308" s="86"/>
      <c r="E308" s="86"/>
      <c r="F308" s="87"/>
      <c r="G308" s="88"/>
    </row>
    <row r="309" spans="1:13" s="89" customFormat="1" ht="51" outlineLevel="1" x14ac:dyDescent="0.2">
      <c r="A309" s="84"/>
      <c r="B309" s="85" t="s">
        <v>405</v>
      </c>
      <c r="C309" s="84" t="s">
        <v>2378</v>
      </c>
      <c r="D309" s="86"/>
      <c r="E309" s="86"/>
      <c r="F309" s="87"/>
      <c r="G309" s="88">
        <v>0.84</v>
      </c>
    </row>
    <row r="310" spans="1:13" s="89" customFormat="1" ht="49.5" customHeight="1" outlineLevel="1" x14ac:dyDescent="0.2">
      <c r="A310" s="84"/>
      <c r="B310" s="85" t="s">
        <v>488</v>
      </c>
      <c r="C310" s="84" t="s">
        <v>2379</v>
      </c>
      <c r="D310" s="86"/>
      <c r="E310" s="86"/>
      <c r="F310" s="87"/>
      <c r="G310" s="88">
        <v>0.99</v>
      </c>
    </row>
    <row r="311" spans="1:13" s="69" customFormat="1" ht="22.5" customHeight="1" outlineLevel="1" x14ac:dyDescent="0.25">
      <c r="A311" s="70"/>
      <c r="B311" s="264" t="s">
        <v>1302</v>
      </c>
      <c r="C311" s="332"/>
      <c r="D311" s="70"/>
      <c r="E311" s="82"/>
      <c r="F311" s="83"/>
      <c r="G311" s="265">
        <f>G307*G309*G310</f>
        <v>193040.63855999999</v>
      </c>
    </row>
    <row r="312" spans="1:13" s="69" customFormat="1" ht="22.5" customHeight="1" x14ac:dyDescent="0.25">
      <c r="A312" s="267"/>
      <c r="B312" s="266" t="s">
        <v>1301</v>
      </c>
      <c r="C312" s="332"/>
      <c r="D312" s="70"/>
      <c r="E312" s="82"/>
      <c r="F312" s="83"/>
      <c r="G312" s="265">
        <f>G305+G299+G293+G286+G279+G272+G266+G260+G254+G249+G243+G236+G311</f>
        <v>284865.15592799999</v>
      </c>
      <c r="H312" s="299">
        <f>G312*G724*G725*G726</f>
        <v>332908.54641777999</v>
      </c>
      <c r="I312" s="102"/>
    </row>
    <row r="313" spans="1:13" s="43" customFormat="1" ht="18" customHeight="1" x14ac:dyDescent="0.25">
      <c r="A313" s="1218" t="s">
        <v>133</v>
      </c>
      <c r="B313" s="1218"/>
      <c r="C313" s="1218"/>
      <c r="D313" s="1218"/>
      <c r="E313" s="1218"/>
      <c r="F313" s="1218"/>
      <c r="G313" s="1218"/>
      <c r="H313" s="52"/>
      <c r="I313" s="60"/>
      <c r="J313" s="60"/>
      <c r="K313" s="60"/>
      <c r="L313" s="61"/>
      <c r="M313" s="61"/>
    </row>
    <row r="314" spans="1:13" s="69" customFormat="1" ht="23.25" customHeight="1" outlineLevel="1" x14ac:dyDescent="0.25">
      <c r="A314" s="66" t="s">
        <v>365</v>
      </c>
      <c r="B314" s="67" t="s">
        <v>122</v>
      </c>
      <c r="C314" s="68"/>
      <c r="D314" s="67"/>
      <c r="E314" s="67"/>
      <c r="F314" s="67"/>
      <c r="G314" s="67"/>
    </row>
    <row r="315" spans="1:13" s="69" customFormat="1" ht="43.5" customHeight="1" outlineLevel="1" x14ac:dyDescent="0.25">
      <c r="A315" s="70"/>
      <c r="B315" s="71" t="s">
        <v>519</v>
      </c>
      <c r="C315" s="956" t="s">
        <v>518</v>
      </c>
      <c r="D315" s="73" t="s">
        <v>474</v>
      </c>
      <c r="E315" s="74">
        <v>7</v>
      </c>
      <c r="F315" s="75">
        <v>802.59</v>
      </c>
      <c r="G315" s="75">
        <f>E315*F315</f>
        <v>5618.13</v>
      </c>
    </row>
    <row r="316" spans="1:13" s="89" customFormat="1" ht="41.25" customHeight="1" outlineLevel="1" x14ac:dyDescent="0.2">
      <c r="A316" s="84"/>
      <c r="B316" s="85" t="s">
        <v>563</v>
      </c>
      <c r="C316" s="84" t="s">
        <v>562</v>
      </c>
      <c r="D316" s="86"/>
      <c r="E316" s="86"/>
      <c r="F316" s="87"/>
      <c r="G316" s="88">
        <v>1.04</v>
      </c>
    </row>
    <row r="317" spans="1:13" s="89" customFormat="1" ht="51" outlineLevel="1" x14ac:dyDescent="0.2">
      <c r="A317" s="84"/>
      <c r="B317" s="85" t="s">
        <v>405</v>
      </c>
      <c r="C317" s="84" t="s">
        <v>496</v>
      </c>
      <c r="D317" s="86"/>
      <c r="E317" s="86"/>
      <c r="F317" s="87"/>
      <c r="G317" s="88">
        <v>0.84</v>
      </c>
    </row>
    <row r="318" spans="1:13" s="89" customFormat="1" ht="49.5" customHeight="1" outlineLevel="1" x14ac:dyDescent="0.2">
      <c r="A318" s="84"/>
      <c r="B318" s="85" t="s">
        <v>478</v>
      </c>
      <c r="C318" s="84" t="s">
        <v>497</v>
      </c>
      <c r="D318" s="86"/>
      <c r="E318" s="86"/>
      <c r="F318" s="87"/>
      <c r="G318" s="88">
        <v>0.99</v>
      </c>
    </row>
    <row r="319" spans="1:13" s="89" customFormat="1" ht="12.75" outlineLevel="1" x14ac:dyDescent="0.2">
      <c r="A319" s="84"/>
      <c r="B319" s="85" t="s">
        <v>409</v>
      </c>
      <c r="C319" s="84" t="s">
        <v>498</v>
      </c>
      <c r="D319" s="86"/>
      <c r="E319" s="86"/>
      <c r="F319" s="87"/>
      <c r="G319" s="88">
        <v>1</v>
      </c>
    </row>
    <row r="320" spans="1:13" s="69" customFormat="1" ht="22.5" customHeight="1" outlineLevel="1" x14ac:dyDescent="0.25">
      <c r="A320" s="70"/>
      <c r="B320" s="264" t="s">
        <v>571</v>
      </c>
      <c r="C320" s="81"/>
      <c r="D320" s="70"/>
      <c r="E320" s="82"/>
      <c r="F320" s="83"/>
      <c r="G320" s="265">
        <f>G315*G316*G317*G318*G319</f>
        <v>4858.9183843199999</v>
      </c>
    </row>
    <row r="321" spans="1:15" s="69" customFormat="1" ht="23.25" customHeight="1" outlineLevel="1" x14ac:dyDescent="0.25">
      <c r="A321" s="66" t="s">
        <v>479</v>
      </c>
      <c r="B321" s="67" t="s">
        <v>472</v>
      </c>
      <c r="C321" s="68"/>
      <c r="D321" s="67"/>
      <c r="E321" s="67"/>
      <c r="F321" s="67"/>
      <c r="G321" s="67"/>
    </row>
    <row r="322" spans="1:15" s="69" customFormat="1" ht="47.25" customHeight="1" outlineLevel="1" x14ac:dyDescent="0.25">
      <c r="A322" s="70"/>
      <c r="B322" s="71" t="s">
        <v>473</v>
      </c>
      <c r="C322" s="956" t="s">
        <v>495</v>
      </c>
      <c r="D322" s="73" t="s">
        <v>474</v>
      </c>
      <c r="E322" s="74">
        <v>120</v>
      </c>
      <c r="F322" s="75">
        <v>20.29</v>
      </c>
      <c r="G322" s="75">
        <f>E322*F322</f>
        <v>2434.7999999999997</v>
      </c>
      <c r="H322" s="69">
        <v>1.2</v>
      </c>
      <c r="I322" s="69" t="s">
        <v>0</v>
      </c>
    </row>
    <row r="323" spans="1:15" s="89" customFormat="1" ht="51" outlineLevel="1" x14ac:dyDescent="0.2">
      <c r="A323" s="84"/>
      <c r="B323" s="85" t="s">
        <v>405</v>
      </c>
      <c r="C323" s="84" t="s">
        <v>496</v>
      </c>
      <c r="D323" s="86"/>
      <c r="E323" s="86"/>
      <c r="F323" s="87"/>
      <c r="G323" s="88">
        <v>0.84</v>
      </c>
    </row>
    <row r="324" spans="1:15" s="89" customFormat="1" ht="49.5" customHeight="1" outlineLevel="1" x14ac:dyDescent="0.2">
      <c r="A324" s="84"/>
      <c r="B324" s="85" t="s">
        <v>478</v>
      </c>
      <c r="C324" s="84" t="s">
        <v>497</v>
      </c>
      <c r="D324" s="86"/>
      <c r="E324" s="86"/>
      <c r="F324" s="87"/>
      <c r="G324" s="88">
        <v>0.99</v>
      </c>
    </row>
    <row r="325" spans="1:15" s="89" customFormat="1" ht="12.75" outlineLevel="1" x14ac:dyDescent="0.2">
      <c r="A325" s="84"/>
      <c r="B325" s="85" t="s">
        <v>409</v>
      </c>
      <c r="C325" s="84" t="s">
        <v>498</v>
      </c>
      <c r="D325" s="86"/>
      <c r="E325" s="86"/>
      <c r="F325" s="87"/>
      <c r="G325" s="88">
        <v>1</v>
      </c>
    </row>
    <row r="326" spans="1:15" s="69" customFormat="1" ht="22.5" customHeight="1" outlineLevel="1" x14ac:dyDescent="0.25">
      <c r="A326" s="70"/>
      <c r="B326" s="264" t="s">
        <v>480</v>
      </c>
      <c r="C326" s="81"/>
      <c r="D326" s="70"/>
      <c r="E326" s="82"/>
      <c r="F326" s="83"/>
      <c r="G326" s="265">
        <f>G322*G323*G324*G325</f>
        <v>2024.7796799999996</v>
      </c>
    </row>
    <row r="327" spans="1:15" s="69" customFormat="1" ht="23.25" customHeight="1" outlineLevel="1" x14ac:dyDescent="0.25">
      <c r="A327" s="66" t="s">
        <v>481</v>
      </c>
      <c r="B327" s="67" t="s">
        <v>482</v>
      </c>
      <c r="C327" s="68"/>
      <c r="D327" s="67"/>
      <c r="E327" s="67"/>
      <c r="F327" s="67"/>
      <c r="G327" s="67"/>
    </row>
    <row r="328" spans="1:15" s="69" customFormat="1" ht="35.25" customHeight="1" outlineLevel="1" x14ac:dyDescent="0.25">
      <c r="A328" s="70"/>
      <c r="B328" s="71" t="s">
        <v>408</v>
      </c>
      <c r="C328" s="956" t="s">
        <v>491</v>
      </c>
      <c r="D328" s="73" t="s">
        <v>0</v>
      </c>
      <c r="E328" s="74">
        <v>0.8</v>
      </c>
      <c r="F328" s="75">
        <v>21046.92</v>
      </c>
      <c r="G328" s="75">
        <f>E328*F328</f>
        <v>16837.536</v>
      </c>
      <c r="H328" s="69" t="e">
        <f>#REF!</f>
        <v>#REF!</v>
      </c>
      <c r="I328" s="69" t="s">
        <v>0</v>
      </c>
    </row>
    <row r="329" spans="1:15" s="89" customFormat="1" ht="51" outlineLevel="1" x14ac:dyDescent="0.2">
      <c r="A329" s="84"/>
      <c r="B329" s="85" t="s">
        <v>405</v>
      </c>
      <c r="C329" s="84" t="s">
        <v>492</v>
      </c>
      <c r="D329" s="86"/>
      <c r="E329" s="86"/>
      <c r="F329" s="87"/>
      <c r="G329" s="88">
        <v>0.84</v>
      </c>
    </row>
    <row r="330" spans="1:15" s="89" customFormat="1" ht="30" customHeight="1" outlineLevel="1" x14ac:dyDescent="0.2">
      <c r="A330" s="84"/>
      <c r="B330" s="85" t="s">
        <v>409</v>
      </c>
      <c r="C330" s="84" t="s">
        <v>493</v>
      </c>
      <c r="D330" s="86"/>
      <c r="E330" s="86"/>
      <c r="F330" s="87"/>
      <c r="G330" s="88">
        <v>1</v>
      </c>
    </row>
    <row r="331" spans="1:15" s="89" customFormat="1" ht="15.75" outlineLevel="1" x14ac:dyDescent="0.2">
      <c r="A331" s="84"/>
      <c r="B331" s="264" t="s">
        <v>520</v>
      </c>
      <c r="D331" s="86"/>
      <c r="E331" s="86"/>
      <c r="F331" s="87"/>
      <c r="G331" s="265">
        <f>SUM(G328*G329*G330)</f>
        <v>14143.53024</v>
      </c>
    </row>
    <row r="332" spans="1:15" s="69" customFormat="1" ht="23.25" customHeight="1" outlineLevel="1" x14ac:dyDescent="0.25">
      <c r="A332" s="66" t="s">
        <v>483</v>
      </c>
      <c r="B332" s="67" t="s">
        <v>476</v>
      </c>
      <c r="C332" s="68"/>
      <c r="D332" s="67"/>
      <c r="E332" s="67"/>
      <c r="F332" s="67"/>
      <c r="G332" s="67"/>
      <c r="I332" s="69" t="s">
        <v>618</v>
      </c>
    </row>
    <row r="333" spans="1:15" s="69" customFormat="1" ht="43.5" customHeight="1" outlineLevel="1" x14ac:dyDescent="0.2">
      <c r="A333" s="70"/>
      <c r="B333" s="71" t="s">
        <v>477</v>
      </c>
      <c r="C333" s="956" t="s">
        <v>499</v>
      </c>
      <c r="D333" s="73" t="s">
        <v>474</v>
      </c>
      <c r="E333" s="955">
        <v>120</v>
      </c>
      <c r="F333" s="75">
        <v>196.55</v>
      </c>
      <c r="G333" s="75">
        <f>E333*F333</f>
        <v>23586</v>
      </c>
      <c r="H333" s="69">
        <v>1.2</v>
      </c>
      <c r="I333" s="69" t="s">
        <v>0</v>
      </c>
      <c r="O333" s="89"/>
    </row>
    <row r="334" spans="1:15" s="89" customFormat="1" ht="51" outlineLevel="1" x14ac:dyDescent="0.2">
      <c r="A334" s="84"/>
      <c r="B334" s="85" t="s">
        <v>405</v>
      </c>
      <c r="C334" s="84" t="s">
        <v>496</v>
      </c>
      <c r="D334" s="86"/>
      <c r="E334" s="86"/>
      <c r="F334" s="87"/>
      <c r="G334" s="88">
        <v>0.84</v>
      </c>
      <c r="N334" s="69"/>
    </row>
    <row r="335" spans="1:15" s="89" customFormat="1" ht="49.5" customHeight="1" outlineLevel="1" x14ac:dyDescent="0.2">
      <c r="A335" s="84"/>
      <c r="B335" s="85" t="s">
        <v>478</v>
      </c>
      <c r="C335" s="84" t="s">
        <v>497</v>
      </c>
      <c r="D335" s="86"/>
      <c r="E335" s="86"/>
      <c r="F335" s="87"/>
      <c r="G335" s="88">
        <v>0.99</v>
      </c>
    </row>
    <row r="336" spans="1:15" s="89" customFormat="1" ht="12.75" outlineLevel="1" x14ac:dyDescent="0.2">
      <c r="A336" s="84"/>
      <c r="B336" s="85" t="s">
        <v>409</v>
      </c>
      <c r="C336" s="84" t="s">
        <v>498</v>
      </c>
      <c r="D336" s="86"/>
      <c r="E336" s="86"/>
      <c r="F336" s="87"/>
      <c r="G336" s="88">
        <v>1</v>
      </c>
    </row>
    <row r="337" spans="1:13" s="69" customFormat="1" ht="22.5" customHeight="1" outlineLevel="1" x14ac:dyDescent="0.25">
      <c r="A337" s="70"/>
      <c r="B337" s="264" t="s">
        <v>484</v>
      </c>
      <c r="C337" s="81"/>
      <c r="D337" s="70"/>
      <c r="E337" s="82"/>
      <c r="F337" s="83"/>
      <c r="G337" s="265">
        <f>G333*G334*G335*G336</f>
        <v>19614.117599999998</v>
      </c>
    </row>
    <row r="338" spans="1:13" s="69" customFormat="1" ht="23.25" customHeight="1" outlineLevel="1" x14ac:dyDescent="0.25">
      <c r="A338" s="66" t="s">
        <v>485</v>
      </c>
      <c r="B338" s="67" t="s">
        <v>603</v>
      </c>
      <c r="C338" s="68"/>
      <c r="D338" s="67"/>
      <c r="E338" s="67"/>
      <c r="F338" s="67"/>
      <c r="G338" s="67"/>
      <c r="M338" s="299"/>
    </row>
    <row r="339" spans="1:13" s="69" customFormat="1" ht="59.25" customHeight="1" outlineLevel="1" x14ac:dyDescent="0.25">
      <c r="A339" s="70"/>
      <c r="B339" s="71" t="s">
        <v>671</v>
      </c>
      <c r="C339" s="956" t="s">
        <v>602</v>
      </c>
      <c r="D339" s="73" t="s">
        <v>600</v>
      </c>
      <c r="E339" s="74">
        <v>0.7</v>
      </c>
      <c r="F339" s="75">
        <v>22732.5</v>
      </c>
      <c r="G339" s="75">
        <f>E339*F339</f>
        <v>15912.749999999998</v>
      </c>
    </row>
    <row r="340" spans="1:13" s="89" customFormat="1" ht="51" outlineLevel="1" x14ac:dyDescent="0.2">
      <c r="A340" s="84"/>
      <c r="B340" s="85" t="s">
        <v>405</v>
      </c>
      <c r="C340" s="84" t="s">
        <v>509</v>
      </c>
      <c r="D340" s="86"/>
      <c r="E340" s="86"/>
      <c r="F340" s="87"/>
      <c r="G340" s="88">
        <v>0.92</v>
      </c>
      <c r="M340" s="300"/>
    </row>
    <row r="341" spans="1:13" s="89" customFormat="1" ht="49.5" customHeight="1" outlineLevel="1" x14ac:dyDescent="0.2">
      <c r="A341" s="84"/>
      <c r="B341" s="85" t="s">
        <v>478</v>
      </c>
      <c r="C341" s="84" t="s">
        <v>604</v>
      </c>
      <c r="D341" s="86"/>
      <c r="E341" s="86"/>
      <c r="F341" s="87"/>
      <c r="G341" s="88">
        <v>0.98</v>
      </c>
    </row>
    <row r="342" spans="1:13" s="89" customFormat="1" ht="12.75" outlineLevel="1" x14ac:dyDescent="0.2">
      <c r="A342" s="84"/>
      <c r="B342" s="85" t="s">
        <v>409</v>
      </c>
      <c r="C342" s="84" t="s">
        <v>605</v>
      </c>
      <c r="D342" s="86"/>
      <c r="E342" s="86"/>
      <c r="F342" s="87"/>
      <c r="G342" s="88">
        <v>1</v>
      </c>
    </row>
    <row r="343" spans="1:13" s="69" customFormat="1" ht="22.5" customHeight="1" outlineLevel="1" x14ac:dyDescent="0.25">
      <c r="A343" s="70"/>
      <c r="B343" s="264" t="s">
        <v>490</v>
      </c>
      <c r="C343" s="81"/>
      <c r="D343" s="70"/>
      <c r="E343" s="82"/>
      <c r="F343" s="83"/>
      <c r="G343" s="265">
        <f>G339*G340*G341*G342</f>
        <v>14346.935399999998</v>
      </c>
    </row>
    <row r="344" spans="1:13" s="69" customFormat="1" ht="23.25" customHeight="1" outlineLevel="1" x14ac:dyDescent="0.25">
      <c r="A344" s="66" t="s">
        <v>523</v>
      </c>
      <c r="B344" s="67" t="s">
        <v>205</v>
      </c>
      <c r="C344" s="68"/>
      <c r="D344" s="67"/>
      <c r="E344" s="67"/>
      <c r="F344" s="67"/>
      <c r="G344" s="67"/>
    </row>
    <row r="345" spans="1:13" s="69" customFormat="1" ht="33.75" customHeight="1" outlineLevel="1" x14ac:dyDescent="0.25">
      <c r="A345" s="70"/>
      <c r="B345" s="71" t="s">
        <v>536</v>
      </c>
      <c r="C345" s="956" t="s">
        <v>500</v>
      </c>
      <c r="D345" s="73" t="s">
        <v>517</v>
      </c>
      <c r="E345" s="74">
        <v>80</v>
      </c>
      <c r="F345" s="75">
        <v>51.66</v>
      </c>
      <c r="G345" s="75">
        <f>E345*F345</f>
        <v>4132.7999999999993</v>
      </c>
      <c r="H345" s="69" t="s">
        <v>307</v>
      </c>
    </row>
    <row r="346" spans="1:13" s="89" customFormat="1" ht="51" outlineLevel="1" x14ac:dyDescent="0.2">
      <c r="A346" s="84"/>
      <c r="B346" s="85" t="s">
        <v>405</v>
      </c>
      <c r="C346" s="84" t="s">
        <v>501</v>
      </c>
      <c r="D346" s="86"/>
      <c r="E346" s="86"/>
      <c r="F346" s="87"/>
      <c r="G346" s="88">
        <v>0.82</v>
      </c>
    </row>
    <row r="347" spans="1:13" s="89" customFormat="1" ht="49.5" customHeight="1" outlineLevel="1" x14ac:dyDescent="0.2">
      <c r="A347" s="84"/>
      <c r="B347" s="85" t="s">
        <v>478</v>
      </c>
      <c r="C347" s="84" t="s">
        <v>502</v>
      </c>
      <c r="D347" s="86"/>
      <c r="E347" s="86"/>
      <c r="F347" s="87"/>
      <c r="G347" s="88">
        <v>0.99</v>
      </c>
    </row>
    <row r="348" spans="1:13" s="89" customFormat="1" ht="12.75" outlineLevel="1" x14ac:dyDescent="0.2">
      <c r="A348" s="84"/>
      <c r="B348" s="85" t="s">
        <v>409</v>
      </c>
      <c r="C348" s="84" t="s">
        <v>582</v>
      </c>
      <c r="D348" s="86"/>
      <c r="E348" s="86"/>
      <c r="F348" s="87"/>
      <c r="G348" s="88">
        <v>1</v>
      </c>
    </row>
    <row r="349" spans="1:13" s="69" customFormat="1" ht="22.5" customHeight="1" outlineLevel="1" x14ac:dyDescent="0.25">
      <c r="A349" s="70"/>
      <c r="B349" s="264" t="s">
        <v>572</v>
      </c>
      <c r="C349" s="81"/>
      <c r="D349" s="70"/>
      <c r="E349" s="82"/>
      <c r="F349" s="83"/>
      <c r="G349" s="265">
        <f>G345*G346*G347*G348</f>
        <v>3355.0070399999991</v>
      </c>
    </row>
    <row r="350" spans="1:13" s="69" customFormat="1" ht="23.25" customHeight="1" outlineLevel="1" x14ac:dyDescent="0.25">
      <c r="A350" s="66" t="s">
        <v>573</v>
      </c>
      <c r="B350" s="67" t="s">
        <v>538</v>
      </c>
      <c r="C350" s="68"/>
      <c r="D350" s="67"/>
      <c r="E350" s="67"/>
      <c r="F350" s="67"/>
      <c r="G350" s="67"/>
    </row>
    <row r="351" spans="1:13" s="69" customFormat="1" ht="33.75" customHeight="1" outlineLevel="1" x14ac:dyDescent="0.25">
      <c r="A351" s="70"/>
      <c r="B351" s="71" t="s">
        <v>541</v>
      </c>
      <c r="C351" s="956" t="s">
        <v>542</v>
      </c>
      <c r="D351" s="73" t="s">
        <v>540</v>
      </c>
      <c r="E351" s="74"/>
      <c r="F351" s="75">
        <v>97.67</v>
      </c>
      <c r="G351" s="75">
        <f>E351*F351</f>
        <v>0</v>
      </c>
    </row>
    <row r="352" spans="1:13" s="89" customFormat="1" ht="51" outlineLevel="1" x14ac:dyDescent="0.2">
      <c r="A352" s="84"/>
      <c r="B352" s="85" t="s">
        <v>405</v>
      </c>
      <c r="C352" s="84" t="s">
        <v>539</v>
      </c>
      <c r="D352" s="86"/>
      <c r="E352" s="86"/>
      <c r="F352" s="87"/>
      <c r="G352" s="88">
        <v>0.82</v>
      </c>
    </row>
    <row r="353" spans="1:17" s="89" customFormat="1" ht="38.25" customHeight="1" outlineLevel="1" x14ac:dyDescent="0.2">
      <c r="A353" s="84"/>
      <c r="B353" s="85" t="s">
        <v>478</v>
      </c>
      <c r="C353" s="84" t="s">
        <v>543</v>
      </c>
      <c r="D353" s="86"/>
      <c r="E353" s="86"/>
      <c r="F353" s="87"/>
      <c r="G353" s="88">
        <v>0.99</v>
      </c>
    </row>
    <row r="354" spans="1:17" s="89" customFormat="1" ht="12.75" outlineLevel="1" x14ac:dyDescent="0.2">
      <c r="A354" s="84"/>
      <c r="B354" s="85"/>
      <c r="C354" s="84"/>
      <c r="D354" s="86"/>
      <c r="E354" s="86"/>
      <c r="F354" s="87"/>
      <c r="G354" s="88"/>
    </row>
    <row r="355" spans="1:17" s="69" customFormat="1" ht="22.5" customHeight="1" outlineLevel="1" x14ac:dyDescent="0.25">
      <c r="A355" s="70"/>
      <c r="B355" s="264" t="s">
        <v>574</v>
      </c>
      <c r="C355" s="81"/>
      <c r="D355" s="70"/>
      <c r="E355" s="82"/>
      <c r="F355" s="83"/>
      <c r="G355" s="265">
        <f>G351*G352*G353</f>
        <v>0</v>
      </c>
    </row>
    <row r="356" spans="1:17" s="69" customFormat="1" ht="23.25" customHeight="1" outlineLevel="1" x14ac:dyDescent="0.25">
      <c r="A356" s="66" t="s">
        <v>577</v>
      </c>
      <c r="B356" s="67" t="s">
        <v>652</v>
      </c>
      <c r="C356" s="68"/>
      <c r="D356" s="67"/>
      <c r="E356" s="67"/>
      <c r="F356" s="67"/>
      <c r="G356" s="67"/>
    </row>
    <row r="357" spans="1:17" s="69" customFormat="1" ht="47.25" customHeight="1" outlineLevel="1" x14ac:dyDescent="0.25">
      <c r="A357" s="70"/>
      <c r="B357" s="71" t="s">
        <v>653</v>
      </c>
      <c r="C357" s="956" t="s">
        <v>654</v>
      </c>
      <c r="D357" s="73" t="s">
        <v>487</v>
      </c>
      <c r="E357" s="74">
        <v>30</v>
      </c>
      <c r="F357" s="75">
        <v>585.55999999999995</v>
      </c>
      <c r="G357" s="75">
        <f>E357*F357</f>
        <v>17566.8</v>
      </c>
    </row>
    <row r="358" spans="1:17" s="89" customFormat="1" ht="51" outlineLevel="1" x14ac:dyDescent="0.2">
      <c r="A358" s="84"/>
      <c r="B358" s="85" t="s">
        <v>405</v>
      </c>
      <c r="C358" s="84" t="s">
        <v>509</v>
      </c>
      <c r="D358" s="86"/>
      <c r="E358" s="86"/>
      <c r="F358" s="87"/>
      <c r="G358" s="88">
        <v>0.92</v>
      </c>
    </row>
    <row r="359" spans="1:17" s="89" customFormat="1" ht="49.5" customHeight="1" outlineLevel="1" x14ac:dyDescent="0.2">
      <c r="A359" s="84"/>
      <c r="B359" s="85" t="s">
        <v>489</v>
      </c>
      <c r="C359" s="84" t="s">
        <v>508</v>
      </c>
      <c r="D359" s="86"/>
      <c r="E359" s="86"/>
      <c r="F359" s="87"/>
      <c r="G359" s="88">
        <v>1.08</v>
      </c>
      <c r="H359" s="1222" t="s">
        <v>507</v>
      </c>
      <c r="I359" s="1223"/>
      <c r="J359" s="1223"/>
      <c r="K359" s="1223"/>
      <c r="L359" s="1223"/>
      <c r="M359" s="1223"/>
      <c r="N359" s="1223"/>
      <c r="O359" s="1223"/>
      <c r="P359" s="1223"/>
      <c r="Q359" s="1223"/>
    </row>
    <row r="360" spans="1:17" s="89" customFormat="1" ht="49.5" customHeight="1" outlineLevel="1" x14ac:dyDescent="0.2">
      <c r="A360" s="84"/>
      <c r="B360" s="85" t="s">
        <v>488</v>
      </c>
      <c r="C360" s="84" t="s">
        <v>510</v>
      </c>
      <c r="D360" s="86"/>
      <c r="E360" s="86"/>
      <c r="F360" s="87"/>
      <c r="G360" s="88">
        <v>0.98</v>
      </c>
    </row>
    <row r="361" spans="1:17" s="89" customFormat="1" ht="12.75" outlineLevel="1" x14ac:dyDescent="0.2">
      <c r="A361" s="84"/>
      <c r="B361" s="85" t="s">
        <v>409</v>
      </c>
      <c r="C361" s="84" t="s">
        <v>511</v>
      </c>
      <c r="D361" s="86"/>
      <c r="E361" s="86"/>
      <c r="F361" s="87"/>
      <c r="G361" s="88">
        <v>1</v>
      </c>
    </row>
    <row r="362" spans="1:17" s="69" customFormat="1" ht="22.5" customHeight="1" outlineLevel="1" x14ac:dyDescent="0.25">
      <c r="A362" s="70"/>
      <c r="B362" s="264" t="s">
        <v>580</v>
      </c>
      <c r="C362" s="81"/>
      <c r="D362" s="70"/>
      <c r="E362" s="82"/>
      <c r="F362" s="83"/>
      <c r="G362" s="265">
        <f>G357*G358*G359*G360*G361</f>
        <v>17105.285030400002</v>
      </c>
    </row>
    <row r="363" spans="1:17" s="69" customFormat="1" ht="52.5" customHeight="1" outlineLevel="1" x14ac:dyDescent="0.25">
      <c r="A363" s="66" t="s">
        <v>581</v>
      </c>
      <c r="B363" s="67" t="s">
        <v>486</v>
      </c>
      <c r="C363" s="68"/>
      <c r="D363" s="67"/>
      <c r="E363" s="67"/>
      <c r="F363" s="67"/>
      <c r="G363" s="67"/>
    </row>
    <row r="364" spans="1:17" s="69" customFormat="1" ht="47.25" customHeight="1" outlineLevel="1" x14ac:dyDescent="0.25">
      <c r="A364" s="70"/>
      <c r="B364" s="71" t="s">
        <v>656</v>
      </c>
      <c r="C364" s="956" t="s">
        <v>655</v>
      </c>
      <c r="D364" s="73" t="s">
        <v>487</v>
      </c>
      <c r="E364" s="74">
        <v>20</v>
      </c>
      <c r="F364" s="75">
        <v>240.12</v>
      </c>
      <c r="G364" s="75">
        <f>E364*F364</f>
        <v>4802.3999999999996</v>
      </c>
    </row>
    <row r="365" spans="1:17" s="89" customFormat="1" ht="51" outlineLevel="1" x14ac:dyDescent="0.2">
      <c r="A365" s="84"/>
      <c r="B365" s="85" t="s">
        <v>405</v>
      </c>
      <c r="C365" s="84" t="s">
        <v>509</v>
      </c>
      <c r="D365" s="86"/>
      <c r="E365" s="86"/>
      <c r="F365" s="87"/>
      <c r="G365" s="88">
        <v>0.92</v>
      </c>
    </row>
    <row r="366" spans="1:17" s="89" customFormat="1" ht="49.5" customHeight="1" outlineLevel="1" x14ac:dyDescent="0.2">
      <c r="A366" s="84"/>
      <c r="B366" s="85" t="s">
        <v>489</v>
      </c>
      <c r="C366" s="84" t="s">
        <v>508</v>
      </c>
      <c r="D366" s="86"/>
      <c r="E366" s="86"/>
      <c r="F366" s="87"/>
      <c r="G366" s="88">
        <v>1.08</v>
      </c>
      <c r="H366" s="1222" t="s">
        <v>507</v>
      </c>
      <c r="I366" s="1223"/>
      <c r="J366" s="1223"/>
      <c r="K366" s="1223"/>
      <c r="L366" s="1223"/>
      <c r="M366" s="1223"/>
      <c r="N366" s="1223"/>
      <c r="O366" s="1223"/>
      <c r="P366" s="1223"/>
      <c r="Q366" s="1223"/>
    </row>
    <row r="367" spans="1:17" s="89" customFormat="1" ht="49.5" customHeight="1" outlineLevel="1" x14ac:dyDescent="0.2">
      <c r="A367" s="84"/>
      <c r="B367" s="85" t="s">
        <v>488</v>
      </c>
      <c r="C367" s="84" t="s">
        <v>510</v>
      </c>
      <c r="D367" s="86"/>
      <c r="E367" s="86"/>
      <c r="F367" s="87"/>
      <c r="G367" s="88">
        <v>0.98</v>
      </c>
    </row>
    <row r="368" spans="1:17" s="89" customFormat="1" ht="12.75" outlineLevel="1" x14ac:dyDescent="0.2">
      <c r="A368" s="84"/>
      <c r="B368" s="85" t="s">
        <v>409</v>
      </c>
      <c r="C368" s="84" t="s">
        <v>511</v>
      </c>
      <c r="D368" s="86"/>
      <c r="E368" s="86"/>
      <c r="F368" s="87"/>
      <c r="G368" s="88">
        <v>1</v>
      </c>
    </row>
    <row r="369" spans="1:13" s="69" customFormat="1" ht="22.5" customHeight="1" outlineLevel="1" x14ac:dyDescent="0.25">
      <c r="A369" s="70"/>
      <c r="B369" s="264" t="s">
        <v>578</v>
      </c>
      <c r="C369" s="81"/>
      <c r="D369" s="70"/>
      <c r="E369" s="82"/>
      <c r="F369" s="83"/>
      <c r="G369" s="265">
        <f>G364*G365*G366*G367*G368</f>
        <v>4676.2313471999996</v>
      </c>
    </row>
    <row r="370" spans="1:13" s="69" customFormat="1" ht="23.25" customHeight="1" outlineLevel="1" x14ac:dyDescent="0.25">
      <c r="A370" s="66" t="s">
        <v>579</v>
      </c>
      <c r="B370" s="67" t="s">
        <v>2374</v>
      </c>
      <c r="C370" s="331"/>
      <c r="D370" s="67"/>
      <c r="E370" s="67"/>
      <c r="F370" s="67"/>
      <c r="G370" s="67"/>
    </row>
    <row r="371" spans="1:13" s="69" customFormat="1" ht="46.5" customHeight="1" outlineLevel="1" x14ac:dyDescent="0.25">
      <c r="A371" s="70"/>
      <c r="B371" s="71" t="s">
        <v>2381</v>
      </c>
      <c r="C371" s="331" t="s">
        <v>2382</v>
      </c>
      <c r="D371" s="73" t="s">
        <v>714</v>
      </c>
      <c r="E371" s="74">
        <v>520</v>
      </c>
      <c r="F371" s="75">
        <v>455.16</v>
      </c>
      <c r="G371" s="822">
        <f>E371*F371</f>
        <v>236683.2</v>
      </c>
    </row>
    <row r="372" spans="1:13" s="89" customFormat="1" ht="12.75" outlineLevel="1" x14ac:dyDescent="0.2">
      <c r="A372" s="84"/>
      <c r="B372" s="85"/>
      <c r="C372" s="84"/>
      <c r="D372" s="86"/>
      <c r="E372" s="86"/>
      <c r="F372" s="87"/>
      <c r="G372" s="88"/>
    </row>
    <row r="373" spans="1:13" s="89" customFormat="1" ht="51" outlineLevel="1" x14ac:dyDescent="0.2">
      <c r="A373" s="84"/>
      <c r="B373" s="85" t="s">
        <v>405</v>
      </c>
      <c r="C373" s="84" t="s">
        <v>2378</v>
      </c>
      <c r="D373" s="86"/>
      <c r="E373" s="86"/>
      <c r="F373" s="87"/>
      <c r="G373" s="88">
        <v>0.84</v>
      </c>
    </row>
    <row r="374" spans="1:13" s="89" customFormat="1" ht="49.5" customHeight="1" outlineLevel="1" x14ac:dyDescent="0.2">
      <c r="A374" s="84"/>
      <c r="B374" s="85" t="s">
        <v>488</v>
      </c>
      <c r="C374" s="84" t="s">
        <v>2379</v>
      </c>
      <c r="D374" s="86"/>
      <c r="E374" s="86"/>
      <c r="F374" s="87"/>
      <c r="G374" s="88">
        <v>0.99</v>
      </c>
    </row>
    <row r="375" spans="1:13" s="69" customFormat="1" ht="22.5" customHeight="1" outlineLevel="1" x14ac:dyDescent="0.25">
      <c r="A375" s="70"/>
      <c r="B375" s="264" t="s">
        <v>583</v>
      </c>
      <c r="C375" s="332"/>
      <c r="D375" s="70"/>
      <c r="E375" s="82"/>
      <c r="F375" s="83"/>
      <c r="G375" s="265">
        <f>G371*G373*G374</f>
        <v>196825.74911999999</v>
      </c>
    </row>
    <row r="376" spans="1:13" s="69" customFormat="1" ht="22.5" customHeight="1" x14ac:dyDescent="0.25">
      <c r="A376" s="267"/>
      <c r="B376" s="266" t="s">
        <v>2380</v>
      </c>
      <c r="C376" s="81"/>
      <c r="D376" s="70"/>
      <c r="E376" s="82"/>
      <c r="F376" s="83"/>
      <c r="G376" s="265">
        <f>G320+G326+G331+G337+G343+G349+G355+G362+G369+G375</f>
        <v>276950.55384191999</v>
      </c>
      <c r="H376" s="299"/>
      <c r="I376" s="102"/>
    </row>
    <row r="377" spans="1:13" s="43" customFormat="1" ht="18" customHeight="1" x14ac:dyDescent="0.25">
      <c r="A377" s="1218" t="s">
        <v>144</v>
      </c>
      <c r="B377" s="1218"/>
      <c r="C377" s="1218"/>
      <c r="D377" s="1218"/>
      <c r="E377" s="1218"/>
      <c r="F377" s="1218"/>
      <c r="G377" s="1218"/>
      <c r="H377" s="52"/>
      <c r="I377" s="60"/>
      <c r="J377" s="60"/>
      <c r="K377" s="60"/>
      <c r="L377" s="61"/>
      <c r="M377" s="61"/>
    </row>
    <row r="378" spans="1:13" s="69" customFormat="1" ht="23.25" customHeight="1" outlineLevel="1" x14ac:dyDescent="0.25">
      <c r="A378" s="66" t="s">
        <v>365</v>
      </c>
      <c r="B378" s="67" t="s">
        <v>147</v>
      </c>
      <c r="C378" s="68"/>
      <c r="D378" s="67"/>
      <c r="E378" s="67"/>
      <c r="F378" s="67"/>
      <c r="G378" s="67"/>
      <c r="H378" s="958" t="s">
        <v>307</v>
      </c>
      <c r="I378" s="959" t="s">
        <v>651</v>
      </c>
    </row>
    <row r="379" spans="1:13" s="69" customFormat="1" ht="43.5" customHeight="1" outlineLevel="1" x14ac:dyDescent="0.25">
      <c r="A379" s="70"/>
      <c r="B379" s="71" t="s">
        <v>617</v>
      </c>
      <c r="C379" s="956" t="s">
        <v>615</v>
      </c>
      <c r="D379" s="73" t="s">
        <v>616</v>
      </c>
      <c r="E379" s="74">
        <v>30</v>
      </c>
      <c r="F379" s="75">
        <v>7849.84</v>
      </c>
      <c r="G379" s="75">
        <f>E379*F379</f>
        <v>235495.2</v>
      </c>
    </row>
    <row r="380" spans="1:13" s="89" customFormat="1" ht="51" outlineLevel="1" x14ac:dyDescent="0.2">
      <c r="A380" s="84"/>
      <c r="B380" s="85" t="s">
        <v>405</v>
      </c>
      <c r="C380" s="84" t="s">
        <v>567</v>
      </c>
      <c r="D380" s="86"/>
      <c r="E380" s="86"/>
      <c r="F380" s="87"/>
      <c r="G380" s="88">
        <v>0.82</v>
      </c>
    </row>
    <row r="381" spans="1:13" s="89" customFormat="1" ht="49.5" customHeight="1" outlineLevel="1" x14ac:dyDescent="0.2">
      <c r="A381" s="84"/>
      <c r="B381" s="85" t="s">
        <v>478</v>
      </c>
      <c r="C381" s="84" t="s">
        <v>610</v>
      </c>
      <c r="D381" s="86"/>
      <c r="E381" s="86"/>
      <c r="F381" s="87"/>
      <c r="G381" s="88">
        <v>0.99</v>
      </c>
    </row>
    <row r="382" spans="1:13" s="89" customFormat="1" ht="12.75" outlineLevel="1" x14ac:dyDescent="0.2">
      <c r="A382" s="84"/>
      <c r="B382" s="85" t="s">
        <v>409</v>
      </c>
      <c r="C382" s="84" t="s">
        <v>611</v>
      </c>
      <c r="D382" s="86"/>
      <c r="E382" s="86"/>
      <c r="F382" s="87"/>
      <c r="G382" s="88">
        <v>1.03</v>
      </c>
    </row>
    <row r="383" spans="1:13" s="69" customFormat="1" ht="22.5" customHeight="1" outlineLevel="1" x14ac:dyDescent="0.25">
      <c r="A383" s="70"/>
      <c r="B383" s="264" t="s">
        <v>571</v>
      </c>
      <c r="C383" s="81"/>
      <c r="D383" s="70"/>
      <c r="E383" s="82"/>
      <c r="F383" s="83"/>
      <c r="G383" s="265">
        <f>G379*G380*G381*G382</f>
        <v>196910.25346079998</v>
      </c>
      <c r="H383" s="102"/>
    </row>
    <row r="384" spans="1:13" s="69" customFormat="1" ht="34.5" customHeight="1" outlineLevel="1" x14ac:dyDescent="0.25">
      <c r="A384" s="66" t="s">
        <v>479</v>
      </c>
      <c r="B384" s="67" t="s">
        <v>149</v>
      </c>
      <c r="C384" s="68"/>
      <c r="D384" s="67"/>
      <c r="E384" s="67"/>
      <c r="F384" s="67"/>
      <c r="G384" s="67"/>
    </row>
    <row r="385" spans="1:15" s="69" customFormat="1" ht="43.5" customHeight="1" outlineLevel="1" x14ac:dyDescent="0.2">
      <c r="A385" s="70"/>
      <c r="B385" s="71" t="s">
        <v>612</v>
      </c>
      <c r="C385" s="956" t="s">
        <v>547</v>
      </c>
      <c r="D385" s="73" t="s">
        <v>474</v>
      </c>
      <c r="E385" s="955">
        <v>4.2</v>
      </c>
      <c r="F385" s="75">
        <v>176.87</v>
      </c>
      <c r="G385" s="75">
        <f>E385*F385</f>
        <v>742.85400000000004</v>
      </c>
      <c r="H385" s="69">
        <v>1.8</v>
      </c>
      <c r="I385" s="69" t="s">
        <v>0</v>
      </c>
      <c r="O385" s="89"/>
    </row>
    <row r="386" spans="1:15" s="89" customFormat="1" ht="51" outlineLevel="1" x14ac:dyDescent="0.2">
      <c r="A386" s="84"/>
      <c r="B386" s="85" t="s">
        <v>405</v>
      </c>
      <c r="C386" s="84" t="s">
        <v>496</v>
      </c>
      <c r="D386" s="86"/>
      <c r="E386" s="86"/>
      <c r="F386" s="87"/>
      <c r="G386" s="88">
        <v>0.84</v>
      </c>
      <c r="N386" s="69"/>
    </row>
    <row r="387" spans="1:15" s="89" customFormat="1" ht="49.5" customHeight="1" outlineLevel="1" x14ac:dyDescent="0.2">
      <c r="A387" s="84"/>
      <c r="B387" s="85" t="s">
        <v>478</v>
      </c>
      <c r="C387" s="84" t="s">
        <v>497</v>
      </c>
      <c r="D387" s="86"/>
      <c r="E387" s="86"/>
      <c r="F387" s="87"/>
      <c r="G387" s="88">
        <v>0.99</v>
      </c>
    </row>
    <row r="388" spans="1:15" s="89" customFormat="1" ht="12.75" outlineLevel="1" x14ac:dyDescent="0.2">
      <c r="A388" s="84"/>
      <c r="B388" s="85" t="s">
        <v>409</v>
      </c>
      <c r="C388" s="84" t="s">
        <v>498</v>
      </c>
      <c r="D388" s="86"/>
      <c r="E388" s="86"/>
      <c r="F388" s="87"/>
      <c r="G388" s="88">
        <v>1</v>
      </c>
    </row>
    <row r="389" spans="1:15" s="69" customFormat="1" ht="22.5" customHeight="1" outlineLevel="1" x14ac:dyDescent="0.25">
      <c r="A389" s="70"/>
      <c r="B389" s="264" t="s">
        <v>480</v>
      </c>
      <c r="C389" s="81"/>
      <c r="D389" s="70"/>
      <c r="E389" s="82"/>
      <c r="F389" s="83"/>
      <c r="G389" s="265">
        <f>G385*G386*G387*G388</f>
        <v>617.75738639999997</v>
      </c>
    </row>
    <row r="390" spans="1:15" s="69" customFormat="1" ht="23.25" customHeight="1" outlineLevel="1" x14ac:dyDescent="0.25">
      <c r="A390" s="66" t="s">
        <v>481</v>
      </c>
      <c r="B390" s="67" t="s">
        <v>472</v>
      </c>
      <c r="C390" s="68"/>
      <c r="D390" s="67"/>
      <c r="E390" s="67"/>
      <c r="F390" s="67"/>
      <c r="G390" s="67"/>
    </row>
    <row r="391" spans="1:15" s="69" customFormat="1" ht="47.25" customHeight="1" outlineLevel="1" x14ac:dyDescent="0.25">
      <c r="A391" s="70"/>
      <c r="B391" s="71" t="s">
        <v>473</v>
      </c>
      <c r="C391" s="956" t="s">
        <v>495</v>
      </c>
      <c r="D391" s="73" t="s">
        <v>474</v>
      </c>
      <c r="E391" s="74">
        <v>180</v>
      </c>
      <c r="F391" s="75">
        <v>20.29</v>
      </c>
      <c r="G391" s="75">
        <f>E391*F391</f>
        <v>3652.2</v>
      </c>
      <c r="H391" s="69">
        <v>1.8</v>
      </c>
      <c r="I391" s="69" t="s">
        <v>0</v>
      </c>
    </row>
    <row r="392" spans="1:15" s="89" customFormat="1" ht="51" outlineLevel="1" x14ac:dyDescent="0.2">
      <c r="A392" s="84"/>
      <c r="B392" s="85" t="s">
        <v>405</v>
      </c>
      <c r="C392" s="84" t="s">
        <v>496</v>
      </c>
      <c r="D392" s="86"/>
      <c r="E392" s="86"/>
      <c r="F392" s="87"/>
      <c r="G392" s="88">
        <v>0.84</v>
      </c>
    </row>
    <row r="393" spans="1:15" s="89" customFormat="1" ht="49.5" customHeight="1" outlineLevel="1" x14ac:dyDescent="0.2">
      <c r="A393" s="84"/>
      <c r="B393" s="85" t="s">
        <v>478</v>
      </c>
      <c r="C393" s="84" t="s">
        <v>497</v>
      </c>
      <c r="D393" s="86"/>
      <c r="E393" s="86"/>
      <c r="F393" s="87"/>
      <c r="G393" s="88">
        <v>0.99</v>
      </c>
    </row>
    <row r="394" spans="1:15" s="89" customFormat="1" ht="12.75" outlineLevel="1" x14ac:dyDescent="0.2">
      <c r="A394" s="84"/>
      <c r="B394" s="85" t="s">
        <v>409</v>
      </c>
      <c r="C394" s="84" t="s">
        <v>498</v>
      </c>
      <c r="D394" s="86"/>
      <c r="E394" s="86"/>
      <c r="F394" s="87"/>
      <c r="G394" s="88">
        <v>1</v>
      </c>
    </row>
    <row r="395" spans="1:15" s="69" customFormat="1" ht="22.5" customHeight="1" outlineLevel="1" x14ac:dyDescent="0.25">
      <c r="A395" s="70"/>
      <c r="B395" s="264" t="s">
        <v>520</v>
      </c>
      <c r="C395" s="81"/>
      <c r="D395" s="70"/>
      <c r="E395" s="82"/>
      <c r="F395" s="83"/>
      <c r="G395" s="265">
        <f>G391*G392*G393*G394</f>
        <v>3037.1695199999999</v>
      </c>
    </row>
    <row r="396" spans="1:15" s="69" customFormat="1" ht="23.25" customHeight="1" outlineLevel="1" x14ac:dyDescent="0.25">
      <c r="A396" s="66" t="s">
        <v>483</v>
      </c>
      <c r="B396" s="67" t="s">
        <v>482</v>
      </c>
      <c r="C396" s="68"/>
      <c r="D396" s="67"/>
      <c r="E396" s="67"/>
      <c r="F396" s="67"/>
      <c r="G396" s="67"/>
    </row>
    <row r="397" spans="1:15" s="69" customFormat="1" ht="35.25" customHeight="1" outlineLevel="1" x14ac:dyDescent="0.25">
      <c r="A397" s="70"/>
      <c r="B397" s="71" t="s">
        <v>408</v>
      </c>
      <c r="C397" s="956" t="s">
        <v>491</v>
      </c>
      <c r="D397" s="73" t="s">
        <v>0</v>
      </c>
      <c r="E397" s="74">
        <v>1</v>
      </c>
      <c r="F397" s="75">
        <v>21046.92</v>
      </c>
      <c r="G397" s="75">
        <f>E397*F397</f>
        <v>21046.92</v>
      </c>
      <c r="H397" s="69">
        <v>1</v>
      </c>
      <c r="I397" s="69" t="s">
        <v>0</v>
      </c>
    </row>
    <row r="398" spans="1:15" s="89" customFormat="1" ht="51" outlineLevel="1" x14ac:dyDescent="0.2">
      <c r="A398" s="84"/>
      <c r="B398" s="85" t="s">
        <v>405</v>
      </c>
      <c r="C398" s="84" t="s">
        <v>492</v>
      </c>
      <c r="D398" s="86"/>
      <c r="E398" s="86"/>
      <c r="F398" s="87"/>
      <c r="G398" s="88">
        <v>0.84</v>
      </c>
    </row>
    <row r="399" spans="1:15" s="89" customFormat="1" ht="30" customHeight="1" outlineLevel="1" x14ac:dyDescent="0.2">
      <c r="A399" s="84"/>
      <c r="B399" s="85" t="s">
        <v>409</v>
      </c>
      <c r="C399" s="84" t="s">
        <v>493</v>
      </c>
      <c r="D399" s="86"/>
      <c r="E399" s="86"/>
      <c r="F399" s="87"/>
      <c r="G399" s="88">
        <v>1</v>
      </c>
    </row>
    <row r="400" spans="1:15" s="89" customFormat="1" ht="15.75" outlineLevel="1" x14ac:dyDescent="0.2">
      <c r="A400" s="84"/>
      <c r="B400" s="264" t="s">
        <v>484</v>
      </c>
      <c r="D400" s="86"/>
      <c r="E400" s="86"/>
      <c r="F400" s="87"/>
      <c r="G400" s="265">
        <f>SUM(G397*G398*G399)</f>
        <v>17679.412799999998</v>
      </c>
    </row>
    <row r="401" spans="1:15" s="69" customFormat="1" ht="23.25" customHeight="1" outlineLevel="1" x14ac:dyDescent="0.25">
      <c r="A401" s="66" t="s">
        <v>479</v>
      </c>
      <c r="B401" s="67" t="s">
        <v>476</v>
      </c>
      <c r="C401" s="68"/>
      <c r="D401" s="67"/>
      <c r="E401" s="67"/>
      <c r="F401" s="67"/>
      <c r="G401" s="67"/>
      <c r="I401" s="69" t="s">
        <v>618</v>
      </c>
    </row>
    <row r="402" spans="1:15" s="69" customFormat="1" ht="43.5" customHeight="1" outlineLevel="1" x14ac:dyDescent="0.2">
      <c r="A402" s="70"/>
      <c r="B402" s="71" t="s">
        <v>477</v>
      </c>
      <c r="C402" s="956" t="s">
        <v>499</v>
      </c>
      <c r="D402" s="73" t="s">
        <v>474</v>
      </c>
      <c r="E402" s="955">
        <v>40</v>
      </c>
      <c r="F402" s="75">
        <v>196.55</v>
      </c>
      <c r="G402" s="75">
        <f>E402*F402</f>
        <v>7862</v>
      </c>
      <c r="H402" s="69">
        <v>0.4</v>
      </c>
      <c r="I402" s="69" t="s">
        <v>0</v>
      </c>
      <c r="O402" s="89"/>
    </row>
    <row r="403" spans="1:15" s="89" customFormat="1" ht="51" outlineLevel="1" x14ac:dyDescent="0.2">
      <c r="A403" s="84"/>
      <c r="B403" s="85" t="s">
        <v>405</v>
      </c>
      <c r="C403" s="84" t="s">
        <v>496</v>
      </c>
      <c r="D403" s="86"/>
      <c r="E403" s="86"/>
      <c r="F403" s="87"/>
      <c r="G403" s="88">
        <v>0.84</v>
      </c>
      <c r="N403" s="69"/>
    </row>
    <row r="404" spans="1:15" s="89" customFormat="1" ht="49.5" customHeight="1" outlineLevel="1" x14ac:dyDescent="0.2">
      <c r="A404" s="84"/>
      <c r="B404" s="85" t="s">
        <v>478</v>
      </c>
      <c r="C404" s="84" t="s">
        <v>497</v>
      </c>
      <c r="D404" s="86"/>
      <c r="E404" s="86"/>
      <c r="F404" s="87"/>
      <c r="G404" s="88">
        <v>0.99</v>
      </c>
    </row>
    <row r="405" spans="1:15" s="89" customFormat="1" ht="12.75" outlineLevel="1" x14ac:dyDescent="0.2">
      <c r="A405" s="84"/>
      <c r="B405" s="85" t="s">
        <v>409</v>
      </c>
      <c r="C405" s="84" t="s">
        <v>498</v>
      </c>
      <c r="D405" s="86"/>
      <c r="E405" s="86"/>
      <c r="F405" s="87"/>
      <c r="G405" s="88">
        <v>1</v>
      </c>
    </row>
    <row r="406" spans="1:15" s="69" customFormat="1" ht="22.5" customHeight="1" outlineLevel="1" x14ac:dyDescent="0.25">
      <c r="A406" s="70"/>
      <c r="B406" s="264" t="s">
        <v>480</v>
      </c>
      <c r="C406" s="81"/>
      <c r="D406" s="70"/>
      <c r="E406" s="82"/>
      <c r="F406" s="83"/>
      <c r="G406" s="265">
        <f>G402*G403*G404*G405</f>
        <v>6538.0392000000002</v>
      </c>
    </row>
    <row r="407" spans="1:15" s="69" customFormat="1" ht="23.25" customHeight="1" outlineLevel="1" x14ac:dyDescent="0.25">
      <c r="A407" s="66" t="s">
        <v>481</v>
      </c>
      <c r="B407" s="67" t="s">
        <v>603</v>
      </c>
      <c r="C407" s="68"/>
      <c r="D407" s="67"/>
      <c r="E407" s="67"/>
      <c r="F407" s="67"/>
      <c r="G407" s="67"/>
      <c r="M407" s="299"/>
    </row>
    <row r="408" spans="1:15" s="69" customFormat="1" ht="45" customHeight="1" outlineLevel="1" x14ac:dyDescent="0.25">
      <c r="A408" s="70"/>
      <c r="B408" s="71" t="s">
        <v>601</v>
      </c>
      <c r="C408" s="956" t="s">
        <v>602</v>
      </c>
      <c r="D408" s="73" t="s">
        <v>600</v>
      </c>
      <c r="E408" s="74">
        <v>0.1</v>
      </c>
      <c r="F408" s="75">
        <v>22732.5</v>
      </c>
      <c r="G408" s="75">
        <f>E408*F408</f>
        <v>2273.25</v>
      </c>
    </row>
    <row r="409" spans="1:15" s="89" customFormat="1" ht="51" outlineLevel="1" x14ac:dyDescent="0.2">
      <c r="A409" s="84"/>
      <c r="B409" s="85" t="s">
        <v>405</v>
      </c>
      <c r="C409" s="84" t="s">
        <v>509</v>
      </c>
      <c r="D409" s="86"/>
      <c r="E409" s="86"/>
      <c r="F409" s="87"/>
      <c r="G409" s="88">
        <v>0.92</v>
      </c>
      <c r="M409" s="300"/>
    </row>
    <row r="410" spans="1:15" s="89" customFormat="1" ht="49.5" customHeight="1" outlineLevel="1" x14ac:dyDescent="0.2">
      <c r="A410" s="84"/>
      <c r="B410" s="85" t="s">
        <v>478</v>
      </c>
      <c r="C410" s="84" t="s">
        <v>604</v>
      </c>
      <c r="D410" s="86"/>
      <c r="E410" s="86"/>
      <c r="F410" s="87"/>
      <c r="G410" s="88">
        <v>0.98</v>
      </c>
    </row>
    <row r="411" spans="1:15" s="89" customFormat="1" ht="12.75" outlineLevel="1" x14ac:dyDescent="0.2">
      <c r="A411" s="84"/>
      <c r="B411" s="85" t="s">
        <v>409</v>
      </c>
      <c r="C411" s="84" t="s">
        <v>605</v>
      </c>
      <c r="D411" s="86"/>
      <c r="E411" s="86"/>
      <c r="F411" s="87"/>
      <c r="G411" s="88">
        <v>1</v>
      </c>
    </row>
    <row r="412" spans="1:15" s="69" customFormat="1" ht="22.5" customHeight="1" outlineLevel="1" x14ac:dyDescent="0.25">
      <c r="A412" s="70"/>
      <c r="B412" s="264" t="s">
        <v>520</v>
      </c>
      <c r="C412" s="81"/>
      <c r="D412" s="70"/>
      <c r="E412" s="82"/>
      <c r="F412" s="83"/>
      <c r="G412" s="265">
        <f>G408*G409*G410*G411</f>
        <v>2049.5621999999998</v>
      </c>
    </row>
    <row r="413" spans="1:15" s="69" customFormat="1" ht="23.25" customHeight="1" outlineLevel="1" x14ac:dyDescent="0.25">
      <c r="A413" s="66" t="s">
        <v>523</v>
      </c>
      <c r="B413" s="67" t="s">
        <v>205</v>
      </c>
      <c r="C413" s="68"/>
      <c r="D413" s="67"/>
      <c r="E413" s="67"/>
      <c r="F413" s="67"/>
      <c r="G413" s="67"/>
    </row>
    <row r="414" spans="1:15" s="69" customFormat="1" ht="33.75" customHeight="1" outlineLevel="1" x14ac:dyDescent="0.25">
      <c r="A414" s="70"/>
      <c r="B414" s="71" t="s">
        <v>536</v>
      </c>
      <c r="C414" s="956" t="s">
        <v>500</v>
      </c>
      <c r="D414" s="73" t="s">
        <v>517</v>
      </c>
      <c r="E414" s="74">
        <v>60</v>
      </c>
      <c r="F414" s="75">
        <v>51.66</v>
      </c>
      <c r="G414" s="75">
        <f>E414*F414</f>
        <v>3099.6</v>
      </c>
      <c r="H414" s="69" t="s">
        <v>307</v>
      </c>
    </row>
    <row r="415" spans="1:15" s="89" customFormat="1" ht="51" outlineLevel="1" x14ac:dyDescent="0.2">
      <c r="A415" s="84"/>
      <c r="B415" s="85" t="s">
        <v>405</v>
      </c>
      <c r="C415" s="84" t="s">
        <v>501</v>
      </c>
      <c r="D415" s="86"/>
      <c r="E415" s="86"/>
      <c r="F415" s="87"/>
      <c r="G415" s="88">
        <v>0.82</v>
      </c>
    </row>
    <row r="416" spans="1:15" s="89" customFormat="1" ht="49.5" customHeight="1" outlineLevel="1" x14ac:dyDescent="0.2">
      <c r="A416" s="84"/>
      <c r="B416" s="85" t="s">
        <v>478</v>
      </c>
      <c r="C416" s="84" t="s">
        <v>502</v>
      </c>
      <c r="D416" s="86"/>
      <c r="E416" s="86"/>
      <c r="F416" s="87"/>
      <c r="G416" s="88">
        <v>0.99</v>
      </c>
    </row>
    <row r="417" spans="1:17" s="89" customFormat="1" ht="12.75" outlineLevel="1" x14ac:dyDescent="0.2">
      <c r="A417" s="84"/>
      <c r="B417" s="85" t="s">
        <v>409</v>
      </c>
      <c r="C417" s="84" t="s">
        <v>582</v>
      </c>
      <c r="D417" s="86"/>
      <c r="E417" s="86"/>
      <c r="F417" s="87"/>
      <c r="G417" s="88">
        <v>1</v>
      </c>
    </row>
    <row r="418" spans="1:17" s="69" customFormat="1" ht="22.5" customHeight="1" outlineLevel="1" x14ac:dyDescent="0.25">
      <c r="A418" s="70"/>
      <c r="B418" s="264" t="s">
        <v>572</v>
      </c>
      <c r="C418" s="81"/>
      <c r="D418" s="70"/>
      <c r="E418" s="82"/>
      <c r="F418" s="83"/>
      <c r="G418" s="265">
        <f>G414*G415*G416*G417</f>
        <v>2516.2552799999994</v>
      </c>
    </row>
    <row r="419" spans="1:17" s="69" customFormat="1" ht="23.25" customHeight="1" outlineLevel="1" x14ac:dyDescent="0.25">
      <c r="A419" s="66" t="s">
        <v>577</v>
      </c>
      <c r="B419" s="67" t="s">
        <v>538</v>
      </c>
      <c r="C419" s="68"/>
      <c r="D419" s="67"/>
      <c r="E419" s="67"/>
      <c r="F419" s="67"/>
      <c r="G419" s="67"/>
    </row>
    <row r="420" spans="1:17" s="69" customFormat="1" ht="33.75" customHeight="1" outlineLevel="1" x14ac:dyDescent="0.25">
      <c r="A420" s="70"/>
      <c r="B420" s="71" t="s">
        <v>541</v>
      </c>
      <c r="C420" s="956" t="s">
        <v>542</v>
      </c>
      <c r="D420" s="73" t="s">
        <v>540</v>
      </c>
      <c r="E420" s="74">
        <v>300</v>
      </c>
      <c r="F420" s="75">
        <v>97.67</v>
      </c>
      <c r="G420" s="75">
        <f>E420*F420</f>
        <v>29301</v>
      </c>
    </row>
    <row r="421" spans="1:17" s="89" customFormat="1" ht="51" outlineLevel="1" x14ac:dyDescent="0.2">
      <c r="A421" s="84"/>
      <c r="B421" s="85" t="s">
        <v>405</v>
      </c>
      <c r="C421" s="84" t="s">
        <v>539</v>
      </c>
      <c r="D421" s="86"/>
      <c r="E421" s="86"/>
      <c r="F421" s="87"/>
      <c r="G421" s="88">
        <v>0.82</v>
      </c>
    </row>
    <row r="422" spans="1:17" s="89" customFormat="1" ht="38.25" customHeight="1" outlineLevel="1" x14ac:dyDescent="0.2">
      <c r="A422" s="84"/>
      <c r="B422" s="85" t="s">
        <v>478</v>
      </c>
      <c r="C422" s="84" t="s">
        <v>543</v>
      </c>
      <c r="D422" s="86"/>
      <c r="E422" s="86"/>
      <c r="F422" s="87"/>
      <c r="G422" s="88">
        <v>0.99</v>
      </c>
    </row>
    <row r="423" spans="1:17" s="89" customFormat="1" ht="12.75" outlineLevel="1" x14ac:dyDescent="0.2">
      <c r="A423" s="84"/>
      <c r="B423" s="85"/>
      <c r="C423" s="84"/>
      <c r="D423" s="86"/>
      <c r="E423" s="86"/>
      <c r="F423" s="87"/>
      <c r="G423" s="88"/>
    </row>
    <row r="424" spans="1:17" s="69" customFormat="1" ht="22.5" customHeight="1" outlineLevel="1" x14ac:dyDescent="0.25">
      <c r="A424" s="70"/>
      <c r="B424" s="264" t="s">
        <v>580</v>
      </c>
      <c r="C424" s="81"/>
      <c r="D424" s="70"/>
      <c r="E424" s="82"/>
      <c r="F424" s="83"/>
      <c r="G424" s="265">
        <f>G420*G421*G422</f>
        <v>23786.551800000001</v>
      </c>
    </row>
    <row r="425" spans="1:17" s="69" customFormat="1" ht="23.25" customHeight="1" outlineLevel="1" x14ac:dyDescent="0.25">
      <c r="A425" s="66" t="s">
        <v>586</v>
      </c>
      <c r="B425" s="67" t="s">
        <v>652</v>
      </c>
      <c r="C425" s="68"/>
      <c r="D425" s="67"/>
      <c r="E425" s="67"/>
      <c r="F425" s="67"/>
      <c r="G425" s="67"/>
    </row>
    <row r="426" spans="1:17" s="69" customFormat="1" ht="47.25" customHeight="1" outlineLevel="1" x14ac:dyDescent="0.25">
      <c r="A426" s="70"/>
      <c r="B426" s="71" t="s">
        <v>653</v>
      </c>
      <c r="C426" s="956" t="s">
        <v>654</v>
      </c>
      <c r="D426" s="73" t="s">
        <v>487</v>
      </c>
      <c r="E426" s="74">
        <v>30</v>
      </c>
      <c r="F426" s="75">
        <v>585.55999999999995</v>
      </c>
      <c r="G426" s="75">
        <f>E426*F426</f>
        <v>17566.8</v>
      </c>
    </row>
    <row r="427" spans="1:17" s="89" customFormat="1" ht="51" outlineLevel="1" x14ac:dyDescent="0.2">
      <c r="A427" s="84"/>
      <c r="B427" s="85" t="s">
        <v>405</v>
      </c>
      <c r="C427" s="84" t="s">
        <v>509</v>
      </c>
      <c r="D427" s="86"/>
      <c r="E427" s="86"/>
      <c r="F427" s="87"/>
      <c r="G427" s="88">
        <v>0.92</v>
      </c>
    </row>
    <row r="428" spans="1:17" s="89" customFormat="1" ht="49.5" customHeight="1" outlineLevel="1" x14ac:dyDescent="0.2">
      <c r="A428" s="84"/>
      <c r="B428" s="85" t="s">
        <v>489</v>
      </c>
      <c r="C428" s="84" t="s">
        <v>508</v>
      </c>
      <c r="D428" s="86"/>
      <c r="E428" s="86"/>
      <c r="F428" s="87"/>
      <c r="G428" s="88">
        <v>1.08</v>
      </c>
      <c r="H428" s="1222" t="s">
        <v>507</v>
      </c>
      <c r="I428" s="1223"/>
      <c r="J428" s="1223"/>
      <c r="K428" s="1223"/>
      <c r="L428" s="1223"/>
      <c r="M428" s="1223"/>
      <c r="N428" s="1223"/>
      <c r="O428" s="1223"/>
      <c r="P428" s="1223"/>
      <c r="Q428" s="1223"/>
    </row>
    <row r="429" spans="1:17" s="89" customFormat="1" ht="49.5" customHeight="1" outlineLevel="1" x14ac:dyDescent="0.2">
      <c r="A429" s="84"/>
      <c r="B429" s="85" t="s">
        <v>488</v>
      </c>
      <c r="C429" s="84" t="s">
        <v>510</v>
      </c>
      <c r="D429" s="86"/>
      <c r="E429" s="86"/>
      <c r="F429" s="87"/>
      <c r="G429" s="88">
        <v>0.98</v>
      </c>
    </row>
    <row r="430" spans="1:17" s="89" customFormat="1" ht="12.75" outlineLevel="1" x14ac:dyDescent="0.2">
      <c r="A430" s="84"/>
      <c r="B430" s="85" t="s">
        <v>409</v>
      </c>
      <c r="C430" s="84" t="s">
        <v>511</v>
      </c>
      <c r="D430" s="86"/>
      <c r="E430" s="86"/>
      <c r="F430" s="87"/>
      <c r="G430" s="88">
        <v>1</v>
      </c>
    </row>
    <row r="431" spans="1:17" s="69" customFormat="1" ht="22.5" customHeight="1" outlineLevel="1" x14ac:dyDescent="0.25">
      <c r="A431" s="70"/>
      <c r="B431" s="264" t="s">
        <v>587</v>
      </c>
      <c r="C431" s="81"/>
      <c r="D431" s="70"/>
      <c r="E431" s="82"/>
      <c r="F431" s="83"/>
      <c r="G431" s="265">
        <f>G426*G427*G428*G429*G430</f>
        <v>17105.285030400002</v>
      </c>
    </row>
    <row r="432" spans="1:17" s="69" customFormat="1" ht="23.25" customHeight="1" outlineLevel="1" x14ac:dyDescent="0.25">
      <c r="A432" s="66" t="s">
        <v>657</v>
      </c>
      <c r="B432" s="67" t="s">
        <v>486</v>
      </c>
      <c r="C432" s="68"/>
      <c r="D432" s="67"/>
      <c r="E432" s="67"/>
      <c r="F432" s="67"/>
      <c r="G432" s="67"/>
    </row>
    <row r="433" spans="1:17" s="69" customFormat="1" ht="47.25" customHeight="1" outlineLevel="1" x14ac:dyDescent="0.25">
      <c r="A433" s="70"/>
      <c r="B433" s="71" t="s">
        <v>656</v>
      </c>
      <c r="C433" s="956" t="s">
        <v>655</v>
      </c>
      <c r="D433" s="73" t="s">
        <v>487</v>
      </c>
      <c r="E433" s="74">
        <v>20</v>
      </c>
      <c r="F433" s="75">
        <v>240.12</v>
      </c>
      <c r="G433" s="75">
        <f>E433*F433</f>
        <v>4802.3999999999996</v>
      </c>
    </row>
    <row r="434" spans="1:17" s="89" customFormat="1" ht="51" outlineLevel="1" x14ac:dyDescent="0.2">
      <c r="A434" s="84"/>
      <c r="B434" s="85" t="s">
        <v>405</v>
      </c>
      <c r="C434" s="84" t="s">
        <v>509</v>
      </c>
      <c r="D434" s="86"/>
      <c r="E434" s="86"/>
      <c r="F434" s="87"/>
      <c r="G434" s="88">
        <v>0.92</v>
      </c>
    </row>
    <row r="435" spans="1:17" s="89" customFormat="1" ht="33" customHeight="1" outlineLevel="1" x14ac:dyDescent="0.2">
      <c r="A435" s="84"/>
      <c r="B435" s="85" t="s">
        <v>489</v>
      </c>
      <c r="C435" s="84" t="s">
        <v>508</v>
      </c>
      <c r="D435" s="86"/>
      <c r="E435" s="86"/>
      <c r="F435" s="87"/>
      <c r="G435" s="88">
        <v>1.08</v>
      </c>
      <c r="H435" s="1222" t="s">
        <v>507</v>
      </c>
      <c r="I435" s="1223"/>
      <c r="J435" s="1223"/>
      <c r="K435" s="1223"/>
      <c r="L435" s="1223"/>
      <c r="M435" s="1223"/>
      <c r="N435" s="1223"/>
      <c r="O435" s="1223"/>
      <c r="P435" s="1223"/>
      <c r="Q435" s="1223"/>
    </row>
    <row r="436" spans="1:17" s="89" customFormat="1" ht="49.5" customHeight="1" outlineLevel="1" x14ac:dyDescent="0.2">
      <c r="A436" s="84"/>
      <c r="B436" s="85" t="s">
        <v>488</v>
      </c>
      <c r="C436" s="84" t="s">
        <v>510</v>
      </c>
      <c r="D436" s="86"/>
      <c r="E436" s="86"/>
      <c r="F436" s="87"/>
      <c r="G436" s="88">
        <v>0.98</v>
      </c>
    </row>
    <row r="437" spans="1:17" s="89" customFormat="1" ht="12.75" outlineLevel="1" x14ac:dyDescent="0.2">
      <c r="A437" s="84"/>
      <c r="B437" s="85" t="s">
        <v>409</v>
      </c>
      <c r="C437" s="84" t="s">
        <v>511</v>
      </c>
      <c r="D437" s="86"/>
      <c r="E437" s="86"/>
      <c r="F437" s="87"/>
      <c r="G437" s="88">
        <v>1</v>
      </c>
    </row>
    <row r="438" spans="1:17" s="69" customFormat="1" ht="22.5" customHeight="1" outlineLevel="1" x14ac:dyDescent="0.25">
      <c r="A438" s="70"/>
      <c r="B438" s="264" t="s">
        <v>658</v>
      </c>
      <c r="C438" s="81"/>
      <c r="D438" s="70"/>
      <c r="E438" s="82"/>
      <c r="F438" s="83"/>
      <c r="G438" s="265">
        <f>G433*G434*G435*G436*G437</f>
        <v>4676.2313471999996</v>
      </c>
    </row>
    <row r="439" spans="1:17" s="69" customFormat="1" ht="22.5" customHeight="1" x14ac:dyDescent="0.25">
      <c r="A439" s="267"/>
      <c r="B439" s="266" t="s">
        <v>1299</v>
      </c>
      <c r="C439" s="81"/>
      <c r="D439" s="70"/>
      <c r="E439" s="82"/>
      <c r="F439" s="83"/>
      <c r="G439" s="265">
        <f>G383+G389+G395+G400+G406+G412+G418+G424+G431+G438</f>
        <v>274916.5180248</v>
      </c>
      <c r="H439" s="299"/>
      <c r="I439" s="102"/>
    </row>
    <row r="440" spans="1:17" s="43" customFormat="1" ht="18" customHeight="1" x14ac:dyDescent="0.25">
      <c r="A440" s="1218" t="s">
        <v>155</v>
      </c>
      <c r="B440" s="1218"/>
      <c r="C440" s="1218"/>
      <c r="D440" s="1218"/>
      <c r="E440" s="1218"/>
      <c r="F440" s="1218"/>
      <c r="G440" s="1218"/>
      <c r="H440" s="52"/>
      <c r="I440" s="60"/>
      <c r="J440" s="60"/>
      <c r="K440" s="60"/>
      <c r="L440" s="61"/>
      <c r="M440" s="61"/>
    </row>
    <row r="441" spans="1:17" s="69" customFormat="1" ht="23.25" customHeight="1" outlineLevel="1" x14ac:dyDescent="0.25">
      <c r="A441" s="66" t="s">
        <v>365</v>
      </c>
      <c r="B441" s="67" t="s">
        <v>182</v>
      </c>
      <c r="C441" s="68"/>
      <c r="D441" s="67"/>
      <c r="E441" s="67"/>
      <c r="F441" s="67"/>
      <c r="G441" s="67"/>
    </row>
    <row r="442" spans="1:17" s="69" customFormat="1" ht="43.5" customHeight="1" outlineLevel="1" x14ac:dyDescent="0.25">
      <c r="A442" s="70"/>
      <c r="B442" s="71" t="s">
        <v>549</v>
      </c>
      <c r="C442" s="956" t="s">
        <v>545</v>
      </c>
      <c r="D442" s="73" t="s">
        <v>550</v>
      </c>
      <c r="E442" s="74">
        <v>40</v>
      </c>
      <c r="F442" s="75">
        <v>84.18</v>
      </c>
      <c r="G442" s="75">
        <f>E442*F442</f>
        <v>3367.2000000000003</v>
      </c>
    </row>
    <row r="443" spans="1:17" s="89" customFormat="1" ht="51" outlineLevel="1" x14ac:dyDescent="0.2">
      <c r="A443" s="84"/>
      <c r="B443" s="85" t="s">
        <v>405</v>
      </c>
      <c r="C443" s="84" t="s">
        <v>496</v>
      </c>
      <c r="D443" s="86"/>
      <c r="E443" s="86"/>
      <c r="F443" s="87"/>
      <c r="G443" s="88">
        <v>0.84</v>
      </c>
    </row>
    <row r="444" spans="1:17" s="89" customFormat="1" ht="49.5" customHeight="1" outlineLevel="1" x14ac:dyDescent="0.2">
      <c r="A444" s="84"/>
      <c r="B444" s="85" t="s">
        <v>478</v>
      </c>
      <c r="C444" s="84" t="s">
        <v>497</v>
      </c>
      <c r="D444" s="86"/>
      <c r="E444" s="86"/>
      <c r="F444" s="87"/>
      <c r="G444" s="88">
        <v>0.99</v>
      </c>
    </row>
    <row r="445" spans="1:17" s="89" customFormat="1" ht="12.75" outlineLevel="1" x14ac:dyDescent="0.2">
      <c r="A445" s="84"/>
      <c r="B445" s="85" t="s">
        <v>409</v>
      </c>
      <c r="C445" s="84" t="s">
        <v>498</v>
      </c>
      <c r="D445" s="86"/>
      <c r="E445" s="86"/>
      <c r="F445" s="87"/>
      <c r="G445" s="88">
        <v>1</v>
      </c>
    </row>
    <row r="446" spans="1:17" s="69" customFormat="1" ht="22.5" customHeight="1" outlineLevel="1" x14ac:dyDescent="0.25">
      <c r="A446" s="70"/>
      <c r="B446" s="264" t="s">
        <v>614</v>
      </c>
      <c r="C446" s="81"/>
      <c r="D446" s="70"/>
      <c r="E446" s="82"/>
      <c r="F446" s="83"/>
      <c r="G446" s="265">
        <f>G442*G443*G444*G445</f>
        <v>2800.1635200000005</v>
      </c>
    </row>
    <row r="447" spans="1:17" s="69" customFormat="1" ht="34.5" customHeight="1" outlineLevel="1" x14ac:dyDescent="0.25">
      <c r="A447" s="66" t="s">
        <v>479</v>
      </c>
      <c r="B447" s="67" t="s">
        <v>613</v>
      </c>
      <c r="C447" s="68"/>
      <c r="D447" s="67"/>
      <c r="E447" s="67"/>
      <c r="F447" s="67"/>
      <c r="G447" s="67"/>
    </row>
    <row r="448" spans="1:17" s="69" customFormat="1" ht="43.5" customHeight="1" outlineLevel="1" x14ac:dyDescent="0.2">
      <c r="A448" s="70"/>
      <c r="B448" s="71" t="s">
        <v>612</v>
      </c>
      <c r="C448" s="956" t="s">
        <v>547</v>
      </c>
      <c r="D448" s="73" t="s">
        <v>474</v>
      </c>
      <c r="E448" s="955">
        <v>4.2</v>
      </c>
      <c r="F448" s="75">
        <v>176.87</v>
      </c>
      <c r="G448" s="75">
        <f>E448*F448</f>
        <v>742.85400000000004</v>
      </c>
      <c r="H448" s="69">
        <v>0.4</v>
      </c>
      <c r="I448" s="69" t="s">
        <v>0</v>
      </c>
      <c r="O448" s="89"/>
    </row>
    <row r="449" spans="1:14" s="89" customFormat="1" ht="51" outlineLevel="1" x14ac:dyDescent="0.2">
      <c r="A449" s="84"/>
      <c r="B449" s="85" t="s">
        <v>405</v>
      </c>
      <c r="C449" s="84" t="s">
        <v>496</v>
      </c>
      <c r="D449" s="86"/>
      <c r="E449" s="86"/>
      <c r="F449" s="87"/>
      <c r="G449" s="88">
        <v>0.84</v>
      </c>
      <c r="N449" s="69"/>
    </row>
    <row r="450" spans="1:14" s="89" customFormat="1" ht="49.5" customHeight="1" outlineLevel="1" x14ac:dyDescent="0.2">
      <c r="A450" s="84"/>
      <c r="B450" s="85" t="s">
        <v>478</v>
      </c>
      <c r="C450" s="84" t="s">
        <v>497</v>
      </c>
      <c r="D450" s="86"/>
      <c r="E450" s="86"/>
      <c r="F450" s="87"/>
      <c r="G450" s="88">
        <v>0.99</v>
      </c>
    </row>
    <row r="451" spans="1:14" s="89" customFormat="1" ht="12.75" outlineLevel="1" x14ac:dyDescent="0.2">
      <c r="A451" s="84"/>
      <c r="B451" s="85" t="s">
        <v>409</v>
      </c>
      <c r="C451" s="84" t="s">
        <v>498</v>
      </c>
      <c r="D451" s="86"/>
      <c r="E451" s="86"/>
      <c r="F451" s="87"/>
      <c r="G451" s="88">
        <v>1</v>
      </c>
    </row>
    <row r="452" spans="1:14" s="69" customFormat="1" ht="22.5" customHeight="1" outlineLevel="1" x14ac:dyDescent="0.25">
      <c r="A452" s="70"/>
      <c r="B452" s="264" t="s">
        <v>480</v>
      </c>
      <c r="C452" s="81"/>
      <c r="D452" s="70"/>
      <c r="E452" s="82"/>
      <c r="F452" s="83"/>
      <c r="G452" s="265">
        <f>G448*G449*G450*G451</f>
        <v>617.75738639999997</v>
      </c>
    </row>
    <row r="453" spans="1:14" s="69" customFormat="1" ht="23.25" customHeight="1" outlineLevel="1" x14ac:dyDescent="0.25">
      <c r="A453" s="66" t="s">
        <v>481</v>
      </c>
      <c r="B453" s="67" t="s">
        <v>603</v>
      </c>
      <c r="C453" s="68"/>
      <c r="D453" s="67"/>
      <c r="E453" s="67"/>
      <c r="F453" s="67"/>
      <c r="G453" s="67"/>
      <c r="M453" s="299"/>
    </row>
    <row r="454" spans="1:14" s="69" customFormat="1" ht="45" customHeight="1" outlineLevel="1" x14ac:dyDescent="0.25">
      <c r="A454" s="70"/>
      <c r="B454" s="71" t="s">
        <v>601</v>
      </c>
      <c r="C454" s="956" t="s">
        <v>602</v>
      </c>
      <c r="D454" s="73" t="s">
        <v>600</v>
      </c>
      <c r="E454" s="74">
        <v>0.1</v>
      </c>
      <c r="F454" s="75">
        <v>22732.5</v>
      </c>
      <c r="G454" s="75">
        <f>E454*F454</f>
        <v>2273.25</v>
      </c>
    </row>
    <row r="455" spans="1:14" s="89" customFormat="1" ht="51" outlineLevel="1" x14ac:dyDescent="0.2">
      <c r="A455" s="84"/>
      <c r="B455" s="85" t="s">
        <v>405</v>
      </c>
      <c r="C455" s="84" t="s">
        <v>509</v>
      </c>
      <c r="D455" s="86"/>
      <c r="E455" s="86"/>
      <c r="F455" s="87"/>
      <c r="G455" s="88">
        <v>0.92</v>
      </c>
      <c r="M455" s="300"/>
    </row>
    <row r="456" spans="1:14" s="89" customFormat="1" ht="49.5" customHeight="1" outlineLevel="1" x14ac:dyDescent="0.2">
      <c r="A456" s="84"/>
      <c r="B456" s="85" t="s">
        <v>478</v>
      </c>
      <c r="C456" s="84" t="s">
        <v>604</v>
      </c>
      <c r="D456" s="86"/>
      <c r="E456" s="86"/>
      <c r="F456" s="87"/>
      <c r="G456" s="88">
        <v>0.98</v>
      </c>
    </row>
    <row r="457" spans="1:14" s="89" customFormat="1" ht="12.75" outlineLevel="1" x14ac:dyDescent="0.2">
      <c r="A457" s="84"/>
      <c r="B457" s="85" t="s">
        <v>409</v>
      </c>
      <c r="C457" s="84" t="s">
        <v>605</v>
      </c>
      <c r="D457" s="86"/>
      <c r="E457" s="86"/>
      <c r="F457" s="87"/>
      <c r="G457" s="88">
        <v>1</v>
      </c>
    </row>
    <row r="458" spans="1:14" s="69" customFormat="1" ht="22.5" customHeight="1" outlineLevel="1" x14ac:dyDescent="0.25">
      <c r="A458" s="70"/>
      <c r="B458" s="264" t="s">
        <v>520</v>
      </c>
      <c r="C458" s="81"/>
      <c r="D458" s="70"/>
      <c r="E458" s="82"/>
      <c r="F458" s="83"/>
      <c r="G458" s="265">
        <f>G454*G455*G456*G457</f>
        <v>2049.5621999999998</v>
      </c>
    </row>
    <row r="459" spans="1:14" s="69" customFormat="1" ht="23.25" customHeight="1" outlineLevel="1" x14ac:dyDescent="0.25">
      <c r="A459" s="66" t="s">
        <v>481</v>
      </c>
      <c r="B459" s="67" t="s">
        <v>472</v>
      </c>
      <c r="C459" s="68"/>
      <c r="D459" s="67"/>
      <c r="E459" s="67"/>
      <c r="F459" s="67"/>
      <c r="G459" s="67"/>
    </row>
    <row r="460" spans="1:14" s="69" customFormat="1" ht="47.25" customHeight="1" outlineLevel="1" x14ac:dyDescent="0.25">
      <c r="A460" s="70"/>
      <c r="B460" s="71" t="s">
        <v>473</v>
      </c>
      <c r="C460" s="956" t="s">
        <v>495</v>
      </c>
      <c r="D460" s="73" t="s">
        <v>474</v>
      </c>
      <c r="E460" s="74">
        <v>470</v>
      </c>
      <c r="F460" s="75">
        <v>20.29</v>
      </c>
      <c r="G460" s="75">
        <f>E460*F460</f>
        <v>9536.2999999999993</v>
      </c>
      <c r="H460" s="69">
        <f>'Подэтап 6.2  (ПД)'!D2</f>
        <v>4.7</v>
      </c>
      <c r="I460" s="69" t="s">
        <v>0</v>
      </c>
    </row>
    <row r="461" spans="1:14" s="89" customFormat="1" ht="51" outlineLevel="1" x14ac:dyDescent="0.2">
      <c r="A461" s="84"/>
      <c r="B461" s="85" t="s">
        <v>405</v>
      </c>
      <c r="C461" s="84" t="s">
        <v>496</v>
      </c>
      <c r="D461" s="86"/>
      <c r="E461" s="86"/>
      <c r="F461" s="87"/>
      <c r="G461" s="88">
        <v>0.84</v>
      </c>
    </row>
    <row r="462" spans="1:14" s="89" customFormat="1" ht="49.5" customHeight="1" outlineLevel="1" x14ac:dyDescent="0.2">
      <c r="A462" s="84"/>
      <c r="B462" s="85" t="s">
        <v>478</v>
      </c>
      <c r="C462" s="84" t="s">
        <v>497</v>
      </c>
      <c r="D462" s="86"/>
      <c r="E462" s="86"/>
      <c r="F462" s="87"/>
      <c r="G462" s="88">
        <v>0.99</v>
      </c>
    </row>
    <row r="463" spans="1:14" s="89" customFormat="1" ht="12.75" outlineLevel="1" x14ac:dyDescent="0.2">
      <c r="A463" s="84"/>
      <c r="B463" s="85" t="s">
        <v>409</v>
      </c>
      <c r="C463" s="84" t="s">
        <v>498</v>
      </c>
      <c r="D463" s="86"/>
      <c r="E463" s="86"/>
      <c r="F463" s="87"/>
      <c r="G463" s="88">
        <v>1</v>
      </c>
    </row>
    <row r="464" spans="1:14" s="69" customFormat="1" ht="22.5" customHeight="1" outlineLevel="1" x14ac:dyDescent="0.25">
      <c r="A464" s="70"/>
      <c r="B464" s="264" t="s">
        <v>520</v>
      </c>
      <c r="C464" s="81"/>
      <c r="D464" s="70"/>
      <c r="E464" s="82"/>
      <c r="F464" s="83"/>
      <c r="G464" s="265">
        <f>G460*G461*G462*G463</f>
        <v>7930.3870799999995</v>
      </c>
    </row>
    <row r="465" spans="1:15" s="69" customFormat="1" ht="23.25" customHeight="1" outlineLevel="1" x14ac:dyDescent="0.25">
      <c r="A465" s="66" t="s">
        <v>483</v>
      </c>
      <c r="B465" s="67" t="s">
        <v>205</v>
      </c>
      <c r="C465" s="68"/>
      <c r="D465" s="67"/>
      <c r="E465" s="67"/>
      <c r="F465" s="67"/>
      <c r="G465" s="67"/>
    </row>
    <row r="466" spans="1:15" s="69" customFormat="1" ht="33.75" customHeight="1" outlineLevel="1" x14ac:dyDescent="0.25">
      <c r="A466" s="70"/>
      <c r="B466" s="71" t="s">
        <v>536</v>
      </c>
      <c r="C466" s="956" t="s">
        <v>500</v>
      </c>
      <c r="D466" s="73" t="s">
        <v>517</v>
      </c>
      <c r="E466" s="74">
        <v>120</v>
      </c>
      <c r="F466" s="75">
        <v>51.66</v>
      </c>
      <c r="G466" s="75">
        <f>E466*F466</f>
        <v>6199.2</v>
      </c>
      <c r="H466" s="69" t="s">
        <v>307</v>
      </c>
    </row>
    <row r="467" spans="1:15" s="89" customFormat="1" ht="51" outlineLevel="1" x14ac:dyDescent="0.2">
      <c r="A467" s="84"/>
      <c r="B467" s="85" t="s">
        <v>405</v>
      </c>
      <c r="C467" s="84" t="s">
        <v>501</v>
      </c>
      <c r="D467" s="86"/>
      <c r="E467" s="86"/>
      <c r="F467" s="87"/>
      <c r="G467" s="88">
        <v>0.82</v>
      </c>
    </row>
    <row r="468" spans="1:15" s="89" customFormat="1" ht="49.5" customHeight="1" outlineLevel="1" x14ac:dyDescent="0.2">
      <c r="A468" s="84"/>
      <c r="B468" s="85" t="s">
        <v>478</v>
      </c>
      <c r="C468" s="84" t="s">
        <v>502</v>
      </c>
      <c r="D468" s="86"/>
      <c r="E468" s="86"/>
      <c r="F468" s="87"/>
      <c r="G468" s="88">
        <v>0.99</v>
      </c>
    </row>
    <row r="469" spans="1:15" s="89" customFormat="1" ht="12.75" outlineLevel="1" x14ac:dyDescent="0.2">
      <c r="A469" s="84"/>
      <c r="B469" s="85" t="s">
        <v>409</v>
      </c>
      <c r="C469" s="84" t="s">
        <v>582</v>
      </c>
      <c r="D469" s="86"/>
      <c r="E469" s="86"/>
      <c r="F469" s="87"/>
      <c r="G469" s="88">
        <v>1</v>
      </c>
    </row>
    <row r="470" spans="1:15" s="69" customFormat="1" ht="22.5" customHeight="1" outlineLevel="1" x14ac:dyDescent="0.25">
      <c r="A470" s="70"/>
      <c r="B470" s="264" t="s">
        <v>484</v>
      </c>
      <c r="C470" s="81"/>
      <c r="D470" s="70"/>
      <c r="E470" s="82"/>
      <c r="F470" s="83"/>
      <c r="G470" s="265">
        <f>G466*G467*G468*G469</f>
        <v>5032.5105599999988</v>
      </c>
    </row>
    <row r="471" spans="1:15" s="69" customFormat="1" ht="23.25" customHeight="1" outlineLevel="1" x14ac:dyDescent="0.25">
      <c r="A471" s="66" t="s">
        <v>515</v>
      </c>
      <c r="B471" s="67" t="s">
        <v>512</v>
      </c>
      <c r="C471" s="68"/>
      <c r="D471" s="67"/>
      <c r="E471" s="67"/>
      <c r="F471" s="67"/>
      <c r="G471" s="67"/>
    </row>
    <row r="472" spans="1:15" s="69" customFormat="1" ht="39.75" customHeight="1" outlineLevel="1" x14ac:dyDescent="0.25">
      <c r="A472" s="70"/>
      <c r="B472" s="71" t="s">
        <v>513</v>
      </c>
      <c r="C472" s="956" t="s">
        <v>500</v>
      </c>
      <c r="D472" s="73" t="s">
        <v>514</v>
      </c>
      <c r="E472" s="74"/>
      <c r="F472" s="75">
        <v>491.02</v>
      </c>
      <c r="G472" s="75">
        <f>E472*F472</f>
        <v>0</v>
      </c>
      <c r="H472" s="69" t="s">
        <v>308</v>
      </c>
    </row>
    <row r="473" spans="1:15" s="89" customFormat="1" ht="51" outlineLevel="1" x14ac:dyDescent="0.2">
      <c r="A473" s="84"/>
      <c r="B473" s="85" t="s">
        <v>405</v>
      </c>
      <c r="C473" s="84" t="s">
        <v>501</v>
      </c>
      <c r="D473" s="86"/>
      <c r="E473" s="86"/>
      <c r="F473" s="87"/>
      <c r="G473" s="88">
        <v>0.82</v>
      </c>
    </row>
    <row r="474" spans="1:15" s="89" customFormat="1" ht="49.5" customHeight="1" outlineLevel="1" x14ac:dyDescent="0.2">
      <c r="A474" s="84"/>
      <c r="B474" s="85" t="s">
        <v>478</v>
      </c>
      <c r="C474" s="84" t="s">
        <v>502</v>
      </c>
      <c r="D474" s="86"/>
      <c r="E474" s="86"/>
      <c r="F474" s="87"/>
      <c r="G474" s="88">
        <v>0.99</v>
      </c>
    </row>
    <row r="475" spans="1:15" s="89" customFormat="1" ht="12.75" outlineLevel="1" x14ac:dyDescent="0.2">
      <c r="A475" s="84"/>
      <c r="B475" s="85" t="s">
        <v>409</v>
      </c>
      <c r="C475" s="84" t="s">
        <v>503</v>
      </c>
      <c r="D475" s="86"/>
      <c r="E475" s="86"/>
      <c r="F475" s="87"/>
      <c r="G475" s="88">
        <v>1</v>
      </c>
    </row>
    <row r="476" spans="1:15" s="69" customFormat="1" ht="22.5" customHeight="1" outlineLevel="1" x14ac:dyDescent="0.25">
      <c r="A476" s="70"/>
      <c r="B476" s="264" t="s">
        <v>516</v>
      </c>
      <c r="C476" s="81"/>
      <c r="D476" s="70"/>
      <c r="E476" s="82"/>
      <c r="F476" s="83"/>
      <c r="G476" s="265">
        <f>G472*G473*G474*G475</f>
        <v>0</v>
      </c>
    </row>
    <row r="477" spans="1:15" s="69" customFormat="1" ht="23.25" customHeight="1" outlineLevel="1" x14ac:dyDescent="0.25">
      <c r="A477" s="66" t="s">
        <v>485</v>
      </c>
      <c r="B477" s="67" t="s">
        <v>476</v>
      </c>
      <c r="C477" s="68"/>
      <c r="D477" s="67"/>
      <c r="E477" s="67"/>
      <c r="F477" s="67"/>
      <c r="G477" s="67"/>
      <c r="I477" s="69" t="s">
        <v>618</v>
      </c>
    </row>
    <row r="478" spans="1:15" s="69" customFormat="1" ht="43.5" customHeight="1" outlineLevel="1" x14ac:dyDescent="0.2">
      <c r="A478" s="70"/>
      <c r="B478" s="71" t="s">
        <v>477</v>
      </c>
      <c r="C478" s="956" t="s">
        <v>499</v>
      </c>
      <c r="D478" s="73" t="s">
        <v>474</v>
      </c>
      <c r="E478" s="955">
        <v>117.5</v>
      </c>
      <c r="F478" s="75">
        <v>196.55</v>
      </c>
      <c r="G478" s="75">
        <f>E478*F478</f>
        <v>23094.625</v>
      </c>
      <c r="H478" s="69">
        <f>4.7/4</f>
        <v>1.175</v>
      </c>
      <c r="I478" s="69" t="s">
        <v>0</v>
      </c>
      <c r="O478" s="89"/>
    </row>
    <row r="479" spans="1:15" s="89" customFormat="1" ht="51" outlineLevel="1" x14ac:dyDescent="0.2">
      <c r="A479" s="84"/>
      <c r="B479" s="85" t="s">
        <v>405</v>
      </c>
      <c r="C479" s="84" t="s">
        <v>496</v>
      </c>
      <c r="D479" s="86"/>
      <c r="E479" s="86"/>
      <c r="F479" s="87"/>
      <c r="G479" s="88">
        <v>0.84</v>
      </c>
      <c r="N479" s="69"/>
    </row>
    <row r="480" spans="1:15" s="89" customFormat="1" ht="49.5" customHeight="1" outlineLevel="1" x14ac:dyDescent="0.2">
      <c r="A480" s="84"/>
      <c r="B480" s="85" t="s">
        <v>478</v>
      </c>
      <c r="C480" s="84" t="s">
        <v>497</v>
      </c>
      <c r="D480" s="86"/>
      <c r="E480" s="86"/>
      <c r="F480" s="87"/>
      <c r="G480" s="88">
        <v>0.99</v>
      </c>
    </row>
    <row r="481" spans="1:15" s="89" customFormat="1" ht="12.75" outlineLevel="1" x14ac:dyDescent="0.2">
      <c r="A481" s="84"/>
      <c r="B481" s="85" t="s">
        <v>409</v>
      </c>
      <c r="C481" s="84" t="s">
        <v>498</v>
      </c>
      <c r="D481" s="86"/>
      <c r="E481" s="86"/>
      <c r="F481" s="87"/>
      <c r="G481" s="88">
        <v>1</v>
      </c>
    </row>
    <row r="482" spans="1:15" s="69" customFormat="1" ht="22.5" customHeight="1" outlineLevel="1" x14ac:dyDescent="0.25">
      <c r="A482" s="70"/>
      <c r="B482" s="264" t="s">
        <v>490</v>
      </c>
      <c r="C482" s="81"/>
      <c r="D482" s="70"/>
      <c r="E482" s="82"/>
      <c r="F482" s="83"/>
      <c r="G482" s="265">
        <f>G478*G479*G480*G481</f>
        <v>19205.490150000001</v>
      </c>
    </row>
    <row r="483" spans="1:15" s="69" customFormat="1" ht="22.5" customHeight="1" x14ac:dyDescent="0.25">
      <c r="A483" s="267"/>
      <c r="B483" s="266" t="s">
        <v>524</v>
      </c>
      <c r="C483" s="555"/>
      <c r="D483" s="267"/>
      <c r="E483" s="553"/>
      <c r="F483" s="554"/>
      <c r="G483" s="957">
        <f>G476+G470+G458+G464+G452+G446+G482</f>
        <v>37635.870896400003</v>
      </c>
      <c r="H483" s="299"/>
      <c r="I483" s="102"/>
    </row>
    <row r="484" spans="1:15" s="43" customFormat="1" ht="18" customHeight="1" x14ac:dyDescent="0.25">
      <c r="A484" s="1224" t="s">
        <v>167</v>
      </c>
      <c r="B484" s="1224"/>
      <c r="C484" s="1224"/>
      <c r="D484" s="1224"/>
      <c r="E484" s="1224"/>
      <c r="F484" s="1224"/>
      <c r="G484" s="1224"/>
      <c r="H484" s="52"/>
      <c r="I484" s="60"/>
      <c r="J484" s="60"/>
      <c r="K484" s="60"/>
      <c r="L484" s="61"/>
      <c r="M484" s="61"/>
    </row>
    <row r="485" spans="1:15" s="69" customFormat="1" ht="23.25" customHeight="1" outlineLevel="1" x14ac:dyDescent="0.25">
      <c r="A485" s="66" t="s">
        <v>365</v>
      </c>
      <c r="B485" s="67" t="s">
        <v>472</v>
      </c>
      <c r="C485" s="68"/>
      <c r="D485" s="67"/>
      <c r="E485" s="67"/>
      <c r="F485" s="67"/>
      <c r="G485" s="67"/>
    </row>
    <row r="486" spans="1:15" s="69" customFormat="1" ht="39.75" customHeight="1" outlineLevel="1" x14ac:dyDescent="0.25">
      <c r="A486" s="70"/>
      <c r="B486" s="71" t="s">
        <v>589</v>
      </c>
      <c r="C486" s="956" t="s">
        <v>588</v>
      </c>
      <c r="D486" s="73" t="s">
        <v>474</v>
      </c>
      <c r="E486" s="74">
        <v>0.6</v>
      </c>
      <c r="F486" s="75">
        <v>58.74</v>
      </c>
      <c r="G486" s="75">
        <f>E486*F486</f>
        <v>35.244</v>
      </c>
      <c r="H486" s="69">
        <f>'Подэтап 6.3  (ПД)'!D3</f>
        <v>60</v>
      </c>
      <c r="I486" s="69" t="s">
        <v>183</v>
      </c>
    </row>
    <row r="487" spans="1:15" s="89" customFormat="1" ht="51" outlineLevel="1" x14ac:dyDescent="0.2">
      <c r="A487" s="84"/>
      <c r="B487" s="85" t="s">
        <v>405</v>
      </c>
      <c r="C487" s="84" t="s">
        <v>496</v>
      </c>
      <c r="D487" s="86"/>
      <c r="E487" s="86"/>
      <c r="F487" s="87"/>
      <c r="G487" s="88">
        <v>0.84</v>
      </c>
    </row>
    <row r="488" spans="1:15" s="89" customFormat="1" ht="49.5" customHeight="1" outlineLevel="1" x14ac:dyDescent="0.2">
      <c r="A488" s="84"/>
      <c r="B488" s="85" t="s">
        <v>478</v>
      </c>
      <c r="C488" s="84" t="s">
        <v>497</v>
      </c>
      <c r="D488" s="86"/>
      <c r="E488" s="86"/>
      <c r="F488" s="87"/>
      <c r="G488" s="88">
        <v>0.99</v>
      </c>
    </row>
    <row r="489" spans="1:15" s="89" customFormat="1" ht="12.75" outlineLevel="1" x14ac:dyDescent="0.2">
      <c r="A489" s="84"/>
      <c r="B489" s="85" t="s">
        <v>409</v>
      </c>
      <c r="C489" s="84" t="s">
        <v>498</v>
      </c>
      <c r="D489" s="86"/>
      <c r="E489" s="86"/>
      <c r="F489" s="87"/>
      <c r="G489" s="88">
        <v>1</v>
      </c>
    </row>
    <row r="490" spans="1:15" s="69" customFormat="1" ht="22.5" customHeight="1" outlineLevel="1" x14ac:dyDescent="0.25">
      <c r="A490" s="70"/>
      <c r="B490" s="264" t="s">
        <v>571</v>
      </c>
      <c r="C490" s="81"/>
      <c r="D490" s="70"/>
      <c r="E490" s="82"/>
      <c r="F490" s="83"/>
      <c r="G490" s="265">
        <f>G486*G487*G488*G489</f>
        <v>29.308910399999998</v>
      </c>
    </row>
    <row r="491" spans="1:15" s="69" customFormat="1" ht="23.25" customHeight="1" outlineLevel="1" x14ac:dyDescent="0.25">
      <c r="A491" s="66" t="s">
        <v>479</v>
      </c>
      <c r="B491" s="67" t="s">
        <v>476</v>
      </c>
      <c r="C491" s="68"/>
      <c r="D491" s="67"/>
      <c r="E491" s="67"/>
      <c r="F491" s="67"/>
      <c r="G491" s="67"/>
    </row>
    <row r="492" spans="1:15" s="69" customFormat="1" ht="43.5" customHeight="1" outlineLevel="1" x14ac:dyDescent="0.2">
      <c r="A492" s="70"/>
      <c r="B492" s="71" t="s">
        <v>477</v>
      </c>
      <c r="C492" s="956" t="s">
        <v>499</v>
      </c>
      <c r="D492" s="73" t="s">
        <v>474</v>
      </c>
      <c r="E492" s="955">
        <v>4.2</v>
      </c>
      <c r="F492" s="75">
        <v>196.55</v>
      </c>
      <c r="G492" s="75">
        <f>E492*F492</f>
        <v>825.5100000000001</v>
      </c>
      <c r="L492" s="69" t="s">
        <v>590</v>
      </c>
      <c r="M492" s="69">
        <v>6.39</v>
      </c>
      <c r="N492" s="69" t="s">
        <v>595</v>
      </c>
      <c r="O492" s="89" t="s">
        <v>599</v>
      </c>
    </row>
    <row r="493" spans="1:15" s="89" customFormat="1" ht="51" outlineLevel="1" x14ac:dyDescent="0.2">
      <c r="A493" s="84"/>
      <c r="B493" s="85" t="s">
        <v>405</v>
      </c>
      <c r="C493" s="84" t="s">
        <v>496</v>
      </c>
      <c r="D493" s="86"/>
      <c r="E493" s="86"/>
      <c r="F493" s="87"/>
      <c r="G493" s="88">
        <v>0.84</v>
      </c>
      <c r="L493" s="89" t="s">
        <v>591</v>
      </c>
      <c r="M493" s="89">
        <v>3.06</v>
      </c>
      <c r="N493" s="69" t="s">
        <v>595</v>
      </c>
      <c r="O493" s="89" t="s">
        <v>598</v>
      </c>
    </row>
    <row r="494" spans="1:15" s="89" customFormat="1" ht="49.5" customHeight="1" outlineLevel="1" x14ac:dyDescent="0.2">
      <c r="A494" s="84"/>
      <c r="B494" s="85" t="s">
        <v>478</v>
      </c>
      <c r="C494" s="84" t="s">
        <v>497</v>
      </c>
      <c r="D494" s="86"/>
      <c r="E494" s="86"/>
      <c r="F494" s="87"/>
      <c r="G494" s="88">
        <v>0.99</v>
      </c>
      <c r="L494" s="89" t="s">
        <v>592</v>
      </c>
      <c r="M494" s="89">
        <v>400</v>
      </c>
      <c r="N494" s="89" t="s">
        <v>333</v>
      </c>
      <c r="O494" s="89" t="s">
        <v>598</v>
      </c>
    </row>
    <row r="495" spans="1:15" s="89" customFormat="1" ht="12.75" outlineLevel="1" x14ac:dyDescent="0.2">
      <c r="A495" s="84"/>
      <c r="B495" s="85" t="s">
        <v>409</v>
      </c>
      <c r="C495" s="84" t="s">
        <v>498</v>
      </c>
      <c r="D495" s="86"/>
      <c r="E495" s="86"/>
      <c r="F495" s="87"/>
      <c r="G495" s="88">
        <v>1</v>
      </c>
      <c r="L495" s="89" t="s">
        <v>593</v>
      </c>
      <c r="M495" s="89">
        <v>1500</v>
      </c>
      <c r="N495" s="89" t="s">
        <v>333</v>
      </c>
      <c r="O495" s="89" t="s">
        <v>599</v>
      </c>
    </row>
    <row r="496" spans="1:15" s="69" customFormat="1" ht="22.5" customHeight="1" outlineLevel="1" x14ac:dyDescent="0.25">
      <c r="A496" s="70"/>
      <c r="B496" s="264" t="s">
        <v>480</v>
      </c>
      <c r="C496" s="81"/>
      <c r="D496" s="70"/>
      <c r="E496" s="82"/>
      <c r="F496" s="83"/>
      <c r="G496" s="265">
        <f>G492*G493*G494*G495</f>
        <v>686.49411599999996</v>
      </c>
      <c r="L496" s="69" t="s">
        <v>594</v>
      </c>
      <c r="M496" s="69">
        <v>1000</v>
      </c>
      <c r="N496" s="69" t="s">
        <v>333</v>
      </c>
    </row>
    <row r="497" spans="1:14" s="69" customFormat="1" ht="23.25" customHeight="1" outlineLevel="1" x14ac:dyDescent="0.25">
      <c r="A497" s="66" t="s">
        <v>481</v>
      </c>
      <c r="B497" s="67" t="s">
        <v>603</v>
      </c>
      <c r="C497" s="68"/>
      <c r="D497" s="67"/>
      <c r="E497" s="67"/>
      <c r="F497" s="67"/>
      <c r="G497" s="67"/>
      <c r="L497" s="69" t="s">
        <v>596</v>
      </c>
      <c r="M497" s="299">
        <f>M493-(M495-M496)*((M493-M492)/(M495-M494))</f>
        <v>4.5736363636363633</v>
      </c>
      <c r="N497" s="69" t="s">
        <v>597</v>
      </c>
    </row>
    <row r="498" spans="1:14" s="69" customFormat="1" ht="45" customHeight="1" outlineLevel="1" x14ac:dyDescent="0.25">
      <c r="A498" s="70"/>
      <c r="B498" s="71" t="s">
        <v>601</v>
      </c>
      <c r="C498" s="956" t="s">
        <v>602</v>
      </c>
      <c r="D498" s="73" t="s">
        <v>600</v>
      </c>
      <c r="E498" s="74">
        <v>0.1</v>
      </c>
      <c r="F498" s="75">
        <v>22732.5</v>
      </c>
      <c r="G498" s="75">
        <f>E498*F498</f>
        <v>2273.25</v>
      </c>
    </row>
    <row r="499" spans="1:14" s="89" customFormat="1" ht="51" outlineLevel="1" x14ac:dyDescent="0.2">
      <c r="A499" s="84"/>
      <c r="B499" s="85" t="s">
        <v>405</v>
      </c>
      <c r="C499" s="84" t="s">
        <v>509</v>
      </c>
      <c r="D499" s="86"/>
      <c r="E499" s="86"/>
      <c r="F499" s="87"/>
      <c r="G499" s="88">
        <v>0.92</v>
      </c>
      <c r="M499" s="300"/>
    </row>
    <row r="500" spans="1:14" s="89" customFormat="1" ht="49.5" customHeight="1" outlineLevel="1" x14ac:dyDescent="0.2">
      <c r="A500" s="84"/>
      <c r="B500" s="85" t="s">
        <v>478</v>
      </c>
      <c r="C500" s="84" t="s">
        <v>604</v>
      </c>
      <c r="D500" s="86"/>
      <c r="E500" s="86"/>
      <c r="F500" s="87"/>
      <c r="G500" s="88">
        <v>0.98</v>
      </c>
    </row>
    <row r="501" spans="1:14" s="89" customFormat="1" ht="12.75" outlineLevel="1" x14ac:dyDescent="0.2">
      <c r="A501" s="84"/>
      <c r="B501" s="85" t="s">
        <v>409</v>
      </c>
      <c r="C501" s="84" t="s">
        <v>605</v>
      </c>
      <c r="D501" s="86"/>
      <c r="E501" s="86"/>
      <c r="F501" s="87"/>
      <c r="G501" s="88">
        <v>1</v>
      </c>
    </row>
    <row r="502" spans="1:14" s="69" customFormat="1" ht="22.5" customHeight="1" outlineLevel="1" x14ac:dyDescent="0.25">
      <c r="A502" s="70"/>
      <c r="B502" s="264" t="s">
        <v>520</v>
      </c>
      <c r="C502" s="81"/>
      <c r="D502" s="70"/>
      <c r="E502" s="82"/>
      <c r="F502" s="83"/>
      <c r="G502" s="265">
        <f>G498*G499*G500*G501</f>
        <v>2049.5621999999998</v>
      </c>
    </row>
    <row r="503" spans="1:14" s="69" customFormat="1" ht="23.25" customHeight="1" outlineLevel="1" x14ac:dyDescent="0.25">
      <c r="A503" s="66" t="s">
        <v>483</v>
      </c>
      <c r="B503" s="67" t="s">
        <v>186</v>
      </c>
      <c r="C503" s="68"/>
      <c r="D503" s="67"/>
      <c r="E503" s="67"/>
      <c r="F503" s="67"/>
      <c r="G503" s="67"/>
    </row>
    <row r="504" spans="1:14" s="69" customFormat="1" ht="43.5" customHeight="1" outlineLevel="1" x14ac:dyDescent="0.25">
      <c r="A504" s="70"/>
      <c r="B504" s="71" t="s">
        <v>608</v>
      </c>
      <c r="C504" s="956" t="s">
        <v>609</v>
      </c>
      <c r="D504" s="73" t="s">
        <v>540</v>
      </c>
      <c r="E504" s="74">
        <v>60</v>
      </c>
      <c r="F504" s="75">
        <v>11.75</v>
      </c>
      <c r="G504" s="75">
        <f>E504*F504</f>
        <v>705</v>
      </c>
      <c r="H504" s="69">
        <f>'Подэтап 6.3  (ПД)'!D3</f>
        <v>60</v>
      </c>
      <c r="I504" s="69" t="s">
        <v>183</v>
      </c>
    </row>
    <row r="505" spans="1:14" s="89" customFormat="1" ht="51" outlineLevel="1" x14ac:dyDescent="0.2">
      <c r="A505" s="84"/>
      <c r="B505" s="85" t="s">
        <v>405</v>
      </c>
      <c r="C505" s="84" t="s">
        <v>567</v>
      </c>
      <c r="D505" s="86"/>
      <c r="E505" s="86"/>
      <c r="F505" s="87"/>
      <c r="G505" s="88">
        <v>0.82</v>
      </c>
    </row>
    <row r="506" spans="1:14" s="89" customFormat="1" ht="49.5" customHeight="1" outlineLevel="1" x14ac:dyDescent="0.2">
      <c r="A506" s="84"/>
      <c r="B506" s="85" t="s">
        <v>478</v>
      </c>
      <c r="C506" s="84" t="s">
        <v>610</v>
      </c>
      <c r="D506" s="86"/>
      <c r="E506" s="86"/>
      <c r="F506" s="87"/>
      <c r="G506" s="88">
        <v>0.99</v>
      </c>
    </row>
    <row r="507" spans="1:14" s="89" customFormat="1" ht="12.75" outlineLevel="1" x14ac:dyDescent="0.2">
      <c r="A507" s="84"/>
      <c r="B507" s="85" t="s">
        <v>409</v>
      </c>
      <c r="C507" s="84" t="s">
        <v>611</v>
      </c>
      <c r="D507" s="86"/>
      <c r="E507" s="86"/>
      <c r="F507" s="87"/>
      <c r="G507" s="88">
        <v>1.03</v>
      </c>
    </row>
    <row r="508" spans="1:14" s="69" customFormat="1" ht="22.5" customHeight="1" outlineLevel="1" x14ac:dyDescent="0.25">
      <c r="A508" s="70"/>
      <c r="B508" s="264" t="s">
        <v>484</v>
      </c>
      <c r="C508" s="81"/>
      <c r="D508" s="70"/>
      <c r="E508" s="82"/>
      <c r="F508" s="83"/>
      <c r="G508" s="265">
        <f>G504*G505*G506*G507</f>
        <v>589.48856999999998</v>
      </c>
    </row>
    <row r="509" spans="1:14" s="69" customFormat="1" ht="23.25" customHeight="1" outlineLevel="1" x14ac:dyDescent="0.25">
      <c r="A509" s="66" t="s">
        <v>523</v>
      </c>
      <c r="B509" s="67" t="s">
        <v>205</v>
      </c>
      <c r="C509" s="68"/>
      <c r="D509" s="67"/>
      <c r="E509" s="67"/>
      <c r="F509" s="67"/>
      <c r="G509" s="67"/>
    </row>
    <row r="510" spans="1:14" s="69" customFormat="1" ht="33.75" customHeight="1" outlineLevel="1" x14ac:dyDescent="0.25">
      <c r="A510" s="70"/>
      <c r="B510" s="71" t="s">
        <v>536</v>
      </c>
      <c r="C510" s="956" t="s">
        <v>500</v>
      </c>
      <c r="D510" s="73" t="s">
        <v>517</v>
      </c>
      <c r="E510" s="74">
        <v>20</v>
      </c>
      <c r="F510" s="75">
        <v>51.66</v>
      </c>
      <c r="G510" s="75">
        <f>E510*F510</f>
        <v>1033.1999999999998</v>
      </c>
      <c r="H510" s="69" t="s">
        <v>307</v>
      </c>
    </row>
    <row r="511" spans="1:14" s="89" customFormat="1" ht="51" outlineLevel="1" x14ac:dyDescent="0.2">
      <c r="A511" s="84"/>
      <c r="B511" s="85" t="s">
        <v>405</v>
      </c>
      <c r="C511" s="84" t="s">
        <v>501</v>
      </c>
      <c r="D511" s="86"/>
      <c r="E511" s="86"/>
      <c r="F511" s="87"/>
      <c r="G511" s="88">
        <v>0.82</v>
      </c>
    </row>
    <row r="512" spans="1:14" s="89" customFormat="1" ht="49.5" customHeight="1" outlineLevel="1" x14ac:dyDescent="0.2">
      <c r="A512" s="84"/>
      <c r="B512" s="85" t="s">
        <v>478</v>
      </c>
      <c r="C512" s="84" t="s">
        <v>502</v>
      </c>
      <c r="D512" s="86"/>
      <c r="E512" s="86"/>
      <c r="F512" s="87"/>
      <c r="G512" s="88">
        <v>0.99</v>
      </c>
    </row>
    <row r="513" spans="1:9" s="89" customFormat="1" ht="12.75" outlineLevel="1" x14ac:dyDescent="0.2">
      <c r="A513" s="84"/>
      <c r="B513" s="85" t="s">
        <v>409</v>
      </c>
      <c r="C513" s="84" t="s">
        <v>582</v>
      </c>
      <c r="D513" s="86"/>
      <c r="E513" s="86"/>
      <c r="F513" s="87"/>
      <c r="G513" s="88">
        <v>1</v>
      </c>
    </row>
    <row r="514" spans="1:9" s="69" customFormat="1" ht="22.5" customHeight="1" outlineLevel="1" x14ac:dyDescent="0.25">
      <c r="A514" s="70"/>
      <c r="B514" s="264" t="s">
        <v>572</v>
      </c>
      <c r="C514" s="81"/>
      <c r="D514" s="70"/>
      <c r="E514" s="82"/>
      <c r="F514" s="83"/>
      <c r="G514" s="265">
        <f>G510*G511*G512*G513</f>
        <v>838.75175999999976</v>
      </c>
    </row>
    <row r="515" spans="1:9" s="69" customFormat="1" ht="23.25" customHeight="1" outlineLevel="1" x14ac:dyDescent="0.25">
      <c r="A515" s="66" t="s">
        <v>606</v>
      </c>
      <c r="B515" s="67" t="s">
        <v>512</v>
      </c>
      <c r="C515" s="68"/>
      <c r="D515" s="67"/>
      <c r="E515" s="67"/>
      <c r="F515" s="67"/>
      <c r="G515" s="67"/>
    </row>
    <row r="516" spans="1:9" s="69" customFormat="1" ht="39.75" customHeight="1" outlineLevel="1" x14ac:dyDescent="0.25">
      <c r="A516" s="70"/>
      <c r="B516" s="71" t="s">
        <v>513</v>
      </c>
      <c r="C516" s="956" t="s">
        <v>500</v>
      </c>
      <c r="D516" s="73" t="s">
        <v>514</v>
      </c>
      <c r="E516" s="74"/>
      <c r="F516" s="75">
        <v>491.02</v>
      </c>
      <c r="G516" s="75">
        <f>E516*F516</f>
        <v>0</v>
      </c>
      <c r="H516" s="69" t="s">
        <v>308</v>
      </c>
    </row>
    <row r="517" spans="1:9" s="89" customFormat="1" ht="51" outlineLevel="1" x14ac:dyDescent="0.2">
      <c r="A517" s="84"/>
      <c r="B517" s="85" t="s">
        <v>405</v>
      </c>
      <c r="C517" s="84" t="s">
        <v>501</v>
      </c>
      <c r="D517" s="86"/>
      <c r="E517" s="86"/>
      <c r="F517" s="87"/>
      <c r="G517" s="88">
        <v>0.82</v>
      </c>
    </row>
    <row r="518" spans="1:9" s="89" customFormat="1" ht="49.5" customHeight="1" outlineLevel="1" x14ac:dyDescent="0.2">
      <c r="A518" s="84"/>
      <c r="B518" s="85" t="s">
        <v>478</v>
      </c>
      <c r="C518" s="84" t="s">
        <v>502</v>
      </c>
      <c r="D518" s="86"/>
      <c r="E518" s="86"/>
      <c r="F518" s="87"/>
      <c r="G518" s="88">
        <v>0.99</v>
      </c>
    </row>
    <row r="519" spans="1:9" s="89" customFormat="1" ht="12.75" outlineLevel="1" x14ac:dyDescent="0.2">
      <c r="A519" s="84"/>
      <c r="B519" s="85" t="s">
        <v>409</v>
      </c>
      <c r="C519" s="84" t="s">
        <v>503</v>
      </c>
      <c r="D519" s="86"/>
      <c r="E519" s="86"/>
      <c r="F519" s="87"/>
      <c r="G519" s="88">
        <v>1</v>
      </c>
    </row>
    <row r="520" spans="1:9" s="69" customFormat="1" ht="22.5" customHeight="1" outlineLevel="1" x14ac:dyDescent="0.25">
      <c r="A520" s="70"/>
      <c r="B520" s="264" t="s">
        <v>607</v>
      </c>
      <c r="C520" s="81"/>
      <c r="D520" s="70"/>
      <c r="E520" s="82"/>
      <c r="F520" s="83"/>
      <c r="G520" s="265">
        <f>G516*G517*G518*G519</f>
        <v>0</v>
      </c>
    </row>
    <row r="521" spans="1:9" s="69" customFormat="1" ht="23.25" customHeight="1" outlineLevel="1" x14ac:dyDescent="0.25">
      <c r="A521" s="66" t="s">
        <v>573</v>
      </c>
      <c r="B521" s="67" t="s">
        <v>482</v>
      </c>
      <c r="C521" s="68"/>
      <c r="D521" s="67"/>
      <c r="E521" s="67"/>
      <c r="F521" s="67"/>
      <c r="G521" s="67"/>
    </row>
    <row r="522" spans="1:9" s="69" customFormat="1" ht="35.25" customHeight="1" outlineLevel="1" x14ac:dyDescent="0.25">
      <c r="A522" s="70"/>
      <c r="B522" s="71" t="s">
        <v>408</v>
      </c>
      <c r="C522" s="956" t="s">
        <v>491</v>
      </c>
      <c r="D522" s="73" t="s">
        <v>0</v>
      </c>
      <c r="E522" s="74">
        <v>0.3</v>
      </c>
      <c r="F522" s="75">
        <v>21046.92</v>
      </c>
      <c r="G522" s="75">
        <f>E522*F522</f>
        <v>6314.0759999999991</v>
      </c>
      <c r="H522" s="69">
        <v>0.3</v>
      </c>
      <c r="I522" s="69" t="s">
        <v>0</v>
      </c>
    </row>
    <row r="523" spans="1:9" s="89" customFormat="1" ht="51" outlineLevel="1" x14ac:dyDescent="0.2">
      <c r="A523" s="84"/>
      <c r="B523" s="85" t="s">
        <v>405</v>
      </c>
      <c r="C523" s="84" t="s">
        <v>492</v>
      </c>
      <c r="D523" s="86"/>
      <c r="E523" s="86"/>
      <c r="F523" s="87"/>
      <c r="G523" s="88">
        <v>0.84</v>
      </c>
    </row>
    <row r="524" spans="1:9" s="89" customFormat="1" ht="30" customHeight="1" outlineLevel="1" x14ac:dyDescent="0.2">
      <c r="A524" s="84"/>
      <c r="B524" s="85" t="s">
        <v>409</v>
      </c>
      <c r="C524" s="84" t="s">
        <v>493</v>
      </c>
      <c r="D524" s="86"/>
      <c r="E524" s="86"/>
      <c r="F524" s="87"/>
      <c r="G524" s="88">
        <v>1</v>
      </c>
    </row>
    <row r="525" spans="1:9" s="89" customFormat="1" ht="15.75" outlineLevel="1" x14ac:dyDescent="0.2">
      <c r="A525" s="84"/>
      <c r="B525" s="264" t="s">
        <v>574</v>
      </c>
      <c r="D525" s="86"/>
      <c r="E525" s="86"/>
      <c r="F525" s="87"/>
      <c r="G525" s="265">
        <f>SUM(G522*G523*G524)</f>
        <v>5303.8238399999991</v>
      </c>
    </row>
    <row r="526" spans="1:9" s="69" customFormat="1" ht="23.25" customHeight="1" outlineLevel="1" x14ac:dyDescent="0.25">
      <c r="A526" s="66" t="s">
        <v>577</v>
      </c>
      <c r="B526" s="67" t="s">
        <v>472</v>
      </c>
      <c r="C526" s="68"/>
      <c r="D526" s="67"/>
      <c r="E526" s="67"/>
      <c r="F526" s="67"/>
      <c r="G526" s="67"/>
    </row>
    <row r="527" spans="1:9" s="69" customFormat="1" ht="47.25" customHeight="1" outlineLevel="1" x14ac:dyDescent="0.25">
      <c r="A527" s="70"/>
      <c r="B527" s="71" t="s">
        <v>473</v>
      </c>
      <c r="C527" s="956" t="s">
        <v>495</v>
      </c>
      <c r="D527" s="73" t="s">
        <v>474</v>
      </c>
      <c r="E527" s="74">
        <v>40</v>
      </c>
      <c r="F527" s="75">
        <v>20.29</v>
      </c>
      <c r="G527" s="75">
        <f>E527*F527</f>
        <v>811.59999999999991</v>
      </c>
      <c r="H527" s="69">
        <f>'Подэтап 6.3  (ПД)'!D2</f>
        <v>0.4</v>
      </c>
      <c r="I527" s="69" t="s">
        <v>0</v>
      </c>
    </row>
    <row r="528" spans="1:9" s="89" customFormat="1" ht="51" outlineLevel="1" x14ac:dyDescent="0.2">
      <c r="A528" s="84"/>
      <c r="B528" s="85" t="s">
        <v>405</v>
      </c>
      <c r="C528" s="84" t="s">
        <v>496</v>
      </c>
      <c r="D528" s="86"/>
      <c r="E528" s="86"/>
      <c r="F528" s="87"/>
      <c r="G528" s="88">
        <v>0.84</v>
      </c>
    </row>
    <row r="529" spans="1:13" s="89" customFormat="1" ht="49.5" customHeight="1" outlineLevel="1" x14ac:dyDescent="0.2">
      <c r="A529" s="84"/>
      <c r="B529" s="85" t="s">
        <v>478</v>
      </c>
      <c r="C529" s="84" t="s">
        <v>497</v>
      </c>
      <c r="D529" s="86"/>
      <c r="E529" s="86"/>
      <c r="F529" s="87"/>
      <c r="G529" s="88">
        <v>0.99</v>
      </c>
    </row>
    <row r="530" spans="1:13" s="89" customFormat="1" ht="12.75" outlineLevel="1" x14ac:dyDescent="0.2">
      <c r="A530" s="84"/>
      <c r="B530" s="85" t="s">
        <v>409</v>
      </c>
      <c r="C530" s="84" t="s">
        <v>498</v>
      </c>
      <c r="D530" s="86"/>
      <c r="E530" s="86"/>
      <c r="F530" s="87"/>
      <c r="G530" s="88">
        <v>1</v>
      </c>
    </row>
    <row r="531" spans="1:13" s="69" customFormat="1" ht="22.5" customHeight="1" outlineLevel="1" x14ac:dyDescent="0.25">
      <c r="A531" s="70"/>
      <c r="B531" s="264" t="s">
        <v>580</v>
      </c>
      <c r="C531" s="81"/>
      <c r="D531" s="70"/>
      <c r="E531" s="82"/>
      <c r="F531" s="83"/>
      <c r="G531" s="265">
        <f>G527*G528*G529*G530</f>
        <v>674.92655999999988</v>
      </c>
    </row>
    <row r="532" spans="1:13" s="69" customFormat="1" ht="22.5" customHeight="1" x14ac:dyDescent="0.25">
      <c r="A532" s="267"/>
      <c r="B532" s="266" t="s">
        <v>1308</v>
      </c>
      <c r="C532" s="555"/>
      <c r="D532" s="267"/>
      <c r="E532" s="553"/>
      <c r="F532" s="554"/>
      <c r="G532" s="957">
        <f>G490+G496+G502+G508+G514+G520+G525+G531</f>
        <v>10172.355956399999</v>
      </c>
      <c r="H532" s="299"/>
      <c r="I532" s="102"/>
    </row>
    <row r="533" spans="1:13" s="43" customFormat="1" ht="18" customHeight="1" x14ac:dyDescent="0.25">
      <c r="A533" s="1224" t="s">
        <v>175</v>
      </c>
      <c r="B533" s="1224"/>
      <c r="C533" s="1224"/>
      <c r="D533" s="1224"/>
      <c r="E533" s="1224"/>
      <c r="F533" s="1224"/>
      <c r="G533" s="1224"/>
      <c r="H533" s="52"/>
      <c r="I533" s="60"/>
      <c r="J533" s="60"/>
      <c r="K533" s="60"/>
      <c r="L533" s="61"/>
      <c r="M533" s="61"/>
    </row>
    <row r="534" spans="1:13" s="69" customFormat="1" ht="23.25" customHeight="1" outlineLevel="1" x14ac:dyDescent="0.25">
      <c r="A534" s="66" t="s">
        <v>365</v>
      </c>
      <c r="B534" s="67" t="s">
        <v>569</v>
      </c>
      <c r="C534" s="68"/>
      <c r="D534" s="67"/>
      <c r="E534" s="67"/>
      <c r="F534" s="67"/>
      <c r="G534" s="67"/>
    </row>
    <row r="535" spans="1:13" s="69" customFormat="1" ht="39" customHeight="1" outlineLevel="1" x14ac:dyDescent="0.25">
      <c r="A535" s="70"/>
      <c r="B535" s="71" t="s">
        <v>566</v>
      </c>
      <c r="C535" s="956" t="s">
        <v>564</v>
      </c>
      <c r="D535" s="73" t="s">
        <v>565</v>
      </c>
      <c r="E535" s="74">
        <v>40</v>
      </c>
      <c r="F535" s="75">
        <v>5288.72</v>
      </c>
      <c r="G535" s="75">
        <f>E535*F535</f>
        <v>211548.80000000002</v>
      </c>
    </row>
    <row r="536" spans="1:13" s="89" customFormat="1" ht="51" outlineLevel="1" x14ac:dyDescent="0.2">
      <c r="A536" s="84"/>
      <c r="B536" s="85" t="s">
        <v>405</v>
      </c>
      <c r="C536" s="84" t="s">
        <v>567</v>
      </c>
      <c r="D536" s="86"/>
      <c r="E536" s="86"/>
      <c r="F536" s="87"/>
      <c r="G536" s="88">
        <v>0.82</v>
      </c>
    </row>
    <row r="537" spans="1:13" s="89" customFormat="1" ht="49.5" customHeight="1" outlineLevel="1" x14ac:dyDescent="0.2">
      <c r="A537" s="84"/>
      <c r="B537" s="85" t="s">
        <v>478</v>
      </c>
      <c r="C537" s="84" t="s">
        <v>568</v>
      </c>
      <c r="D537" s="86"/>
      <c r="E537" s="86"/>
      <c r="F537" s="87"/>
      <c r="G537" s="88">
        <v>0.99</v>
      </c>
    </row>
    <row r="538" spans="1:13" s="89" customFormat="1" ht="12.75" outlineLevel="1" x14ac:dyDescent="0.2">
      <c r="A538" s="84"/>
      <c r="B538" s="85" t="s">
        <v>409</v>
      </c>
      <c r="C538" s="84" t="s">
        <v>570</v>
      </c>
      <c r="D538" s="86"/>
      <c r="E538" s="86"/>
      <c r="F538" s="87"/>
      <c r="G538" s="88">
        <v>1.03</v>
      </c>
    </row>
    <row r="539" spans="1:13" s="69" customFormat="1" ht="22.5" customHeight="1" outlineLevel="1" x14ac:dyDescent="0.25">
      <c r="A539" s="70"/>
      <c r="B539" s="264" t="s">
        <v>571</v>
      </c>
      <c r="C539" s="81"/>
      <c r="D539" s="70"/>
      <c r="E539" s="82"/>
      <c r="F539" s="83"/>
      <c r="G539" s="265">
        <f>G535*G536*G537*G538</f>
        <v>176887.37531520001</v>
      </c>
    </row>
    <row r="540" spans="1:13" s="69" customFormat="1" ht="23.25" customHeight="1" outlineLevel="1" x14ac:dyDescent="0.25">
      <c r="A540" s="66" t="s">
        <v>479</v>
      </c>
      <c r="B540" s="67" t="s">
        <v>472</v>
      </c>
      <c r="C540" s="68"/>
      <c r="D540" s="67"/>
      <c r="E540" s="67"/>
      <c r="F540" s="67"/>
      <c r="G540" s="67"/>
    </row>
    <row r="541" spans="1:13" s="69" customFormat="1" ht="47.25" customHeight="1" outlineLevel="1" x14ac:dyDescent="0.25">
      <c r="A541" s="70"/>
      <c r="B541" s="71" t="s">
        <v>473</v>
      </c>
      <c r="C541" s="956" t="s">
        <v>495</v>
      </c>
      <c r="D541" s="73" t="s">
        <v>474</v>
      </c>
      <c r="E541" s="74">
        <v>180</v>
      </c>
      <c r="F541" s="75">
        <v>20.29</v>
      </c>
      <c r="G541" s="75">
        <f>E541*F541</f>
        <v>3652.2</v>
      </c>
      <c r="H541" s="69">
        <v>1.8</v>
      </c>
      <c r="I541" s="69" t="s">
        <v>0</v>
      </c>
    </row>
    <row r="542" spans="1:13" s="89" customFormat="1" ht="51" outlineLevel="1" x14ac:dyDescent="0.2">
      <c r="A542" s="84"/>
      <c r="B542" s="85" t="s">
        <v>405</v>
      </c>
      <c r="C542" s="84" t="s">
        <v>496</v>
      </c>
      <c r="D542" s="86"/>
      <c r="E542" s="86"/>
      <c r="F542" s="87"/>
      <c r="G542" s="88">
        <v>0.84</v>
      </c>
    </row>
    <row r="543" spans="1:13" s="89" customFormat="1" ht="49.5" customHeight="1" outlineLevel="1" x14ac:dyDescent="0.2">
      <c r="A543" s="84"/>
      <c r="B543" s="85" t="s">
        <v>478</v>
      </c>
      <c r="C543" s="84" t="s">
        <v>497</v>
      </c>
      <c r="D543" s="86"/>
      <c r="E543" s="86"/>
      <c r="F543" s="87"/>
      <c r="G543" s="88">
        <v>0.99</v>
      </c>
    </row>
    <row r="544" spans="1:13" s="89" customFormat="1" ht="12.75" outlineLevel="1" x14ac:dyDescent="0.2">
      <c r="A544" s="84"/>
      <c r="B544" s="85" t="s">
        <v>409</v>
      </c>
      <c r="C544" s="84" t="s">
        <v>498</v>
      </c>
      <c r="D544" s="86"/>
      <c r="E544" s="86"/>
      <c r="F544" s="87"/>
      <c r="G544" s="88">
        <v>1</v>
      </c>
    </row>
    <row r="545" spans="1:9" s="69" customFormat="1" ht="22.5" customHeight="1" outlineLevel="1" x14ac:dyDescent="0.25">
      <c r="A545" s="70"/>
      <c r="B545" s="264" t="s">
        <v>480</v>
      </c>
      <c r="C545" s="81"/>
      <c r="D545" s="70"/>
      <c r="E545" s="82"/>
      <c r="F545" s="83"/>
      <c r="G545" s="265">
        <f>G541*G542*G543*G544</f>
        <v>3037.1695199999999</v>
      </c>
    </row>
    <row r="546" spans="1:9" s="69" customFormat="1" ht="23.25" customHeight="1" outlineLevel="1" x14ac:dyDescent="0.25">
      <c r="A546" s="66" t="s">
        <v>481</v>
      </c>
      <c r="B546" s="67" t="s">
        <v>476</v>
      </c>
      <c r="C546" s="68"/>
      <c r="D546" s="67"/>
      <c r="E546" s="67"/>
      <c r="F546" s="67"/>
      <c r="G546" s="67"/>
    </row>
    <row r="547" spans="1:9" s="69" customFormat="1" ht="43.5" customHeight="1" outlineLevel="1" x14ac:dyDescent="0.25">
      <c r="A547" s="70"/>
      <c r="B547" s="71" t="s">
        <v>477</v>
      </c>
      <c r="C547" s="956" t="s">
        <v>499</v>
      </c>
      <c r="D547" s="73" t="s">
        <v>474</v>
      </c>
      <c r="E547" s="74">
        <v>180</v>
      </c>
      <c r="F547" s="75">
        <v>196.55</v>
      </c>
      <c r="G547" s="75">
        <f>E547*F547</f>
        <v>35379</v>
      </c>
      <c r="H547" s="69">
        <v>1.8</v>
      </c>
      <c r="I547" s="69" t="s">
        <v>0</v>
      </c>
    </row>
    <row r="548" spans="1:9" s="89" customFormat="1" ht="51" outlineLevel="1" x14ac:dyDescent="0.2">
      <c r="A548" s="84"/>
      <c r="B548" s="85" t="s">
        <v>405</v>
      </c>
      <c r="C548" s="84" t="s">
        <v>496</v>
      </c>
      <c r="D548" s="86"/>
      <c r="E548" s="86"/>
      <c r="F548" s="87"/>
      <c r="G548" s="88">
        <v>0.84</v>
      </c>
    </row>
    <row r="549" spans="1:9" s="89" customFormat="1" ht="49.5" customHeight="1" outlineLevel="1" x14ac:dyDescent="0.2">
      <c r="A549" s="84"/>
      <c r="B549" s="85" t="s">
        <v>478</v>
      </c>
      <c r="C549" s="84" t="s">
        <v>497</v>
      </c>
      <c r="D549" s="86"/>
      <c r="E549" s="86"/>
      <c r="F549" s="87"/>
      <c r="G549" s="88">
        <v>0.99</v>
      </c>
    </row>
    <row r="550" spans="1:9" s="89" customFormat="1" ht="12.75" outlineLevel="1" x14ac:dyDescent="0.2">
      <c r="A550" s="84"/>
      <c r="B550" s="85" t="s">
        <v>409</v>
      </c>
      <c r="C550" s="84" t="s">
        <v>498</v>
      </c>
      <c r="D550" s="86"/>
      <c r="E550" s="86"/>
      <c r="F550" s="87"/>
      <c r="G550" s="88">
        <v>1</v>
      </c>
    </row>
    <row r="551" spans="1:9" s="69" customFormat="1" ht="22.5" customHeight="1" outlineLevel="1" x14ac:dyDescent="0.25">
      <c r="A551" s="70"/>
      <c r="B551" s="264" t="s">
        <v>520</v>
      </c>
      <c r="C551" s="81"/>
      <c r="D551" s="70"/>
      <c r="E551" s="82"/>
      <c r="F551" s="83"/>
      <c r="G551" s="265">
        <f>G547*G548*G549*G550</f>
        <v>29421.1764</v>
      </c>
    </row>
    <row r="552" spans="1:9" s="69" customFormat="1" ht="23.25" customHeight="1" outlineLevel="1" x14ac:dyDescent="0.25">
      <c r="A552" s="66" t="s">
        <v>483</v>
      </c>
      <c r="B552" s="67" t="s">
        <v>182</v>
      </c>
      <c r="C552" s="68"/>
      <c r="D552" s="67"/>
      <c r="E552" s="67"/>
      <c r="F552" s="67"/>
      <c r="G552" s="67"/>
    </row>
    <row r="553" spans="1:9" s="69" customFormat="1" ht="43.5" customHeight="1" outlineLevel="1" x14ac:dyDescent="0.25">
      <c r="A553" s="70"/>
      <c r="B553" s="71" t="s">
        <v>549</v>
      </c>
      <c r="C553" s="956" t="s">
        <v>545</v>
      </c>
      <c r="D553" s="73" t="s">
        <v>550</v>
      </c>
      <c r="E553" s="74">
        <v>30</v>
      </c>
      <c r="F553" s="75">
        <v>84.18</v>
      </c>
      <c r="G553" s="75">
        <f>E553*F553</f>
        <v>2525.4</v>
      </c>
    </row>
    <row r="554" spans="1:9" s="89" customFormat="1" ht="51" outlineLevel="1" x14ac:dyDescent="0.2">
      <c r="A554" s="84"/>
      <c r="B554" s="85" t="s">
        <v>405</v>
      </c>
      <c r="C554" s="84" t="s">
        <v>496</v>
      </c>
      <c r="D554" s="86"/>
      <c r="E554" s="86"/>
      <c r="F554" s="87"/>
      <c r="G554" s="88">
        <v>0.84</v>
      </c>
    </row>
    <row r="555" spans="1:9" s="89" customFormat="1" ht="49.5" customHeight="1" outlineLevel="1" x14ac:dyDescent="0.2">
      <c r="A555" s="84"/>
      <c r="B555" s="85" t="s">
        <v>478</v>
      </c>
      <c r="C555" s="84" t="s">
        <v>497</v>
      </c>
      <c r="D555" s="86"/>
      <c r="E555" s="86"/>
      <c r="F555" s="87"/>
      <c r="G555" s="88">
        <v>0.99</v>
      </c>
    </row>
    <row r="556" spans="1:9" s="89" customFormat="1" ht="12.75" outlineLevel="1" x14ac:dyDescent="0.2">
      <c r="A556" s="84"/>
      <c r="B556" s="85" t="s">
        <v>409</v>
      </c>
      <c r="C556" s="84" t="s">
        <v>498</v>
      </c>
      <c r="D556" s="86"/>
      <c r="E556" s="86"/>
      <c r="F556" s="87"/>
      <c r="G556" s="88">
        <v>1</v>
      </c>
    </row>
    <row r="557" spans="1:9" s="69" customFormat="1" ht="22.5" customHeight="1" outlineLevel="1" x14ac:dyDescent="0.25">
      <c r="A557" s="70"/>
      <c r="B557" s="264" t="s">
        <v>484</v>
      </c>
      <c r="C557" s="81"/>
      <c r="D557" s="70"/>
      <c r="E557" s="82"/>
      <c r="F557" s="83"/>
      <c r="G557" s="265">
        <f>G553*G554*G555*G556</f>
        <v>2100.1226399999996</v>
      </c>
    </row>
    <row r="558" spans="1:9" s="69" customFormat="1" ht="23.25" customHeight="1" outlineLevel="1" x14ac:dyDescent="0.25">
      <c r="A558" s="66" t="s">
        <v>485</v>
      </c>
      <c r="B558" s="67" t="s">
        <v>186</v>
      </c>
      <c r="C558" s="68"/>
      <c r="D558" s="67"/>
      <c r="E558" s="67"/>
      <c r="F558" s="67"/>
      <c r="G558" s="67"/>
    </row>
    <row r="559" spans="1:9" s="69" customFormat="1" ht="43.5" customHeight="1" outlineLevel="1" x14ac:dyDescent="0.25">
      <c r="A559" s="70"/>
      <c r="B559" s="71" t="s">
        <v>544</v>
      </c>
      <c r="C559" s="956" t="s">
        <v>545</v>
      </c>
      <c r="D559" s="73" t="s">
        <v>474</v>
      </c>
      <c r="E559" s="74">
        <v>0.6</v>
      </c>
      <c r="F559" s="75">
        <v>295.70999999999998</v>
      </c>
      <c r="G559" s="75">
        <f>E559*F559</f>
        <v>177.42599999999999</v>
      </c>
      <c r="H559" s="69">
        <f>'Подэтап 6.4  (ПД)'!D7</f>
        <v>60</v>
      </c>
      <c r="I559" s="69" t="s">
        <v>183</v>
      </c>
    </row>
    <row r="560" spans="1:9" s="89" customFormat="1" ht="51" outlineLevel="1" x14ac:dyDescent="0.2">
      <c r="A560" s="84"/>
      <c r="B560" s="85" t="s">
        <v>405</v>
      </c>
      <c r="C560" s="84" t="s">
        <v>496</v>
      </c>
      <c r="D560" s="86"/>
      <c r="E560" s="86"/>
      <c r="F560" s="87"/>
      <c r="G560" s="88">
        <v>0.84</v>
      </c>
    </row>
    <row r="561" spans="1:9" s="89" customFormat="1" ht="49.5" customHeight="1" outlineLevel="1" x14ac:dyDescent="0.2">
      <c r="A561" s="84"/>
      <c r="B561" s="85" t="s">
        <v>478</v>
      </c>
      <c r="C561" s="84" t="s">
        <v>497</v>
      </c>
      <c r="D561" s="86"/>
      <c r="E561" s="86"/>
      <c r="F561" s="87"/>
      <c r="G561" s="88">
        <v>0.99</v>
      </c>
    </row>
    <row r="562" spans="1:9" s="89" customFormat="1" ht="12.75" outlineLevel="1" x14ac:dyDescent="0.2">
      <c r="A562" s="84"/>
      <c r="B562" s="85" t="s">
        <v>409</v>
      </c>
      <c r="C562" s="84" t="s">
        <v>498</v>
      </c>
      <c r="D562" s="86"/>
      <c r="E562" s="86"/>
      <c r="F562" s="87"/>
      <c r="G562" s="88">
        <v>1</v>
      </c>
    </row>
    <row r="563" spans="1:9" s="69" customFormat="1" ht="22.5" customHeight="1" outlineLevel="1" x14ac:dyDescent="0.25">
      <c r="A563" s="70"/>
      <c r="B563" s="264" t="s">
        <v>490</v>
      </c>
      <c r="C563" s="81"/>
      <c r="D563" s="70"/>
      <c r="E563" s="82"/>
      <c r="F563" s="83"/>
      <c r="G563" s="265">
        <f>G559*G560*G561*G562</f>
        <v>147.54746159999999</v>
      </c>
    </row>
    <row r="564" spans="1:9" s="69" customFormat="1" ht="23.25" customHeight="1" outlineLevel="1" x14ac:dyDescent="0.25">
      <c r="A564" s="66" t="s">
        <v>523</v>
      </c>
      <c r="B564" s="67" t="s">
        <v>546</v>
      </c>
      <c r="C564" s="68"/>
      <c r="D564" s="67"/>
      <c r="E564" s="67"/>
      <c r="F564" s="67"/>
      <c r="G564" s="67"/>
    </row>
    <row r="565" spans="1:9" s="69" customFormat="1" ht="43.5" customHeight="1" outlineLevel="1" x14ac:dyDescent="0.25">
      <c r="A565" s="70"/>
      <c r="B565" s="71" t="s">
        <v>548</v>
      </c>
      <c r="C565" s="956" t="s">
        <v>547</v>
      </c>
      <c r="D565" s="73" t="s">
        <v>474</v>
      </c>
      <c r="E565" s="74">
        <v>0.6</v>
      </c>
      <c r="F565" s="75">
        <v>176.87</v>
      </c>
      <c r="G565" s="75">
        <f>E565*F565</f>
        <v>106.122</v>
      </c>
      <c r="H565" s="69">
        <f>H559</f>
        <v>60</v>
      </c>
      <c r="I565" s="69" t="s">
        <v>183</v>
      </c>
    </row>
    <row r="566" spans="1:9" s="89" customFormat="1" ht="51" outlineLevel="1" x14ac:dyDescent="0.2">
      <c r="A566" s="84"/>
      <c r="B566" s="85" t="s">
        <v>405</v>
      </c>
      <c r="C566" s="84" t="s">
        <v>496</v>
      </c>
      <c r="D566" s="86"/>
      <c r="E566" s="86"/>
      <c r="F566" s="87"/>
      <c r="G566" s="88">
        <v>0.84</v>
      </c>
    </row>
    <row r="567" spans="1:9" s="89" customFormat="1" ht="49.5" customHeight="1" outlineLevel="1" x14ac:dyDescent="0.2">
      <c r="A567" s="84"/>
      <c r="B567" s="85" t="s">
        <v>478</v>
      </c>
      <c r="C567" s="84" t="s">
        <v>497</v>
      </c>
      <c r="D567" s="86"/>
      <c r="E567" s="86"/>
      <c r="F567" s="87"/>
      <c r="G567" s="88">
        <v>0.99</v>
      </c>
    </row>
    <row r="568" spans="1:9" s="89" customFormat="1" ht="12.75" outlineLevel="1" x14ac:dyDescent="0.2">
      <c r="A568" s="84"/>
      <c r="B568" s="85" t="s">
        <v>409</v>
      </c>
      <c r="C568" s="84" t="s">
        <v>498</v>
      </c>
      <c r="D568" s="86"/>
      <c r="E568" s="86"/>
      <c r="F568" s="87"/>
      <c r="G568" s="88">
        <v>1</v>
      </c>
    </row>
    <row r="569" spans="1:9" s="69" customFormat="1" ht="22.5" customHeight="1" outlineLevel="1" x14ac:dyDescent="0.25">
      <c r="A569" s="70"/>
      <c r="B569" s="264" t="s">
        <v>572</v>
      </c>
      <c r="C569" s="81"/>
      <c r="D569" s="70"/>
      <c r="E569" s="82"/>
      <c r="F569" s="83"/>
      <c r="G569" s="265">
        <f>G565*G566*G567*G568</f>
        <v>88.251055199999996</v>
      </c>
    </row>
    <row r="570" spans="1:9" s="69" customFormat="1" ht="23.25" customHeight="1" outlineLevel="1" x14ac:dyDescent="0.25">
      <c r="A570" s="66" t="s">
        <v>573</v>
      </c>
      <c r="B570" s="67" t="s">
        <v>559</v>
      </c>
      <c r="C570" s="68"/>
      <c r="D570" s="67"/>
      <c r="E570" s="67"/>
      <c r="F570" s="67"/>
      <c r="G570" s="67"/>
    </row>
    <row r="571" spans="1:9" s="69" customFormat="1" ht="43.5" customHeight="1" outlineLevel="1" x14ac:dyDescent="0.25">
      <c r="A571" s="70"/>
      <c r="B571" s="71" t="s">
        <v>560</v>
      </c>
      <c r="C571" s="956" t="s">
        <v>561</v>
      </c>
      <c r="D571" s="73" t="s">
        <v>474</v>
      </c>
      <c r="E571" s="74">
        <v>25</v>
      </c>
      <c r="F571" s="75">
        <v>701.52</v>
      </c>
      <c r="G571" s="75">
        <f>E571*F571</f>
        <v>17538</v>
      </c>
      <c r="H571" s="69">
        <f>'Подэтап 6.4  (ПД)'!D8</f>
        <v>2500</v>
      </c>
      <c r="I571" s="69" t="s">
        <v>183</v>
      </c>
    </row>
    <row r="572" spans="1:9" s="89" customFormat="1" ht="49.5" customHeight="1" outlineLevel="1" x14ac:dyDescent="0.2">
      <c r="A572" s="84"/>
      <c r="B572" s="85" t="s">
        <v>563</v>
      </c>
      <c r="C572" s="84" t="s">
        <v>562</v>
      </c>
      <c r="D572" s="86"/>
      <c r="E572" s="86"/>
      <c r="F572" s="87"/>
      <c r="G572" s="88">
        <v>1.25</v>
      </c>
    </row>
    <row r="573" spans="1:9" s="89" customFormat="1" ht="51" outlineLevel="1" x14ac:dyDescent="0.2">
      <c r="A573" s="84"/>
      <c r="B573" s="85" t="s">
        <v>405</v>
      </c>
      <c r="C573" s="84" t="s">
        <v>496</v>
      </c>
      <c r="D573" s="86"/>
      <c r="E573" s="86"/>
      <c r="F573" s="87"/>
      <c r="G573" s="88">
        <v>0.84</v>
      </c>
    </row>
    <row r="574" spans="1:9" s="89" customFormat="1" ht="49.5" customHeight="1" outlineLevel="1" x14ac:dyDescent="0.2">
      <c r="A574" s="84"/>
      <c r="B574" s="85" t="s">
        <v>488</v>
      </c>
      <c r="C574" s="84" t="s">
        <v>497</v>
      </c>
      <c r="D574" s="86"/>
      <c r="E574" s="86"/>
      <c r="F574" s="87"/>
      <c r="G574" s="88">
        <v>0.99</v>
      </c>
    </row>
    <row r="575" spans="1:9" s="89" customFormat="1" ht="12.75" outlineLevel="1" x14ac:dyDescent="0.2">
      <c r="A575" s="84"/>
      <c r="B575" s="85" t="s">
        <v>409</v>
      </c>
      <c r="C575" s="84" t="s">
        <v>498</v>
      </c>
      <c r="D575" s="86"/>
      <c r="E575" s="86"/>
      <c r="F575" s="87"/>
      <c r="G575" s="88">
        <v>1</v>
      </c>
    </row>
    <row r="576" spans="1:9" s="69" customFormat="1" ht="22.5" customHeight="1" outlineLevel="1" x14ac:dyDescent="0.25">
      <c r="A576" s="70"/>
      <c r="B576" s="264" t="s">
        <v>574</v>
      </c>
      <c r="C576" s="81"/>
      <c r="D576" s="70"/>
      <c r="E576" s="82"/>
      <c r="F576" s="83"/>
      <c r="G576" s="265">
        <f>G571*G572*G573*G574*G575</f>
        <v>18230.750999999997</v>
      </c>
    </row>
    <row r="577" spans="1:9" s="69" customFormat="1" ht="23.25" customHeight="1" outlineLevel="1" x14ac:dyDescent="0.25">
      <c r="A577" s="66" t="s">
        <v>575</v>
      </c>
      <c r="B577" s="67" t="s">
        <v>554</v>
      </c>
      <c r="C577" s="68"/>
      <c r="D577" s="67"/>
      <c r="E577" s="67"/>
      <c r="F577" s="67"/>
      <c r="G577" s="67"/>
    </row>
    <row r="578" spans="1:9" s="69" customFormat="1" ht="66.75" customHeight="1" outlineLevel="1" x14ac:dyDescent="0.25">
      <c r="A578" s="70"/>
      <c r="B578" s="71" t="s">
        <v>557</v>
      </c>
      <c r="C578" s="956" t="s">
        <v>553</v>
      </c>
      <c r="D578" s="73" t="s">
        <v>555</v>
      </c>
      <c r="E578" s="74">
        <v>10</v>
      </c>
      <c r="F578" s="75">
        <v>301.99</v>
      </c>
      <c r="G578" s="75">
        <f>E578*F578</f>
        <v>3019.9</v>
      </c>
    </row>
    <row r="579" spans="1:9" s="89" customFormat="1" ht="51" outlineLevel="1" x14ac:dyDescent="0.2">
      <c r="A579" s="84"/>
      <c r="B579" s="85" t="s">
        <v>405</v>
      </c>
      <c r="C579" s="84" t="s">
        <v>496</v>
      </c>
      <c r="D579" s="86"/>
      <c r="E579" s="86"/>
      <c r="F579" s="87"/>
      <c r="G579" s="88">
        <v>0.84</v>
      </c>
    </row>
    <row r="580" spans="1:9" s="89" customFormat="1" ht="49.5" customHeight="1" outlineLevel="1" x14ac:dyDescent="0.2">
      <c r="A580" s="84"/>
      <c r="B580" s="85" t="s">
        <v>488</v>
      </c>
      <c r="C580" s="84" t="s">
        <v>497</v>
      </c>
      <c r="D580" s="86"/>
      <c r="E580" s="86"/>
      <c r="F580" s="87"/>
      <c r="G580" s="88">
        <v>0.99</v>
      </c>
    </row>
    <row r="581" spans="1:9" s="89" customFormat="1" ht="12.75" outlineLevel="1" x14ac:dyDescent="0.2">
      <c r="A581" s="84"/>
      <c r="B581" s="85" t="s">
        <v>409</v>
      </c>
      <c r="C581" s="84" t="s">
        <v>498</v>
      </c>
      <c r="D581" s="86"/>
      <c r="E581" s="86"/>
      <c r="F581" s="87"/>
      <c r="G581" s="88">
        <v>1</v>
      </c>
    </row>
    <row r="582" spans="1:9" s="69" customFormat="1" ht="22.5" customHeight="1" outlineLevel="1" x14ac:dyDescent="0.25">
      <c r="A582" s="70"/>
      <c r="B582" s="264" t="s">
        <v>576</v>
      </c>
      <c r="C582" s="81"/>
      <c r="D582" s="70"/>
      <c r="E582" s="82"/>
      <c r="F582" s="83"/>
      <c r="G582" s="265">
        <f>G578*G579*G580*G581</f>
        <v>2511.3488399999997</v>
      </c>
    </row>
    <row r="583" spans="1:9" s="69" customFormat="1" ht="23.25" customHeight="1" outlineLevel="1" x14ac:dyDescent="0.25">
      <c r="A583" s="66" t="s">
        <v>577</v>
      </c>
      <c r="B583" s="67" t="s">
        <v>538</v>
      </c>
      <c r="C583" s="68"/>
      <c r="D583" s="67"/>
      <c r="E583" s="67"/>
      <c r="F583" s="67"/>
      <c r="G583" s="67"/>
    </row>
    <row r="584" spans="1:9" s="69" customFormat="1" ht="33.75" customHeight="1" outlineLevel="1" x14ac:dyDescent="0.25">
      <c r="A584" s="70"/>
      <c r="B584" s="71" t="s">
        <v>541</v>
      </c>
      <c r="C584" s="956" t="s">
        <v>542</v>
      </c>
      <c r="D584" s="73" t="s">
        <v>540</v>
      </c>
      <c r="E584" s="74">
        <v>150</v>
      </c>
      <c r="F584" s="75">
        <v>97.67</v>
      </c>
      <c r="G584" s="75">
        <f>E584*F584</f>
        <v>14650.5</v>
      </c>
    </row>
    <row r="585" spans="1:9" s="89" customFormat="1" ht="51" outlineLevel="1" x14ac:dyDescent="0.2">
      <c r="A585" s="84"/>
      <c r="B585" s="85" t="s">
        <v>405</v>
      </c>
      <c r="C585" s="84" t="s">
        <v>539</v>
      </c>
      <c r="D585" s="86"/>
      <c r="E585" s="86"/>
      <c r="F585" s="87"/>
      <c r="G585" s="88">
        <v>0.82</v>
      </c>
    </row>
    <row r="586" spans="1:9" s="89" customFormat="1" ht="38.25" customHeight="1" outlineLevel="1" x14ac:dyDescent="0.2">
      <c r="A586" s="84"/>
      <c r="B586" s="85" t="s">
        <v>478</v>
      </c>
      <c r="C586" s="84" t="s">
        <v>543</v>
      </c>
      <c r="D586" s="86"/>
      <c r="E586" s="86"/>
      <c r="F586" s="87"/>
      <c r="G586" s="88">
        <v>0.99</v>
      </c>
    </row>
    <row r="587" spans="1:9" s="89" customFormat="1" ht="12.75" outlineLevel="1" x14ac:dyDescent="0.2">
      <c r="A587" s="84"/>
      <c r="B587" s="85"/>
      <c r="C587" s="84"/>
      <c r="D587" s="86"/>
      <c r="E587" s="86"/>
      <c r="F587" s="87"/>
      <c r="G587" s="88"/>
    </row>
    <row r="588" spans="1:9" s="69" customFormat="1" ht="22.5" customHeight="1" outlineLevel="1" x14ac:dyDescent="0.25">
      <c r="A588" s="70"/>
      <c r="B588" s="264" t="s">
        <v>580</v>
      </c>
      <c r="C588" s="81"/>
      <c r="D588" s="70"/>
      <c r="E588" s="82"/>
      <c r="F588" s="83"/>
      <c r="G588" s="265">
        <f>G584*G585*G586</f>
        <v>11893.275900000001</v>
      </c>
    </row>
    <row r="589" spans="1:9" s="69" customFormat="1" ht="23.25" customHeight="1" outlineLevel="1" x14ac:dyDescent="0.25">
      <c r="A589" s="66" t="s">
        <v>581</v>
      </c>
      <c r="B589" s="67" t="s">
        <v>482</v>
      </c>
      <c r="C589" s="68"/>
      <c r="D589" s="67"/>
      <c r="E589" s="67"/>
      <c r="F589" s="67"/>
      <c r="G589" s="67"/>
    </row>
    <row r="590" spans="1:9" s="69" customFormat="1" ht="34.5" customHeight="1" outlineLevel="1" x14ac:dyDescent="0.25">
      <c r="A590" s="70"/>
      <c r="B590" s="71" t="s">
        <v>408</v>
      </c>
      <c r="C590" s="956" t="s">
        <v>491</v>
      </c>
      <c r="D590" s="73" t="s">
        <v>0</v>
      </c>
      <c r="E590" s="74">
        <v>1</v>
      </c>
      <c r="F590" s="75">
        <v>21046.92</v>
      </c>
      <c r="G590" s="75">
        <f>E590*F590</f>
        <v>21046.92</v>
      </c>
      <c r="H590" s="69">
        <v>1</v>
      </c>
      <c r="I590" s="69" t="s">
        <v>0</v>
      </c>
    </row>
    <row r="591" spans="1:9" s="89" customFormat="1" ht="49.5" customHeight="1" outlineLevel="1" x14ac:dyDescent="0.2">
      <c r="A591" s="84"/>
      <c r="B591" s="85" t="s">
        <v>405</v>
      </c>
      <c r="C591" s="84" t="s">
        <v>492</v>
      </c>
      <c r="D591" s="86"/>
      <c r="E591" s="86"/>
      <c r="F591" s="87"/>
      <c r="G591" s="88">
        <v>0.84</v>
      </c>
    </row>
    <row r="592" spans="1:9" s="89" customFormat="1" ht="20.25" customHeight="1" outlineLevel="1" x14ac:dyDescent="0.2">
      <c r="A592" s="84"/>
      <c r="B592" s="85" t="s">
        <v>409</v>
      </c>
      <c r="C592" s="84" t="s">
        <v>493</v>
      </c>
      <c r="D592" s="86"/>
      <c r="E592" s="86"/>
      <c r="F592" s="87"/>
      <c r="G592" s="88">
        <v>1</v>
      </c>
    </row>
    <row r="593" spans="1:8" s="89" customFormat="1" ht="15.75" outlineLevel="1" x14ac:dyDescent="0.2">
      <c r="A593" s="84"/>
      <c r="B593" s="264" t="s">
        <v>578</v>
      </c>
      <c r="D593" s="86"/>
      <c r="E593" s="86"/>
      <c r="F593" s="87"/>
      <c r="G593" s="265">
        <f>SUM(G590*G591*G592)</f>
        <v>17679.412799999998</v>
      </c>
    </row>
    <row r="594" spans="1:8" s="69" customFormat="1" ht="23.25" customHeight="1" outlineLevel="1" x14ac:dyDescent="0.25">
      <c r="A594" s="66" t="s">
        <v>579</v>
      </c>
      <c r="B594" s="67" t="s">
        <v>205</v>
      </c>
      <c r="C594" s="68"/>
      <c r="D594" s="67"/>
      <c r="E594" s="67"/>
      <c r="F594" s="67"/>
      <c r="G594" s="67"/>
    </row>
    <row r="595" spans="1:8" s="69" customFormat="1" ht="33.75" customHeight="1" outlineLevel="1" x14ac:dyDescent="0.25">
      <c r="A595" s="70"/>
      <c r="B595" s="71" t="s">
        <v>536</v>
      </c>
      <c r="C595" s="956" t="s">
        <v>500</v>
      </c>
      <c r="D595" s="73" t="s">
        <v>517</v>
      </c>
      <c r="E595" s="74">
        <v>60</v>
      </c>
      <c r="F595" s="75">
        <v>51.66</v>
      </c>
      <c r="G595" s="75">
        <f>E595*F595</f>
        <v>3099.6</v>
      </c>
      <c r="H595" s="69" t="s">
        <v>307</v>
      </c>
    </row>
    <row r="596" spans="1:8" s="89" customFormat="1" ht="51" outlineLevel="1" x14ac:dyDescent="0.2">
      <c r="A596" s="84"/>
      <c r="B596" s="85" t="s">
        <v>405</v>
      </c>
      <c r="C596" s="84" t="s">
        <v>501</v>
      </c>
      <c r="D596" s="86"/>
      <c r="E596" s="86"/>
      <c r="F596" s="87"/>
      <c r="G596" s="88">
        <v>0.82</v>
      </c>
    </row>
    <row r="597" spans="1:8" s="89" customFormat="1" ht="49.5" customHeight="1" outlineLevel="1" x14ac:dyDescent="0.2">
      <c r="A597" s="84"/>
      <c r="B597" s="85" t="s">
        <v>478</v>
      </c>
      <c r="C597" s="84" t="s">
        <v>502</v>
      </c>
      <c r="D597" s="86"/>
      <c r="E597" s="86"/>
      <c r="F597" s="87"/>
      <c r="G597" s="88">
        <v>0.99</v>
      </c>
    </row>
    <row r="598" spans="1:8" s="89" customFormat="1" ht="12.75" outlineLevel="1" x14ac:dyDescent="0.2">
      <c r="A598" s="84"/>
      <c r="B598" s="85" t="s">
        <v>409</v>
      </c>
      <c r="C598" s="84" t="s">
        <v>582</v>
      </c>
      <c r="D598" s="86"/>
      <c r="E598" s="86"/>
      <c r="F598" s="87"/>
      <c r="G598" s="88">
        <v>1</v>
      </c>
    </row>
    <row r="599" spans="1:8" s="69" customFormat="1" ht="22.5" customHeight="1" outlineLevel="1" x14ac:dyDescent="0.25">
      <c r="A599" s="70"/>
      <c r="B599" s="264" t="s">
        <v>583</v>
      </c>
      <c r="C599" s="81"/>
      <c r="D599" s="70"/>
      <c r="E599" s="82"/>
      <c r="F599" s="83"/>
      <c r="G599" s="265">
        <f>G595*G596*G597*G598</f>
        <v>2516.2552799999994</v>
      </c>
    </row>
    <row r="600" spans="1:8" s="69" customFormat="1" ht="23.25" customHeight="1" outlineLevel="1" x14ac:dyDescent="0.25">
      <c r="A600" s="66" t="s">
        <v>584</v>
      </c>
      <c r="B600" s="67" t="s">
        <v>512</v>
      </c>
      <c r="C600" s="68"/>
      <c r="D600" s="67"/>
      <c r="E600" s="67"/>
      <c r="F600" s="67"/>
      <c r="G600" s="67"/>
    </row>
    <row r="601" spans="1:8" s="69" customFormat="1" ht="39.75" customHeight="1" outlineLevel="1" x14ac:dyDescent="0.25">
      <c r="A601" s="70"/>
      <c r="B601" s="71" t="s">
        <v>513</v>
      </c>
      <c r="C601" s="956" t="s">
        <v>500</v>
      </c>
      <c r="D601" s="73" t="s">
        <v>514</v>
      </c>
      <c r="E601" s="74"/>
      <c r="F601" s="75">
        <v>491.02</v>
      </c>
      <c r="G601" s="75">
        <f>E601*F601</f>
        <v>0</v>
      </c>
      <c r="H601" s="69" t="s">
        <v>308</v>
      </c>
    </row>
    <row r="602" spans="1:8" s="89" customFormat="1" ht="51" outlineLevel="1" x14ac:dyDescent="0.2">
      <c r="A602" s="84"/>
      <c r="B602" s="85" t="s">
        <v>405</v>
      </c>
      <c r="C602" s="84" t="s">
        <v>501</v>
      </c>
      <c r="D602" s="86"/>
      <c r="E602" s="86"/>
      <c r="F602" s="87"/>
      <c r="G602" s="88">
        <v>0.82</v>
      </c>
    </row>
    <row r="603" spans="1:8" s="89" customFormat="1" ht="49.5" customHeight="1" outlineLevel="1" x14ac:dyDescent="0.2">
      <c r="A603" s="84"/>
      <c r="B603" s="85" t="s">
        <v>478</v>
      </c>
      <c r="C603" s="84" t="s">
        <v>502</v>
      </c>
      <c r="D603" s="86"/>
      <c r="E603" s="86"/>
      <c r="F603" s="87"/>
      <c r="G603" s="88">
        <v>0.99</v>
      </c>
    </row>
    <row r="604" spans="1:8" s="89" customFormat="1" ht="12.75" outlineLevel="1" x14ac:dyDescent="0.2">
      <c r="A604" s="84"/>
      <c r="B604" s="85" t="s">
        <v>409</v>
      </c>
      <c r="C604" s="84" t="s">
        <v>503</v>
      </c>
      <c r="D604" s="86"/>
      <c r="E604" s="86"/>
      <c r="F604" s="87"/>
      <c r="G604" s="88">
        <v>1</v>
      </c>
    </row>
    <row r="605" spans="1:8" s="69" customFormat="1" ht="22.5" customHeight="1" outlineLevel="1" x14ac:dyDescent="0.25">
      <c r="A605" s="70"/>
      <c r="B605" s="264" t="s">
        <v>585</v>
      </c>
      <c r="C605" s="81"/>
      <c r="D605" s="70"/>
      <c r="E605" s="82"/>
      <c r="F605" s="83"/>
      <c r="G605" s="265">
        <f>G601*G602*G603*G604</f>
        <v>0</v>
      </c>
    </row>
    <row r="606" spans="1:8" s="69" customFormat="1" ht="23.25" customHeight="1" outlineLevel="1" x14ac:dyDescent="0.25">
      <c r="A606" s="66" t="s">
        <v>586</v>
      </c>
      <c r="B606" s="67" t="s">
        <v>652</v>
      </c>
      <c r="C606" s="68"/>
      <c r="D606" s="67"/>
      <c r="E606" s="67"/>
      <c r="F606" s="67"/>
      <c r="G606" s="67"/>
    </row>
    <row r="607" spans="1:8" s="69" customFormat="1" ht="47.25" customHeight="1" outlineLevel="1" x14ac:dyDescent="0.25">
      <c r="A607" s="70"/>
      <c r="B607" s="71" t="s">
        <v>653</v>
      </c>
      <c r="C607" s="956" t="s">
        <v>654</v>
      </c>
      <c r="D607" s="73" t="s">
        <v>487</v>
      </c>
      <c r="E607" s="74">
        <v>10</v>
      </c>
      <c r="F607" s="75">
        <v>585.55999999999995</v>
      </c>
      <c r="G607" s="75">
        <f>E607*F607</f>
        <v>5855.5999999999995</v>
      </c>
    </row>
    <row r="608" spans="1:8" s="89" customFormat="1" ht="51" outlineLevel="1" x14ac:dyDescent="0.2">
      <c r="A608" s="84"/>
      <c r="B608" s="85" t="s">
        <v>405</v>
      </c>
      <c r="C608" s="84" t="s">
        <v>509</v>
      </c>
      <c r="D608" s="86"/>
      <c r="E608" s="86"/>
      <c r="F608" s="87"/>
      <c r="G608" s="88">
        <v>0.92</v>
      </c>
    </row>
    <row r="609" spans="1:17" s="89" customFormat="1" ht="49.5" customHeight="1" outlineLevel="1" x14ac:dyDescent="0.2">
      <c r="A609" s="84"/>
      <c r="B609" s="85" t="s">
        <v>489</v>
      </c>
      <c r="C609" s="84" t="s">
        <v>508</v>
      </c>
      <c r="D609" s="86"/>
      <c r="E609" s="86"/>
      <c r="F609" s="87"/>
      <c r="G609" s="88">
        <v>1.08</v>
      </c>
      <c r="H609" s="1222" t="s">
        <v>507</v>
      </c>
      <c r="I609" s="1223"/>
      <c r="J609" s="1223"/>
      <c r="K609" s="1223"/>
      <c r="L609" s="1223"/>
      <c r="M609" s="1223"/>
      <c r="N609" s="1223"/>
      <c r="O609" s="1223"/>
      <c r="P609" s="1223"/>
      <c r="Q609" s="1223"/>
    </row>
    <row r="610" spans="1:17" s="89" customFormat="1" ht="49.5" customHeight="1" outlineLevel="1" x14ac:dyDescent="0.2">
      <c r="A610" s="84"/>
      <c r="B610" s="85" t="s">
        <v>488</v>
      </c>
      <c r="C610" s="84" t="s">
        <v>510</v>
      </c>
      <c r="D610" s="86"/>
      <c r="E610" s="86"/>
      <c r="F610" s="87"/>
      <c r="G610" s="88">
        <v>0.98</v>
      </c>
    </row>
    <row r="611" spans="1:17" s="89" customFormat="1" ht="12.75" outlineLevel="1" x14ac:dyDescent="0.2">
      <c r="A611" s="84"/>
      <c r="B611" s="85" t="s">
        <v>409</v>
      </c>
      <c r="C611" s="84" t="s">
        <v>511</v>
      </c>
      <c r="D611" s="86"/>
      <c r="E611" s="86"/>
      <c r="F611" s="87"/>
      <c r="G611" s="88">
        <v>1</v>
      </c>
    </row>
    <row r="612" spans="1:17" s="69" customFormat="1" ht="22.5" customHeight="1" outlineLevel="1" x14ac:dyDescent="0.25">
      <c r="A612" s="70"/>
      <c r="B612" s="264" t="s">
        <v>587</v>
      </c>
      <c r="C612" s="81"/>
      <c r="D612" s="70"/>
      <c r="E612" s="82"/>
      <c r="F612" s="83"/>
      <c r="G612" s="265">
        <f>G607*G608*G609*G610*G611</f>
        <v>5701.7616767999998</v>
      </c>
    </row>
    <row r="613" spans="1:17" s="69" customFormat="1" ht="23.25" customHeight="1" outlineLevel="1" x14ac:dyDescent="0.25">
      <c r="A613" s="66" t="s">
        <v>657</v>
      </c>
      <c r="B613" s="67" t="s">
        <v>486</v>
      </c>
      <c r="C613" s="68"/>
      <c r="D613" s="67"/>
      <c r="E613" s="67"/>
      <c r="F613" s="67"/>
      <c r="G613" s="67"/>
    </row>
    <row r="614" spans="1:17" s="69" customFormat="1" ht="47.25" customHeight="1" outlineLevel="1" x14ac:dyDescent="0.25">
      <c r="A614" s="70"/>
      <c r="B614" s="71" t="s">
        <v>656</v>
      </c>
      <c r="C614" s="956" t="s">
        <v>655</v>
      </c>
      <c r="D614" s="73" t="s">
        <v>487</v>
      </c>
      <c r="E614" s="74">
        <v>10</v>
      </c>
      <c r="F614" s="75">
        <v>240.12</v>
      </c>
      <c r="G614" s="75">
        <f>E614*F614</f>
        <v>2401.1999999999998</v>
      </c>
    </row>
    <row r="615" spans="1:17" s="89" customFormat="1" ht="51" outlineLevel="1" x14ac:dyDescent="0.2">
      <c r="A615" s="84"/>
      <c r="B615" s="85" t="s">
        <v>405</v>
      </c>
      <c r="C615" s="84" t="s">
        <v>509</v>
      </c>
      <c r="D615" s="86"/>
      <c r="E615" s="86"/>
      <c r="F615" s="87"/>
      <c r="G615" s="88">
        <v>0.92</v>
      </c>
    </row>
    <row r="616" spans="1:17" s="89" customFormat="1" ht="49.5" customHeight="1" outlineLevel="1" x14ac:dyDescent="0.2">
      <c r="A616" s="84"/>
      <c r="B616" s="85" t="s">
        <v>489</v>
      </c>
      <c r="C616" s="84" t="s">
        <v>508</v>
      </c>
      <c r="D616" s="86"/>
      <c r="E616" s="86"/>
      <c r="F616" s="87"/>
      <c r="G616" s="88">
        <v>1.08</v>
      </c>
      <c r="H616" s="1222" t="s">
        <v>507</v>
      </c>
      <c r="I616" s="1223"/>
      <c r="J616" s="1223"/>
      <c r="K616" s="1223"/>
      <c r="L616" s="1223"/>
      <c r="M616" s="1223"/>
      <c r="N616" s="1223"/>
      <c r="O616" s="1223"/>
      <c r="P616" s="1223"/>
      <c r="Q616" s="1223"/>
    </row>
    <row r="617" spans="1:17" s="89" customFormat="1" ht="49.5" customHeight="1" outlineLevel="1" x14ac:dyDescent="0.2">
      <c r="A617" s="84"/>
      <c r="B617" s="85" t="s">
        <v>488</v>
      </c>
      <c r="C617" s="84" t="s">
        <v>510</v>
      </c>
      <c r="D617" s="86"/>
      <c r="E617" s="86"/>
      <c r="F617" s="87"/>
      <c r="G617" s="88">
        <v>0.98</v>
      </c>
    </row>
    <row r="618" spans="1:17" s="89" customFormat="1" ht="12.75" outlineLevel="1" x14ac:dyDescent="0.2">
      <c r="A618" s="84"/>
      <c r="B618" s="85" t="s">
        <v>409</v>
      </c>
      <c r="C618" s="84" t="s">
        <v>511</v>
      </c>
      <c r="D618" s="86"/>
      <c r="E618" s="86"/>
      <c r="F618" s="87"/>
      <c r="G618" s="88">
        <v>1</v>
      </c>
    </row>
    <row r="619" spans="1:17" s="69" customFormat="1" ht="22.5" customHeight="1" outlineLevel="1" x14ac:dyDescent="0.25">
      <c r="A619" s="70"/>
      <c r="B619" s="264" t="s">
        <v>658</v>
      </c>
      <c r="C619" s="81"/>
      <c r="D619" s="70"/>
      <c r="E619" s="82"/>
      <c r="F619" s="83"/>
      <c r="G619" s="265">
        <f>G614*G615*G616*G617*G618</f>
        <v>2338.1156735999998</v>
      </c>
    </row>
    <row r="620" spans="1:17" s="69" customFormat="1" ht="23.25" customHeight="1" outlineLevel="1" x14ac:dyDescent="0.25">
      <c r="A620" s="66" t="s">
        <v>1300</v>
      </c>
      <c r="B620" s="67" t="s">
        <v>603</v>
      </c>
      <c r="C620" s="68"/>
      <c r="D620" s="67"/>
      <c r="E620" s="67"/>
      <c r="F620" s="67"/>
      <c r="G620" s="67"/>
      <c r="M620" s="299"/>
    </row>
    <row r="621" spans="1:17" s="69" customFormat="1" ht="45" customHeight="1" outlineLevel="1" x14ac:dyDescent="0.25">
      <c r="A621" s="70"/>
      <c r="B621" s="71" t="s">
        <v>601</v>
      </c>
      <c r="C621" s="956" t="s">
        <v>602</v>
      </c>
      <c r="D621" s="73" t="s">
        <v>600</v>
      </c>
      <c r="E621" s="74">
        <v>2.5</v>
      </c>
      <c r="F621" s="75">
        <v>22732.5</v>
      </c>
      <c r="G621" s="75">
        <f>E621*F621</f>
        <v>56831.25</v>
      </c>
    </row>
    <row r="622" spans="1:17" s="89" customFormat="1" ht="51" outlineLevel="1" x14ac:dyDescent="0.2">
      <c r="A622" s="84"/>
      <c r="B622" s="85" t="s">
        <v>405</v>
      </c>
      <c r="C622" s="84" t="s">
        <v>509</v>
      </c>
      <c r="D622" s="86"/>
      <c r="E622" s="86"/>
      <c r="F622" s="87"/>
      <c r="G622" s="88">
        <v>0.92</v>
      </c>
      <c r="M622" s="300"/>
    </row>
    <row r="623" spans="1:17" s="89" customFormat="1" ht="49.5" customHeight="1" outlineLevel="1" x14ac:dyDescent="0.2">
      <c r="A623" s="84"/>
      <c r="B623" s="85" t="s">
        <v>478</v>
      </c>
      <c r="C623" s="84" t="s">
        <v>604</v>
      </c>
      <c r="D623" s="86"/>
      <c r="E623" s="86"/>
      <c r="F623" s="87"/>
      <c r="G623" s="88">
        <v>0.98</v>
      </c>
    </row>
    <row r="624" spans="1:17" s="89" customFormat="1" ht="12.75" outlineLevel="1" x14ac:dyDescent="0.2">
      <c r="A624" s="84"/>
      <c r="B624" s="85" t="s">
        <v>409</v>
      </c>
      <c r="C624" s="84" t="s">
        <v>605</v>
      </c>
      <c r="D624" s="86"/>
      <c r="E624" s="86"/>
      <c r="F624" s="87"/>
      <c r="G624" s="88">
        <v>1</v>
      </c>
    </row>
    <row r="625" spans="1:9" s="69" customFormat="1" ht="22.5" customHeight="1" outlineLevel="1" x14ac:dyDescent="0.25">
      <c r="A625" s="70"/>
      <c r="B625" s="264" t="s">
        <v>1302</v>
      </c>
      <c r="C625" s="81"/>
      <c r="D625" s="70"/>
      <c r="E625" s="82"/>
      <c r="F625" s="83"/>
      <c r="G625" s="265">
        <f>G621*G622*G623*G624</f>
        <v>51239.055</v>
      </c>
    </row>
    <row r="626" spans="1:9" s="69" customFormat="1" ht="23.25" customHeight="1" outlineLevel="1" x14ac:dyDescent="0.25">
      <c r="A626" s="66" t="s">
        <v>1303</v>
      </c>
      <c r="B626" s="67" t="s">
        <v>706</v>
      </c>
      <c r="C626" s="331"/>
      <c r="D626" s="67"/>
      <c r="E626" s="67"/>
      <c r="F626" s="67"/>
      <c r="G626" s="67"/>
    </row>
    <row r="627" spans="1:9" s="69" customFormat="1" ht="61.5" customHeight="1" outlineLevel="1" x14ac:dyDescent="0.25">
      <c r="A627" s="70"/>
      <c r="B627" s="71" t="s">
        <v>707</v>
      </c>
      <c r="C627" s="331" t="s">
        <v>709</v>
      </c>
      <c r="D627" s="73" t="s">
        <v>708</v>
      </c>
      <c r="E627" s="74">
        <v>10</v>
      </c>
      <c r="F627" s="75">
        <v>232.33</v>
      </c>
      <c r="G627" s="75">
        <f>E627*F627</f>
        <v>2323.3000000000002</v>
      </c>
      <c r="H627" s="69">
        <f>'Подэтап 6.4  (ПД)'!D20</f>
        <v>1000</v>
      </c>
    </row>
    <row r="628" spans="1:9" s="69" customFormat="1" ht="61.5" customHeight="1" outlineLevel="1" x14ac:dyDescent="0.25">
      <c r="A628" s="70"/>
      <c r="B628" s="71" t="s">
        <v>756</v>
      </c>
      <c r="C628" s="84" t="s">
        <v>757</v>
      </c>
      <c r="D628" s="73" t="s">
        <v>758</v>
      </c>
      <c r="E628" s="954">
        <v>29</v>
      </c>
      <c r="F628" s="75">
        <v>61.68</v>
      </c>
      <c r="G628" s="75">
        <f>E628*F628</f>
        <v>1788.72</v>
      </c>
      <c r="H628" s="519" t="s">
        <v>1307</v>
      </c>
    </row>
    <row r="629" spans="1:9" s="89" customFormat="1" ht="51" outlineLevel="1" x14ac:dyDescent="0.2">
      <c r="A629" s="84"/>
      <c r="B629" s="85" t="s">
        <v>405</v>
      </c>
      <c r="C629" s="84" t="s">
        <v>710</v>
      </c>
      <c r="D629" s="86"/>
      <c r="E629" s="86"/>
      <c r="F629" s="87"/>
      <c r="G629" s="88">
        <v>0.84</v>
      </c>
    </row>
    <row r="630" spans="1:9" s="89" customFormat="1" ht="49.5" customHeight="1" outlineLevel="1" x14ac:dyDescent="0.2">
      <c r="A630" s="84"/>
      <c r="B630" s="85" t="s">
        <v>488</v>
      </c>
      <c r="C630" s="84" t="s">
        <v>711</v>
      </c>
      <c r="D630" s="86"/>
      <c r="E630" s="86"/>
      <c r="F630" s="87"/>
      <c r="G630" s="88">
        <v>0.99</v>
      </c>
    </row>
    <row r="631" spans="1:9" s="89" customFormat="1" ht="12.75" outlineLevel="1" x14ac:dyDescent="0.2">
      <c r="A631" s="84"/>
      <c r="B631" s="85" t="s">
        <v>409</v>
      </c>
      <c r="C631" s="84" t="s">
        <v>712</v>
      </c>
      <c r="D631" s="86"/>
      <c r="E631" s="86"/>
      <c r="F631" s="87"/>
      <c r="G631" s="88">
        <v>1</v>
      </c>
    </row>
    <row r="632" spans="1:9" s="69" customFormat="1" ht="22.5" customHeight="1" outlineLevel="1" x14ac:dyDescent="0.25">
      <c r="A632" s="70"/>
      <c r="B632" s="264" t="s">
        <v>1304</v>
      </c>
      <c r="C632" s="332"/>
      <c r="D632" s="70"/>
      <c r="E632" s="82"/>
      <c r="F632" s="83"/>
      <c r="G632" s="265">
        <f>SUM(G627:G628)*G629*G630*G631</f>
        <v>3419.555832</v>
      </c>
    </row>
    <row r="633" spans="1:9" s="69" customFormat="1" ht="40.5" customHeight="1" outlineLevel="1" x14ac:dyDescent="0.25">
      <c r="A633" s="66" t="s">
        <v>1305</v>
      </c>
      <c r="B633" s="67" t="s">
        <v>1450</v>
      </c>
      <c r="C633" s="331"/>
      <c r="D633" s="67"/>
      <c r="E633" s="67"/>
      <c r="F633" s="67"/>
      <c r="G633" s="67"/>
    </row>
    <row r="634" spans="1:9" s="69" customFormat="1" ht="70.5" customHeight="1" outlineLevel="1" x14ac:dyDescent="0.25">
      <c r="A634" s="70"/>
      <c r="B634" s="71" t="s">
        <v>759</v>
      </c>
      <c r="C634" s="331" t="s">
        <v>760</v>
      </c>
      <c r="D634" s="73" t="s">
        <v>600</v>
      </c>
      <c r="E634" s="74">
        <v>3.4</v>
      </c>
      <c r="F634" s="75">
        <v>976.17</v>
      </c>
      <c r="G634" s="75">
        <f>E634*F634</f>
        <v>3318.9779999999996</v>
      </c>
      <c r="H634" s="69">
        <f>'Подэтап 6.4  (ПД)'!D21+'Подэтап 6.4  (ПД)'!D22+'Подэтап 6.4  (ПД)'!D23</f>
        <v>3400</v>
      </c>
    </row>
    <row r="635" spans="1:9" s="89" customFormat="1" ht="51" outlineLevel="1" x14ac:dyDescent="0.2">
      <c r="A635" s="84"/>
      <c r="B635" s="85" t="s">
        <v>405</v>
      </c>
      <c r="C635" s="84" t="s">
        <v>710</v>
      </c>
      <c r="D635" s="86"/>
      <c r="E635" s="86"/>
      <c r="F635" s="87"/>
      <c r="G635" s="88">
        <v>0.84</v>
      </c>
    </row>
    <row r="636" spans="1:9" s="89" customFormat="1" ht="49.5" customHeight="1" outlineLevel="1" x14ac:dyDescent="0.2">
      <c r="A636" s="84"/>
      <c r="B636" s="85" t="s">
        <v>488</v>
      </c>
      <c r="C636" s="84" t="s">
        <v>711</v>
      </c>
      <c r="D636" s="86"/>
      <c r="E636" s="86"/>
      <c r="F636" s="87"/>
      <c r="G636" s="88">
        <v>0.99</v>
      </c>
    </row>
    <row r="637" spans="1:9" s="89" customFormat="1" ht="12.75" outlineLevel="1" x14ac:dyDescent="0.2">
      <c r="A637" s="84"/>
      <c r="B637" s="85" t="s">
        <v>409</v>
      </c>
      <c r="C637" s="84" t="s">
        <v>712</v>
      </c>
      <c r="D637" s="86"/>
      <c r="E637" s="86"/>
      <c r="F637" s="87"/>
      <c r="G637" s="88">
        <v>1</v>
      </c>
    </row>
    <row r="638" spans="1:9" s="69" customFormat="1" ht="22.5" customHeight="1" outlineLevel="1" x14ac:dyDescent="0.25">
      <c r="A638" s="70"/>
      <c r="B638" s="264" t="s">
        <v>1306</v>
      </c>
      <c r="C638" s="332"/>
      <c r="D638" s="70"/>
      <c r="E638" s="82"/>
      <c r="F638" s="83"/>
      <c r="G638" s="265">
        <f>SUM(G634:G634)*G635*G636*G637</f>
        <v>2760.0621047999994</v>
      </c>
    </row>
    <row r="639" spans="1:9" s="69" customFormat="1" ht="23.25" customHeight="1" outlineLevel="1" x14ac:dyDescent="0.25">
      <c r="A639" s="66" t="s">
        <v>1451</v>
      </c>
      <c r="B639" s="67" t="s">
        <v>719</v>
      </c>
      <c r="C639" s="331"/>
      <c r="D639" s="67"/>
      <c r="E639" s="67"/>
      <c r="F639" s="67"/>
      <c r="G639" s="67"/>
    </row>
    <row r="640" spans="1:9" s="69" customFormat="1" ht="46.5" customHeight="1" outlineLevel="1" x14ac:dyDescent="0.25">
      <c r="A640" s="70"/>
      <c r="B640" s="71" t="s">
        <v>713</v>
      </c>
      <c r="C640" s="331" t="s">
        <v>715</v>
      </c>
      <c r="D640" s="73" t="s">
        <v>714</v>
      </c>
      <c r="E640" s="74">
        <v>2500</v>
      </c>
      <c r="F640" s="75">
        <v>23.16</v>
      </c>
      <c r="G640" s="75">
        <f>E640*F640</f>
        <v>57900</v>
      </c>
      <c r="H640" s="69">
        <v>2500</v>
      </c>
      <c r="I640" s="69" t="s">
        <v>1298</v>
      </c>
    </row>
    <row r="641" spans="1:13" s="89" customFormat="1" ht="51" outlineLevel="1" x14ac:dyDescent="0.2">
      <c r="A641" s="84"/>
      <c r="B641" s="85" t="s">
        <v>405</v>
      </c>
      <c r="C641" s="84" t="s">
        <v>716</v>
      </c>
      <c r="D641" s="86"/>
      <c r="E641" s="86"/>
      <c r="F641" s="87"/>
      <c r="G641" s="88">
        <v>0.83</v>
      </c>
    </row>
    <row r="642" spans="1:13" s="89" customFormat="1" ht="49.5" customHeight="1" outlineLevel="1" x14ac:dyDescent="0.2">
      <c r="A642" s="84"/>
      <c r="B642" s="85" t="s">
        <v>488</v>
      </c>
      <c r="C642" s="84" t="s">
        <v>717</v>
      </c>
      <c r="D642" s="86"/>
      <c r="E642" s="86"/>
      <c r="F642" s="87"/>
      <c r="G642" s="88">
        <v>0.99</v>
      </c>
    </row>
    <row r="643" spans="1:13" s="89" customFormat="1" ht="25.5" outlineLevel="1" x14ac:dyDescent="0.2">
      <c r="A643" s="84"/>
      <c r="B643" s="85" t="s">
        <v>409</v>
      </c>
      <c r="C643" s="84" t="s">
        <v>718</v>
      </c>
      <c r="D643" s="86"/>
      <c r="E643" s="86"/>
      <c r="F643" s="87"/>
      <c r="G643" s="88">
        <v>1.03</v>
      </c>
    </row>
    <row r="644" spans="1:13" s="69" customFormat="1" ht="22.5" customHeight="1" outlineLevel="1" x14ac:dyDescent="0.25">
      <c r="A644" s="70"/>
      <c r="B644" s="264" t="s">
        <v>1452</v>
      </c>
      <c r="C644" s="332"/>
      <c r="D644" s="70"/>
      <c r="E644" s="82"/>
      <c r="F644" s="83"/>
      <c r="G644" s="265">
        <f>G640*G641*G642*G643</f>
        <v>49003.722900000001</v>
      </c>
    </row>
    <row r="645" spans="1:13" s="69" customFormat="1" ht="22.5" customHeight="1" x14ac:dyDescent="0.25">
      <c r="A645" s="70"/>
      <c r="B645" s="264" t="s">
        <v>1453</v>
      </c>
      <c r="C645" s="81"/>
      <c r="D645" s="70"/>
      <c r="E645" s="82"/>
      <c r="F645" s="83"/>
      <c r="G645" s="265">
        <f>G539+G545+G551+G557+G563+G569+G576+G582+G588+G593+G599+G605+G612+G619+G625+G638+G632+G644</f>
        <v>378974.95939919993</v>
      </c>
      <c r="H645" s="299"/>
      <c r="I645" s="102"/>
    </row>
    <row r="646" spans="1:13" s="43" customFormat="1" ht="18" customHeight="1" x14ac:dyDescent="0.25">
      <c r="A646" s="1217" t="s">
        <v>196</v>
      </c>
      <c r="B646" s="1217"/>
      <c r="C646" s="1217"/>
      <c r="D646" s="1217"/>
      <c r="E646" s="1217"/>
      <c r="F646" s="1217"/>
      <c r="G646" s="1217"/>
      <c r="H646" s="52"/>
      <c r="I646" s="60"/>
      <c r="J646" s="60"/>
      <c r="K646" s="60"/>
      <c r="L646" s="61"/>
      <c r="M646" s="61"/>
    </row>
    <row r="647" spans="1:13" s="69" customFormat="1" ht="23.25" customHeight="1" outlineLevel="1" x14ac:dyDescent="0.25">
      <c r="A647" s="66" t="s">
        <v>365</v>
      </c>
      <c r="B647" s="67" t="s">
        <v>472</v>
      </c>
      <c r="C647" s="68"/>
      <c r="D647" s="67"/>
      <c r="E647" s="67"/>
      <c r="F647" s="67"/>
      <c r="G647" s="67"/>
    </row>
    <row r="648" spans="1:13" s="69" customFormat="1" ht="47.25" customHeight="1" outlineLevel="1" x14ac:dyDescent="0.25">
      <c r="A648" s="70"/>
      <c r="B648" s="71" t="s">
        <v>473</v>
      </c>
      <c r="C648" s="956" t="s">
        <v>495</v>
      </c>
      <c r="D648" s="73" t="s">
        <v>474</v>
      </c>
      <c r="E648" s="74">
        <v>270</v>
      </c>
      <c r="F648" s="75">
        <v>20.29</v>
      </c>
      <c r="G648" s="75">
        <f>E648*F648</f>
        <v>5478.3</v>
      </c>
      <c r="H648" s="69">
        <v>2.7</v>
      </c>
      <c r="I648" s="69" t="s">
        <v>0</v>
      </c>
    </row>
    <row r="649" spans="1:13" s="89" customFormat="1" ht="51" outlineLevel="1" x14ac:dyDescent="0.2">
      <c r="A649" s="84"/>
      <c r="B649" s="85" t="s">
        <v>405</v>
      </c>
      <c r="C649" s="84" t="s">
        <v>496</v>
      </c>
      <c r="D649" s="86"/>
      <c r="E649" s="86"/>
      <c r="F649" s="87"/>
      <c r="G649" s="88">
        <v>0.84</v>
      </c>
    </row>
    <row r="650" spans="1:13" s="89" customFormat="1" ht="49.5" customHeight="1" outlineLevel="1" x14ac:dyDescent="0.2">
      <c r="A650" s="84"/>
      <c r="B650" s="85" t="s">
        <v>478</v>
      </c>
      <c r="C650" s="84" t="s">
        <v>497</v>
      </c>
      <c r="D650" s="86"/>
      <c r="E650" s="86"/>
      <c r="F650" s="87"/>
      <c r="G650" s="88">
        <v>0.99</v>
      </c>
    </row>
    <row r="651" spans="1:13" s="89" customFormat="1" ht="12.75" outlineLevel="1" x14ac:dyDescent="0.2">
      <c r="A651" s="84"/>
      <c r="B651" s="85" t="s">
        <v>409</v>
      </c>
      <c r="C651" s="84" t="s">
        <v>498</v>
      </c>
      <c r="D651" s="86"/>
      <c r="E651" s="86"/>
      <c r="F651" s="87"/>
      <c r="G651" s="88">
        <v>1</v>
      </c>
    </row>
    <row r="652" spans="1:13" s="69" customFormat="1" ht="22.5" customHeight="1" outlineLevel="1" x14ac:dyDescent="0.25">
      <c r="A652" s="70"/>
      <c r="B652" s="264" t="s">
        <v>480</v>
      </c>
      <c r="C652" s="81"/>
      <c r="D652" s="70"/>
      <c r="E652" s="82"/>
      <c r="F652" s="83"/>
      <c r="G652" s="265">
        <f>G648*G649*G650*G651</f>
        <v>4555.7542800000001</v>
      </c>
    </row>
    <row r="653" spans="1:13" s="69" customFormat="1" ht="23.25" customHeight="1" outlineLevel="1" x14ac:dyDescent="0.25">
      <c r="A653" s="66" t="s">
        <v>479</v>
      </c>
      <c r="B653" s="67" t="s">
        <v>476</v>
      </c>
      <c r="C653" s="68"/>
      <c r="D653" s="67"/>
      <c r="E653" s="67"/>
      <c r="F653" s="67"/>
      <c r="G653" s="67"/>
    </row>
    <row r="654" spans="1:13" s="69" customFormat="1" ht="43.5" customHeight="1" outlineLevel="1" x14ac:dyDescent="0.25">
      <c r="A654" s="70"/>
      <c r="B654" s="71" t="s">
        <v>477</v>
      </c>
      <c r="C654" s="956" t="s">
        <v>499</v>
      </c>
      <c r="D654" s="73" t="s">
        <v>474</v>
      </c>
      <c r="E654" s="74">
        <v>270</v>
      </c>
      <c r="F654" s="75">
        <v>196.55</v>
      </c>
      <c r="G654" s="75">
        <f>E654*F654</f>
        <v>53068.5</v>
      </c>
      <c r="H654" s="69">
        <v>2.7</v>
      </c>
      <c r="I654" s="69" t="s">
        <v>0</v>
      </c>
    </row>
    <row r="655" spans="1:13" s="89" customFormat="1" ht="51" outlineLevel="1" x14ac:dyDescent="0.2">
      <c r="A655" s="84"/>
      <c r="B655" s="85" t="s">
        <v>405</v>
      </c>
      <c r="C655" s="84" t="s">
        <v>496</v>
      </c>
      <c r="D655" s="86"/>
      <c r="E655" s="86"/>
      <c r="F655" s="87"/>
      <c r="G655" s="88">
        <v>0.84</v>
      </c>
    </row>
    <row r="656" spans="1:13" s="89" customFormat="1" ht="49.5" customHeight="1" outlineLevel="1" x14ac:dyDescent="0.2">
      <c r="A656" s="84"/>
      <c r="B656" s="85" t="s">
        <v>478</v>
      </c>
      <c r="C656" s="84" t="s">
        <v>497</v>
      </c>
      <c r="D656" s="86"/>
      <c r="E656" s="86"/>
      <c r="F656" s="87"/>
      <c r="G656" s="88">
        <v>0.99</v>
      </c>
    </row>
    <row r="657" spans="1:9" s="89" customFormat="1" ht="12.75" outlineLevel="1" x14ac:dyDescent="0.2">
      <c r="A657" s="84"/>
      <c r="B657" s="85" t="s">
        <v>409</v>
      </c>
      <c r="C657" s="84" t="s">
        <v>498</v>
      </c>
      <c r="D657" s="86"/>
      <c r="E657" s="86"/>
      <c r="F657" s="87"/>
      <c r="G657" s="88">
        <v>1</v>
      </c>
    </row>
    <row r="658" spans="1:9" s="69" customFormat="1" ht="22.5" customHeight="1" outlineLevel="1" x14ac:dyDescent="0.25">
      <c r="A658" s="70"/>
      <c r="B658" s="264" t="s">
        <v>480</v>
      </c>
      <c r="C658" s="81"/>
      <c r="D658" s="70"/>
      <c r="E658" s="82"/>
      <c r="F658" s="83"/>
      <c r="G658" s="265">
        <f>G654*G655*G656*G657</f>
        <v>44131.764600000002</v>
      </c>
    </row>
    <row r="659" spans="1:9" s="69" customFormat="1" ht="23.25" customHeight="1" outlineLevel="1" x14ac:dyDescent="0.25">
      <c r="A659" s="66" t="s">
        <v>481</v>
      </c>
      <c r="B659" s="67" t="s">
        <v>201</v>
      </c>
      <c r="C659" s="68"/>
      <c r="D659" s="67"/>
      <c r="E659" s="67"/>
      <c r="F659" s="67"/>
      <c r="G659" s="67"/>
    </row>
    <row r="660" spans="1:9" s="69" customFormat="1" ht="43.5" customHeight="1" outlineLevel="1" x14ac:dyDescent="0.25">
      <c r="A660" s="70"/>
      <c r="B660" s="71" t="s">
        <v>519</v>
      </c>
      <c r="C660" s="956" t="s">
        <v>518</v>
      </c>
      <c r="D660" s="73" t="s">
        <v>474</v>
      </c>
      <c r="E660" s="74">
        <v>9</v>
      </c>
      <c r="F660" s="75">
        <v>802.59</v>
      </c>
      <c r="G660" s="75">
        <f>E660*F660</f>
        <v>7223.31</v>
      </c>
      <c r="H660" s="69">
        <f>'Подэтап 7.1 (ПД) '!D5*1</f>
        <v>900</v>
      </c>
      <c r="I660" s="69" t="s">
        <v>183</v>
      </c>
    </row>
    <row r="661" spans="1:9" s="89" customFormat="1" ht="41.25" customHeight="1" outlineLevel="1" x14ac:dyDescent="0.2">
      <c r="A661" s="84"/>
      <c r="B661" s="85" t="s">
        <v>563</v>
      </c>
      <c r="C661" s="84" t="s">
        <v>562</v>
      </c>
      <c r="D661" s="86"/>
      <c r="E661" s="86"/>
      <c r="F661" s="87"/>
      <c r="G661" s="88">
        <v>1.04</v>
      </c>
    </row>
    <row r="662" spans="1:9" s="89" customFormat="1" ht="51" outlineLevel="1" x14ac:dyDescent="0.2">
      <c r="A662" s="84"/>
      <c r="B662" s="85" t="s">
        <v>405</v>
      </c>
      <c r="C662" s="84" t="s">
        <v>496</v>
      </c>
      <c r="D662" s="86"/>
      <c r="E662" s="86"/>
      <c r="F662" s="87"/>
      <c r="G662" s="88">
        <v>0.84</v>
      </c>
    </row>
    <row r="663" spans="1:9" s="89" customFormat="1" ht="49.5" customHeight="1" outlineLevel="1" x14ac:dyDescent="0.2">
      <c r="A663" s="84"/>
      <c r="B663" s="85" t="s">
        <v>478</v>
      </c>
      <c r="C663" s="84" t="s">
        <v>497</v>
      </c>
      <c r="D663" s="86"/>
      <c r="E663" s="86"/>
      <c r="F663" s="87"/>
      <c r="G663" s="88">
        <v>0.99</v>
      </c>
    </row>
    <row r="664" spans="1:9" s="89" customFormat="1" ht="12.75" outlineLevel="1" x14ac:dyDescent="0.2">
      <c r="A664" s="84"/>
      <c r="B664" s="85" t="s">
        <v>409</v>
      </c>
      <c r="C664" s="84" t="s">
        <v>498</v>
      </c>
      <c r="D664" s="86"/>
      <c r="E664" s="86"/>
      <c r="F664" s="87"/>
      <c r="G664" s="88">
        <v>1</v>
      </c>
    </row>
    <row r="665" spans="1:9" s="69" customFormat="1" ht="22.5" customHeight="1" outlineLevel="1" x14ac:dyDescent="0.25">
      <c r="A665" s="70"/>
      <c r="B665" s="264" t="s">
        <v>520</v>
      </c>
      <c r="C665" s="81"/>
      <c r="D665" s="70"/>
      <c r="E665" s="82"/>
      <c r="F665" s="83"/>
      <c r="G665" s="265">
        <f>G660*G661*G662*G663*G664</f>
        <v>6247.1807798400005</v>
      </c>
    </row>
    <row r="666" spans="1:9" s="69" customFormat="1" ht="23.25" customHeight="1" outlineLevel="1" x14ac:dyDescent="0.25">
      <c r="A666" s="66" t="s">
        <v>556</v>
      </c>
      <c r="B666" s="67" t="s">
        <v>554</v>
      </c>
      <c r="C666" s="68"/>
      <c r="D666" s="67"/>
      <c r="E666" s="67"/>
      <c r="F666" s="67"/>
      <c r="G666" s="67"/>
    </row>
    <row r="667" spans="1:9" s="69" customFormat="1" ht="66.75" customHeight="1" outlineLevel="1" x14ac:dyDescent="0.25">
      <c r="A667" s="70"/>
      <c r="B667" s="71" t="s">
        <v>557</v>
      </c>
      <c r="C667" s="956" t="s">
        <v>553</v>
      </c>
      <c r="D667" s="73" t="s">
        <v>555</v>
      </c>
      <c r="E667" s="74"/>
      <c r="F667" s="75">
        <v>301.99</v>
      </c>
      <c r="G667" s="75">
        <f>E667*F667</f>
        <v>0</v>
      </c>
    </row>
    <row r="668" spans="1:9" s="89" customFormat="1" ht="51" outlineLevel="1" x14ac:dyDescent="0.2">
      <c r="A668" s="84"/>
      <c r="B668" s="85" t="s">
        <v>405</v>
      </c>
      <c r="C668" s="84" t="s">
        <v>496</v>
      </c>
      <c r="D668" s="86"/>
      <c r="E668" s="86"/>
      <c r="F668" s="87"/>
      <c r="G668" s="88">
        <v>0.84</v>
      </c>
    </row>
    <row r="669" spans="1:9" s="89" customFormat="1" ht="49.5" customHeight="1" outlineLevel="1" x14ac:dyDescent="0.2">
      <c r="A669" s="84"/>
      <c r="B669" s="85" t="s">
        <v>478</v>
      </c>
      <c r="C669" s="84" t="s">
        <v>497</v>
      </c>
      <c r="D669" s="86"/>
      <c r="E669" s="86"/>
      <c r="F669" s="87"/>
      <c r="G669" s="88">
        <v>0.99</v>
      </c>
    </row>
    <row r="670" spans="1:9" s="89" customFormat="1" ht="12.75" outlineLevel="1" x14ac:dyDescent="0.2">
      <c r="A670" s="84"/>
      <c r="B670" s="85" t="s">
        <v>409</v>
      </c>
      <c r="C670" s="84" t="s">
        <v>498</v>
      </c>
      <c r="D670" s="86"/>
      <c r="E670" s="86"/>
      <c r="F670" s="87"/>
      <c r="G670" s="88">
        <v>1</v>
      </c>
    </row>
    <row r="671" spans="1:9" s="69" customFormat="1" ht="22.5" customHeight="1" outlineLevel="1" x14ac:dyDescent="0.25">
      <c r="A671" s="70"/>
      <c r="B671" s="264" t="s">
        <v>558</v>
      </c>
      <c r="C671" s="81"/>
      <c r="D671" s="70"/>
      <c r="E671" s="82"/>
      <c r="F671" s="83"/>
      <c r="G671" s="265">
        <f>G667*G668*G669*G670</f>
        <v>0</v>
      </c>
    </row>
    <row r="672" spans="1:9" s="69" customFormat="1" ht="23.25" customHeight="1" outlineLevel="1" x14ac:dyDescent="0.25">
      <c r="A672" s="66" t="s">
        <v>483</v>
      </c>
      <c r="B672" s="67" t="s">
        <v>482</v>
      </c>
      <c r="C672" s="68"/>
      <c r="D672" s="67"/>
      <c r="E672" s="67"/>
      <c r="F672" s="67"/>
      <c r="G672" s="67"/>
    </row>
    <row r="673" spans="1:9" s="69" customFormat="1" ht="35.25" customHeight="1" outlineLevel="1" x14ac:dyDescent="0.25">
      <c r="A673" s="70"/>
      <c r="B673" s="71" t="s">
        <v>408</v>
      </c>
      <c r="C673" s="956" t="s">
        <v>491</v>
      </c>
      <c r="D673" s="73" t="s">
        <v>0</v>
      </c>
      <c r="E673" s="74">
        <v>2</v>
      </c>
      <c r="F673" s="75">
        <v>21046.92</v>
      </c>
      <c r="G673" s="75">
        <f>E673*F673</f>
        <v>42093.84</v>
      </c>
      <c r="H673" s="69">
        <v>2</v>
      </c>
      <c r="I673" s="69" t="s">
        <v>0</v>
      </c>
    </row>
    <row r="674" spans="1:9" s="89" customFormat="1" ht="51" outlineLevel="1" x14ac:dyDescent="0.2">
      <c r="A674" s="84"/>
      <c r="B674" s="85" t="s">
        <v>405</v>
      </c>
      <c r="C674" s="84" t="s">
        <v>492</v>
      </c>
      <c r="D674" s="86"/>
      <c r="E674" s="86"/>
      <c r="F674" s="87"/>
      <c r="G674" s="88">
        <v>0.84</v>
      </c>
    </row>
    <row r="675" spans="1:9" s="89" customFormat="1" ht="30" customHeight="1" outlineLevel="1" x14ac:dyDescent="0.2">
      <c r="A675" s="84"/>
      <c r="B675" s="85" t="s">
        <v>409</v>
      </c>
      <c r="C675" s="84" t="s">
        <v>493</v>
      </c>
      <c r="D675" s="86"/>
      <c r="E675" s="86"/>
      <c r="F675" s="87"/>
      <c r="G675" s="88">
        <v>1</v>
      </c>
    </row>
    <row r="676" spans="1:9" s="89" customFormat="1" ht="15.75" outlineLevel="1" x14ac:dyDescent="0.2">
      <c r="A676" s="84"/>
      <c r="B676" s="264" t="s">
        <v>484</v>
      </c>
      <c r="D676" s="86"/>
      <c r="E676" s="86"/>
      <c r="F676" s="87"/>
      <c r="G676" s="265">
        <f>SUM(G673*G674*G675)</f>
        <v>35358.825599999996</v>
      </c>
    </row>
    <row r="677" spans="1:9" s="69" customFormat="1" ht="23.25" customHeight="1" outlineLevel="1" x14ac:dyDescent="0.25">
      <c r="A677" s="66" t="s">
        <v>485</v>
      </c>
      <c r="B677" s="67" t="s">
        <v>205</v>
      </c>
      <c r="C677" s="68"/>
      <c r="D677" s="67"/>
      <c r="E677" s="67"/>
      <c r="F677" s="67"/>
      <c r="G677" s="67"/>
    </row>
    <row r="678" spans="1:9" s="69" customFormat="1" ht="39.75" customHeight="1" outlineLevel="1" x14ac:dyDescent="0.25">
      <c r="A678" s="70"/>
      <c r="B678" s="71" t="s">
        <v>537</v>
      </c>
      <c r="C678" s="956" t="s">
        <v>500</v>
      </c>
      <c r="D678" s="73" t="s">
        <v>517</v>
      </c>
      <c r="E678" s="74">
        <v>100</v>
      </c>
      <c r="F678" s="75">
        <v>51.66</v>
      </c>
      <c r="G678" s="75">
        <f>E678*F678</f>
        <v>5166</v>
      </c>
      <c r="H678" s="69" t="s">
        <v>307</v>
      </c>
    </row>
    <row r="679" spans="1:9" s="89" customFormat="1" ht="51" outlineLevel="1" x14ac:dyDescent="0.2">
      <c r="A679" s="84"/>
      <c r="B679" s="85" t="s">
        <v>405</v>
      </c>
      <c r="C679" s="84" t="s">
        <v>501</v>
      </c>
      <c r="D679" s="86"/>
      <c r="E679" s="86"/>
      <c r="F679" s="87"/>
      <c r="G679" s="88">
        <v>0.82</v>
      </c>
    </row>
    <row r="680" spans="1:9" s="89" customFormat="1" ht="49.5" customHeight="1" outlineLevel="1" x14ac:dyDescent="0.2">
      <c r="A680" s="84"/>
      <c r="B680" s="85" t="s">
        <v>478</v>
      </c>
      <c r="C680" s="84" t="s">
        <v>502</v>
      </c>
      <c r="D680" s="86"/>
      <c r="E680" s="86"/>
      <c r="F680" s="87"/>
      <c r="G680" s="88">
        <v>0.99</v>
      </c>
    </row>
    <row r="681" spans="1:9" s="89" customFormat="1" ht="12.75" outlineLevel="1" x14ac:dyDescent="0.2">
      <c r="A681" s="84"/>
      <c r="B681" s="85" t="s">
        <v>409</v>
      </c>
      <c r="C681" s="84" t="s">
        <v>503</v>
      </c>
      <c r="D681" s="86"/>
      <c r="E681" s="86"/>
      <c r="F681" s="87"/>
      <c r="G681" s="88">
        <v>1</v>
      </c>
    </row>
    <row r="682" spans="1:9" s="69" customFormat="1" ht="22.5" customHeight="1" outlineLevel="1" x14ac:dyDescent="0.25">
      <c r="A682" s="70"/>
      <c r="B682" s="264" t="s">
        <v>490</v>
      </c>
      <c r="C682" s="81"/>
      <c r="D682" s="70"/>
      <c r="E682" s="82"/>
      <c r="F682" s="83"/>
      <c r="G682" s="265">
        <f>G678*G679*G680*G681</f>
        <v>4193.7587999999996</v>
      </c>
    </row>
    <row r="683" spans="1:9" s="69" customFormat="1" ht="23.25" customHeight="1" outlineLevel="1" x14ac:dyDescent="0.25">
      <c r="A683" s="66" t="s">
        <v>521</v>
      </c>
      <c r="B683" s="67" t="s">
        <v>512</v>
      </c>
      <c r="C683" s="68"/>
      <c r="D683" s="67"/>
      <c r="E683" s="67"/>
      <c r="F683" s="67"/>
      <c r="G683" s="67"/>
    </row>
    <row r="684" spans="1:9" s="69" customFormat="1" ht="39.75" customHeight="1" outlineLevel="1" x14ac:dyDescent="0.25">
      <c r="A684" s="70"/>
      <c r="B684" s="71" t="s">
        <v>513</v>
      </c>
      <c r="C684" s="956" t="s">
        <v>500</v>
      </c>
      <c r="D684" s="73" t="s">
        <v>514</v>
      </c>
      <c r="E684" s="74"/>
      <c r="F684" s="75">
        <v>491.02</v>
      </c>
      <c r="G684" s="75">
        <f>E684*F684</f>
        <v>0</v>
      </c>
      <c r="H684" s="69" t="s">
        <v>308</v>
      </c>
    </row>
    <row r="685" spans="1:9" s="89" customFormat="1" ht="51" outlineLevel="1" x14ac:dyDescent="0.2">
      <c r="A685" s="84"/>
      <c r="B685" s="85" t="s">
        <v>405</v>
      </c>
      <c r="C685" s="84" t="s">
        <v>501</v>
      </c>
      <c r="D685" s="86"/>
      <c r="E685" s="86"/>
      <c r="F685" s="87"/>
      <c r="G685" s="88">
        <v>0.82</v>
      </c>
    </row>
    <row r="686" spans="1:9" s="89" customFormat="1" ht="49.5" customHeight="1" outlineLevel="1" x14ac:dyDescent="0.2">
      <c r="A686" s="84"/>
      <c r="B686" s="85" t="s">
        <v>478</v>
      </c>
      <c r="C686" s="84" t="s">
        <v>502</v>
      </c>
      <c r="D686" s="86"/>
      <c r="E686" s="86"/>
      <c r="F686" s="87"/>
      <c r="G686" s="88">
        <v>0.99</v>
      </c>
    </row>
    <row r="687" spans="1:9" s="89" customFormat="1" ht="12.75" outlineLevel="1" x14ac:dyDescent="0.2">
      <c r="A687" s="84"/>
      <c r="B687" s="85" t="s">
        <v>409</v>
      </c>
      <c r="C687" s="84" t="s">
        <v>582</v>
      </c>
      <c r="D687" s="86"/>
      <c r="E687" s="86"/>
      <c r="F687" s="87"/>
      <c r="G687" s="88">
        <v>1</v>
      </c>
    </row>
    <row r="688" spans="1:9" s="69" customFormat="1" ht="22.5" customHeight="1" outlineLevel="1" x14ac:dyDescent="0.25">
      <c r="A688" s="70"/>
      <c r="B688" s="264" t="s">
        <v>522</v>
      </c>
      <c r="C688" s="81"/>
      <c r="D688" s="70"/>
      <c r="E688" s="82"/>
      <c r="F688" s="83"/>
      <c r="G688" s="265">
        <f>G684*G685*G686*G687</f>
        <v>0</v>
      </c>
    </row>
    <row r="689" spans="1:17" s="69" customFormat="1" ht="23.25" customHeight="1" outlineLevel="1" x14ac:dyDescent="0.25">
      <c r="A689" s="66" t="s">
        <v>523</v>
      </c>
      <c r="B689" s="67" t="s">
        <v>652</v>
      </c>
      <c r="C689" s="68"/>
      <c r="D689" s="67"/>
      <c r="E689" s="67"/>
      <c r="F689" s="67"/>
      <c r="G689" s="67"/>
    </row>
    <row r="690" spans="1:17" s="69" customFormat="1" ht="47.25" customHeight="1" outlineLevel="1" x14ac:dyDescent="0.25">
      <c r="A690" s="70"/>
      <c r="B690" s="71" t="s">
        <v>653</v>
      </c>
      <c r="C690" s="956" t="s">
        <v>654</v>
      </c>
      <c r="D690" s="73" t="s">
        <v>487</v>
      </c>
      <c r="E690" s="74">
        <v>30</v>
      </c>
      <c r="F690" s="75">
        <v>585.55999999999995</v>
      </c>
      <c r="G690" s="75">
        <f>E690*F690</f>
        <v>17566.8</v>
      </c>
    </row>
    <row r="691" spans="1:17" s="89" customFormat="1" ht="51" outlineLevel="1" x14ac:dyDescent="0.2">
      <c r="A691" s="84"/>
      <c r="B691" s="85" t="s">
        <v>405</v>
      </c>
      <c r="C691" s="84" t="s">
        <v>509</v>
      </c>
      <c r="D691" s="86"/>
      <c r="E691" s="86"/>
      <c r="F691" s="87"/>
      <c r="G691" s="88">
        <v>0.92</v>
      </c>
    </row>
    <row r="692" spans="1:17" s="89" customFormat="1" ht="49.5" customHeight="1" outlineLevel="1" x14ac:dyDescent="0.2">
      <c r="A692" s="84"/>
      <c r="B692" s="85" t="s">
        <v>489</v>
      </c>
      <c r="C692" s="84" t="s">
        <v>508</v>
      </c>
      <c r="D692" s="86"/>
      <c r="E692" s="86"/>
      <c r="F692" s="87"/>
      <c r="G692" s="88">
        <v>1.08</v>
      </c>
      <c r="H692" s="1222" t="s">
        <v>507</v>
      </c>
      <c r="I692" s="1223"/>
      <c r="J692" s="1223"/>
      <c r="K692" s="1223"/>
      <c r="L692" s="1223"/>
      <c r="M692" s="1223"/>
      <c r="N692" s="1223"/>
      <c r="O692" s="1223"/>
      <c r="P692" s="1223"/>
      <c r="Q692" s="1223"/>
    </row>
    <row r="693" spans="1:17" s="89" customFormat="1" ht="49.5" customHeight="1" outlineLevel="1" x14ac:dyDescent="0.2">
      <c r="A693" s="84"/>
      <c r="B693" s="85" t="s">
        <v>488</v>
      </c>
      <c r="C693" s="84" t="s">
        <v>510</v>
      </c>
      <c r="D693" s="86"/>
      <c r="E693" s="86"/>
      <c r="F693" s="87"/>
      <c r="G693" s="88">
        <v>0.98</v>
      </c>
    </row>
    <row r="694" spans="1:17" s="89" customFormat="1" ht="12.75" outlineLevel="1" x14ac:dyDescent="0.2">
      <c r="A694" s="84"/>
      <c r="B694" s="85" t="s">
        <v>409</v>
      </c>
      <c r="C694" s="84" t="s">
        <v>511</v>
      </c>
      <c r="D694" s="86"/>
      <c r="E694" s="86"/>
      <c r="F694" s="87"/>
      <c r="G694" s="88">
        <v>1</v>
      </c>
    </row>
    <row r="695" spans="1:17" s="69" customFormat="1" ht="22.5" customHeight="1" outlineLevel="1" x14ac:dyDescent="0.25">
      <c r="A695" s="70"/>
      <c r="B695" s="264" t="s">
        <v>572</v>
      </c>
      <c r="C695" s="81"/>
      <c r="D695" s="70"/>
      <c r="E695" s="82"/>
      <c r="F695" s="83"/>
      <c r="G695" s="265">
        <f>G690*G691*G692*G693*G694</f>
        <v>17105.285030400002</v>
      </c>
    </row>
    <row r="696" spans="1:17" s="69" customFormat="1" ht="23.25" customHeight="1" outlineLevel="1" x14ac:dyDescent="0.25">
      <c r="A696" s="66" t="s">
        <v>573</v>
      </c>
      <c r="B696" s="67" t="s">
        <v>486</v>
      </c>
      <c r="C696" s="68"/>
      <c r="D696" s="67"/>
      <c r="E696" s="67"/>
      <c r="F696" s="67"/>
      <c r="G696" s="67"/>
    </row>
    <row r="697" spans="1:17" s="69" customFormat="1" ht="47.25" customHeight="1" outlineLevel="1" x14ac:dyDescent="0.25">
      <c r="A697" s="70"/>
      <c r="B697" s="71" t="s">
        <v>656</v>
      </c>
      <c r="C697" s="956" t="s">
        <v>655</v>
      </c>
      <c r="D697" s="73" t="s">
        <v>487</v>
      </c>
      <c r="E697" s="74">
        <v>20</v>
      </c>
      <c r="F697" s="75">
        <v>240.12</v>
      </c>
      <c r="G697" s="75">
        <f>E697*F697</f>
        <v>4802.3999999999996</v>
      </c>
    </row>
    <row r="698" spans="1:17" s="89" customFormat="1" ht="51" outlineLevel="1" x14ac:dyDescent="0.2">
      <c r="A698" s="84"/>
      <c r="B698" s="85" t="s">
        <v>405</v>
      </c>
      <c r="C698" s="84" t="s">
        <v>509</v>
      </c>
      <c r="D698" s="86"/>
      <c r="E698" s="86"/>
      <c r="F698" s="87"/>
      <c r="G698" s="88">
        <v>0.92</v>
      </c>
    </row>
    <row r="699" spans="1:17" s="89" customFormat="1" ht="49.5" customHeight="1" outlineLevel="1" x14ac:dyDescent="0.2">
      <c r="A699" s="84"/>
      <c r="B699" s="85" t="s">
        <v>489</v>
      </c>
      <c r="C699" s="84" t="s">
        <v>508</v>
      </c>
      <c r="D699" s="86"/>
      <c r="E699" s="86"/>
      <c r="F699" s="87"/>
      <c r="G699" s="88">
        <v>1.08</v>
      </c>
      <c r="H699" s="1222" t="s">
        <v>507</v>
      </c>
      <c r="I699" s="1223"/>
      <c r="J699" s="1223"/>
      <c r="K699" s="1223"/>
      <c r="L699" s="1223"/>
      <c r="M699" s="1223"/>
      <c r="N699" s="1223"/>
      <c r="O699" s="1223"/>
      <c r="P699" s="1223"/>
      <c r="Q699" s="1223"/>
    </row>
    <row r="700" spans="1:17" s="89" customFormat="1" ht="49.5" customHeight="1" outlineLevel="1" x14ac:dyDescent="0.2">
      <c r="A700" s="84"/>
      <c r="B700" s="85" t="s">
        <v>488</v>
      </c>
      <c r="C700" s="84" t="s">
        <v>510</v>
      </c>
      <c r="D700" s="86"/>
      <c r="E700" s="86"/>
      <c r="F700" s="87"/>
      <c r="G700" s="88">
        <v>0.98</v>
      </c>
    </row>
    <row r="701" spans="1:17" s="89" customFormat="1" ht="12.75" outlineLevel="1" x14ac:dyDescent="0.2">
      <c r="A701" s="84"/>
      <c r="B701" s="85" t="s">
        <v>409</v>
      </c>
      <c r="C701" s="84" t="s">
        <v>511</v>
      </c>
      <c r="D701" s="86"/>
      <c r="E701" s="86"/>
      <c r="F701" s="87"/>
      <c r="G701" s="88">
        <v>1</v>
      </c>
    </row>
    <row r="702" spans="1:17" s="69" customFormat="1" ht="22.5" customHeight="1" outlineLevel="1" x14ac:dyDescent="0.25">
      <c r="A702" s="70"/>
      <c r="B702" s="264" t="s">
        <v>574</v>
      </c>
      <c r="C702" s="81"/>
      <c r="D702" s="70"/>
      <c r="E702" s="82"/>
      <c r="F702" s="83"/>
      <c r="G702" s="265">
        <f>G697*G698*G699*G700*G701</f>
        <v>4676.2313471999996</v>
      </c>
    </row>
    <row r="703" spans="1:17" s="69" customFormat="1" ht="23.25" customHeight="1" outlineLevel="1" x14ac:dyDescent="0.25">
      <c r="A703" s="66" t="s">
        <v>577</v>
      </c>
      <c r="B703" s="67" t="s">
        <v>603</v>
      </c>
      <c r="C703" s="68"/>
      <c r="D703" s="67"/>
      <c r="E703" s="67"/>
      <c r="F703" s="67"/>
      <c r="G703" s="67"/>
      <c r="M703" s="299"/>
    </row>
    <row r="704" spans="1:17" s="69" customFormat="1" ht="45" customHeight="1" outlineLevel="1" x14ac:dyDescent="0.25">
      <c r="A704" s="70"/>
      <c r="B704" s="71" t="s">
        <v>601</v>
      </c>
      <c r="C704" s="956" t="s">
        <v>602</v>
      </c>
      <c r="D704" s="73" t="s">
        <v>600</v>
      </c>
      <c r="E704" s="74">
        <v>0.9</v>
      </c>
      <c r="F704" s="75">
        <v>22732.5</v>
      </c>
      <c r="G704" s="75">
        <f>E704*F704</f>
        <v>20459.25</v>
      </c>
      <c r="H704" s="69">
        <f>'Подэтап 7.1 (ПД) '!D5</f>
        <v>900</v>
      </c>
    </row>
    <row r="705" spans="1:13" s="89" customFormat="1" ht="51" outlineLevel="1" x14ac:dyDescent="0.2">
      <c r="A705" s="84"/>
      <c r="B705" s="85" t="s">
        <v>405</v>
      </c>
      <c r="C705" s="84" t="s">
        <v>509</v>
      </c>
      <c r="D705" s="86"/>
      <c r="E705" s="86"/>
      <c r="F705" s="87"/>
      <c r="G705" s="88">
        <v>0.92</v>
      </c>
      <c r="M705" s="300"/>
    </row>
    <row r="706" spans="1:13" s="89" customFormat="1" ht="49.5" customHeight="1" outlineLevel="1" x14ac:dyDescent="0.2">
      <c r="A706" s="84"/>
      <c r="B706" s="85" t="s">
        <v>478</v>
      </c>
      <c r="C706" s="84" t="s">
        <v>604</v>
      </c>
      <c r="D706" s="86"/>
      <c r="E706" s="86"/>
      <c r="F706" s="87"/>
      <c r="G706" s="88">
        <v>0.98</v>
      </c>
    </row>
    <row r="707" spans="1:13" s="89" customFormat="1" ht="12.75" outlineLevel="1" x14ac:dyDescent="0.2">
      <c r="A707" s="84"/>
      <c r="B707" s="85" t="s">
        <v>409</v>
      </c>
      <c r="C707" s="84" t="s">
        <v>605</v>
      </c>
      <c r="D707" s="86"/>
      <c r="E707" s="86"/>
      <c r="F707" s="87"/>
      <c r="G707" s="88">
        <v>1</v>
      </c>
    </row>
    <row r="708" spans="1:13" s="69" customFormat="1" ht="22.5" customHeight="1" outlineLevel="1" x14ac:dyDescent="0.25">
      <c r="A708" s="70"/>
      <c r="B708" s="264" t="s">
        <v>580</v>
      </c>
      <c r="C708" s="81"/>
      <c r="D708" s="70"/>
      <c r="E708" s="82"/>
      <c r="F708" s="83"/>
      <c r="G708" s="265">
        <f>G704*G705*G706*G707</f>
        <v>18446.059800000003</v>
      </c>
    </row>
    <row r="709" spans="1:13" s="69" customFormat="1" ht="23.25" customHeight="1" outlineLevel="1" x14ac:dyDescent="0.25">
      <c r="A709" s="66" t="s">
        <v>581</v>
      </c>
      <c r="B709" s="67" t="s">
        <v>2374</v>
      </c>
      <c r="C709" s="331"/>
      <c r="D709" s="67"/>
      <c r="E709" s="67"/>
      <c r="F709" s="67"/>
      <c r="G709" s="67"/>
    </row>
    <row r="710" spans="1:13" s="69" customFormat="1" ht="46.5" customHeight="1" outlineLevel="1" x14ac:dyDescent="0.25">
      <c r="A710" s="70"/>
      <c r="B710" s="71" t="s">
        <v>2381</v>
      </c>
      <c r="C710" s="331" t="s">
        <v>2382</v>
      </c>
      <c r="D710" s="73" t="s">
        <v>714</v>
      </c>
      <c r="E710" s="74">
        <v>800</v>
      </c>
      <c r="F710" s="75">
        <v>455.16</v>
      </c>
      <c r="G710" s="822">
        <f>E710*F710</f>
        <v>364128</v>
      </c>
    </row>
    <row r="711" spans="1:13" s="89" customFormat="1" ht="12.75" outlineLevel="1" x14ac:dyDescent="0.2">
      <c r="A711" s="84"/>
      <c r="B711" s="85"/>
      <c r="C711" s="84"/>
      <c r="D711" s="86"/>
      <c r="E711" s="86"/>
      <c r="F711" s="87"/>
      <c r="G711" s="88"/>
    </row>
    <row r="712" spans="1:13" s="89" customFormat="1" ht="51" outlineLevel="1" x14ac:dyDescent="0.2">
      <c r="A712" s="84"/>
      <c r="B712" s="85" t="s">
        <v>405</v>
      </c>
      <c r="C712" s="84" t="s">
        <v>2378</v>
      </c>
      <c r="D712" s="86"/>
      <c r="E712" s="86"/>
      <c r="F712" s="87"/>
      <c r="G712" s="88">
        <v>0.84</v>
      </c>
    </row>
    <row r="713" spans="1:13" s="89" customFormat="1" ht="49.5" customHeight="1" outlineLevel="1" x14ac:dyDescent="0.2">
      <c r="A713" s="84"/>
      <c r="B713" s="85" t="s">
        <v>488</v>
      </c>
      <c r="C713" s="84" t="s">
        <v>2379</v>
      </c>
      <c r="D713" s="86"/>
      <c r="E713" s="86"/>
      <c r="F713" s="87"/>
      <c r="G713" s="88">
        <v>0.99</v>
      </c>
    </row>
    <row r="714" spans="1:13" s="69" customFormat="1" ht="22.5" customHeight="1" outlineLevel="1" x14ac:dyDescent="0.25">
      <c r="A714" s="70"/>
      <c r="B714" s="264" t="s">
        <v>578</v>
      </c>
      <c r="C714" s="332"/>
      <c r="D714" s="70"/>
      <c r="E714" s="82"/>
      <c r="F714" s="83"/>
      <c r="G714" s="265">
        <f>G710*G712*G713</f>
        <v>302808.84479999996</v>
      </c>
    </row>
    <row r="715" spans="1:13" s="69" customFormat="1" ht="22.5" customHeight="1" x14ac:dyDescent="0.25">
      <c r="A715" s="70"/>
      <c r="B715" s="264" t="s">
        <v>1499</v>
      </c>
      <c r="C715" s="81"/>
      <c r="D715" s="70"/>
      <c r="E715" s="82"/>
      <c r="F715" s="83"/>
      <c r="G715" s="265">
        <f>G708+G702+G695+G688+G682+G676+G671+G665+G658+G652+G714</f>
        <v>437523.70503743994</v>
      </c>
      <c r="H715" s="299"/>
      <c r="I715" s="102"/>
    </row>
    <row r="716" spans="1:13" s="43" customFormat="1" ht="18" customHeight="1" x14ac:dyDescent="0.25">
      <c r="A716" s="1217" t="s">
        <v>1</v>
      </c>
      <c r="B716" s="1217"/>
      <c r="C716" s="1217"/>
      <c r="D716" s="1217"/>
      <c r="E716" s="1217"/>
      <c r="F716" s="1217"/>
      <c r="G716" s="1217"/>
      <c r="H716" s="52"/>
      <c r="I716" s="60"/>
      <c r="J716" s="60"/>
      <c r="K716" s="60"/>
      <c r="L716" s="61"/>
      <c r="M716" s="61"/>
    </row>
    <row r="717" spans="1:13" s="69" customFormat="1" ht="23.25" customHeight="1" outlineLevel="1" x14ac:dyDescent="0.25">
      <c r="A717" s="66"/>
      <c r="B717" s="67" t="s">
        <v>407</v>
      </c>
      <c r="C717" s="68"/>
      <c r="D717" s="67"/>
      <c r="E717" s="67"/>
      <c r="F717" s="67"/>
      <c r="G717" s="67"/>
    </row>
    <row r="718" spans="1:13" s="69" customFormat="1" ht="47.25" customHeight="1" outlineLevel="1" x14ac:dyDescent="0.25">
      <c r="A718" s="70" t="s">
        <v>365</v>
      </c>
      <c r="B718" s="71" t="s">
        <v>408</v>
      </c>
      <c r="C718" s="956" t="s">
        <v>491</v>
      </c>
      <c r="D718" s="73" t="s">
        <v>475</v>
      </c>
      <c r="E718" s="74">
        <v>0.5</v>
      </c>
      <c r="F718" s="75">
        <v>21046.92</v>
      </c>
      <c r="G718" s="75">
        <f>E718*F718</f>
        <v>10523.46</v>
      </c>
    </row>
    <row r="719" spans="1:13" s="89" customFormat="1" ht="51" outlineLevel="1" x14ac:dyDescent="0.2">
      <c r="A719" s="84"/>
      <c r="B719" s="85" t="s">
        <v>405</v>
      </c>
      <c r="C719" s="84" t="s">
        <v>492</v>
      </c>
      <c r="D719" s="86"/>
      <c r="E719" s="86"/>
      <c r="F719" s="87"/>
      <c r="G719" s="88">
        <v>0.84</v>
      </c>
    </row>
    <row r="720" spans="1:13" s="89" customFormat="1" ht="30" customHeight="1" outlineLevel="1" x14ac:dyDescent="0.2">
      <c r="A720" s="84"/>
      <c r="B720" s="85" t="s">
        <v>409</v>
      </c>
      <c r="C720" s="84" t="s">
        <v>493</v>
      </c>
      <c r="D720" s="86"/>
      <c r="E720" s="86"/>
      <c r="F720" s="87"/>
      <c r="G720" s="88">
        <v>1</v>
      </c>
    </row>
    <row r="721" spans="1:10" s="89" customFormat="1" ht="15.75" x14ac:dyDescent="0.2">
      <c r="A721" s="84"/>
      <c r="B721" s="90" t="s">
        <v>571</v>
      </c>
      <c r="C721" s="86"/>
      <c r="D721" s="86"/>
      <c r="E721" s="86"/>
      <c r="F721" s="87"/>
      <c r="G721" s="265">
        <f>G718*G719*G720</f>
        <v>8839.7063999999991</v>
      </c>
      <c r="H721" s="299"/>
      <c r="I721" s="102"/>
    </row>
    <row r="722" spans="1:10" s="89" customFormat="1" ht="21.75" customHeight="1" x14ac:dyDescent="0.2">
      <c r="A722" s="799"/>
      <c r="B722" s="266" t="s">
        <v>1500</v>
      </c>
      <c r="C722" s="86"/>
      <c r="D722" s="86"/>
      <c r="E722" s="86"/>
      <c r="F722" s="87"/>
      <c r="G722" s="265">
        <f>G69+G152+G228+G312+G376+G439+G483+G532+G645+G715+G721</f>
        <v>2316077.2561764796</v>
      </c>
      <c r="H722" s="300"/>
    </row>
    <row r="723" spans="1:10" s="89" customFormat="1" ht="23.25" customHeight="1" x14ac:dyDescent="0.2">
      <c r="A723" s="1229"/>
      <c r="B723" s="1226" t="s">
        <v>470</v>
      </c>
      <c r="C723" s="86"/>
      <c r="D723" s="86"/>
      <c r="E723" s="86"/>
      <c r="F723" s="87"/>
      <c r="G723" s="93"/>
    </row>
    <row r="724" spans="1:10" s="89" customFormat="1" ht="17.25" customHeight="1" x14ac:dyDescent="0.2">
      <c r="A724" s="1230"/>
      <c r="B724" s="1227"/>
      <c r="C724" s="86" t="s">
        <v>410</v>
      </c>
      <c r="D724" s="86"/>
      <c r="E724" s="86"/>
      <c r="F724" s="87"/>
      <c r="G724" s="93">
        <f>Дефляторы!D91/100</f>
        <v>1.0590000000000002</v>
      </c>
    </row>
    <row r="725" spans="1:10" s="89" customFormat="1" ht="15" customHeight="1" x14ac:dyDescent="0.2">
      <c r="A725" s="1230"/>
      <c r="B725" s="1227"/>
      <c r="C725" s="86" t="s">
        <v>411</v>
      </c>
      <c r="D725" s="86"/>
      <c r="E725" s="86"/>
      <c r="F725" s="87"/>
      <c r="G725" s="93">
        <f>Дефляторы!E91/100</f>
        <v>1.0529999999999999</v>
      </c>
    </row>
    <row r="726" spans="1:10" s="89" customFormat="1" ht="20.25" customHeight="1" x14ac:dyDescent="0.2">
      <c r="A726" s="1231"/>
      <c r="B726" s="1228"/>
      <c r="C726" s="86" t="s">
        <v>471</v>
      </c>
      <c r="D726" s="86"/>
      <c r="E726" s="86"/>
      <c r="F726" s="87"/>
      <c r="G726" s="93">
        <f>Дефляторы!F91/100</f>
        <v>1.048</v>
      </c>
    </row>
    <row r="727" spans="1:10" s="89" customFormat="1" ht="35.25" customHeight="1" x14ac:dyDescent="0.2">
      <c r="A727" s="98"/>
      <c r="B727" s="90" t="s">
        <v>494</v>
      </c>
      <c r="C727" s="99"/>
      <c r="D727" s="86"/>
      <c r="E727" s="86"/>
      <c r="F727" s="87"/>
      <c r="G727" s="558">
        <f>(G722*G724*G725*G726)</f>
        <v>2706690.8560058284</v>
      </c>
    </row>
    <row r="728" spans="1:10" s="69" customFormat="1" ht="18" x14ac:dyDescent="0.25">
      <c r="A728" s="1211" t="s">
        <v>395</v>
      </c>
      <c r="B728" s="1211"/>
      <c r="C728" s="1211"/>
      <c r="D728" s="1211"/>
      <c r="E728" s="1211"/>
      <c r="F728" s="1211"/>
      <c r="G728" s="556">
        <f>G727*0.2</f>
        <v>541338.17120116565</v>
      </c>
    </row>
    <row r="729" spans="1:10" s="69" customFormat="1" ht="18" x14ac:dyDescent="0.25">
      <c r="A729" s="1212" t="s">
        <v>396</v>
      </c>
      <c r="B729" s="1213"/>
      <c r="C729" s="1213"/>
      <c r="D729" s="1213"/>
      <c r="E729" s="1213"/>
      <c r="F729" s="1213"/>
      <c r="G729" s="557">
        <f>SUM(G727:G728)</f>
        <v>3248029.0272069941</v>
      </c>
      <c r="J729" s="102"/>
    </row>
  </sheetData>
  <mergeCells count="36">
    <mergeCell ref="B723:B726"/>
    <mergeCell ref="A723:A726"/>
    <mergeCell ref="A728:F728"/>
    <mergeCell ref="A729:F729"/>
    <mergeCell ref="A716:G716"/>
    <mergeCell ref="H699:Q699"/>
    <mergeCell ref="A533:G533"/>
    <mergeCell ref="A484:G484"/>
    <mergeCell ref="H609:Q609"/>
    <mergeCell ref="H616:Q616"/>
    <mergeCell ref="A229:G229"/>
    <mergeCell ref="A313:G313"/>
    <mergeCell ref="A377:G377"/>
    <mergeCell ref="A646:G646"/>
    <mergeCell ref="H692:Q692"/>
    <mergeCell ref="A440:G440"/>
    <mergeCell ref="H428:Q428"/>
    <mergeCell ref="H435:Q435"/>
    <mergeCell ref="H359:Q359"/>
    <mergeCell ref="H366:Q366"/>
    <mergeCell ref="H276:Q276"/>
    <mergeCell ref="H283:Q283"/>
    <mergeCell ref="A153:G153"/>
    <mergeCell ref="H73:Q73"/>
    <mergeCell ref="A4:G5"/>
    <mergeCell ref="B6:G6"/>
    <mergeCell ref="A9:A10"/>
    <mergeCell ref="B9:B10"/>
    <mergeCell ref="C9:C10"/>
    <mergeCell ref="D9:D10"/>
    <mergeCell ref="E9:E10"/>
    <mergeCell ref="F9:F10"/>
    <mergeCell ref="G9:G10"/>
    <mergeCell ref="A13:G13"/>
    <mergeCell ref="H21:Q21"/>
    <mergeCell ref="A70:G70"/>
  </mergeCells>
  <pageMargins left="0.7" right="0.7" top="0.75" bottom="0.75" header="0.3" footer="0.3"/>
  <pageSetup paperSize="9" scale="50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11"/>
  <sheetViews>
    <sheetView view="pageBreakPreview" topLeftCell="A53" zoomScaleNormal="89" zoomScaleSheetLayoutView="100" workbookViewId="0">
      <selection activeCell="B60" sqref="B60"/>
    </sheetView>
  </sheetViews>
  <sheetFormatPr defaultRowHeight="15" x14ac:dyDescent="0.25"/>
  <cols>
    <col min="1" max="1" width="12.42578125" style="407" bestFit="1" customWidth="1"/>
    <col min="2" max="2" width="59.85546875" style="1" customWidth="1"/>
    <col min="3" max="3" width="30.42578125" style="399" customWidth="1"/>
    <col min="4" max="4" width="19.5703125" customWidth="1"/>
    <col min="5" max="5" width="30.85546875" customWidth="1"/>
    <col min="6" max="6" width="56.85546875" style="38" customWidth="1"/>
    <col min="7" max="7" width="45" customWidth="1"/>
    <col min="8" max="8" width="20.42578125" customWidth="1"/>
    <col min="13" max="13" width="13.85546875" customWidth="1"/>
    <col min="14" max="14" width="11" bestFit="1" customWidth="1"/>
    <col min="15" max="15" width="14.140625" customWidth="1"/>
    <col min="16" max="16" width="12" customWidth="1"/>
  </cols>
  <sheetData>
    <row r="1" spans="1:7" ht="15.75" x14ac:dyDescent="0.25">
      <c r="A1" s="1232" t="s">
        <v>55</v>
      </c>
      <c r="B1" s="1232"/>
      <c r="C1" s="1232"/>
      <c r="D1" s="1232"/>
      <c r="E1" s="1232"/>
    </row>
    <row r="2" spans="1:7" ht="15.75" x14ac:dyDescent="0.25">
      <c r="A2" s="1232" t="s">
        <v>56</v>
      </c>
      <c r="B2" s="1232"/>
      <c r="C2" s="1232"/>
      <c r="D2" s="1232"/>
      <c r="E2" s="1232"/>
    </row>
    <row r="3" spans="1:7" ht="16.5" thickBot="1" x14ac:dyDescent="0.3">
      <c r="A3" s="398"/>
    </row>
    <row r="4" spans="1:7" ht="30.75" customHeight="1" thickBot="1" x14ac:dyDescent="0.3">
      <c r="A4" s="1239" t="s">
        <v>57</v>
      </c>
      <c r="B4" s="1241" t="s">
        <v>58</v>
      </c>
      <c r="C4" s="1242" t="s">
        <v>59</v>
      </c>
      <c r="D4" s="1242" t="s">
        <v>60</v>
      </c>
      <c r="E4" s="400" t="s">
        <v>61</v>
      </c>
      <c r="F4" s="1235" t="s">
        <v>292</v>
      </c>
      <c r="G4" t="s">
        <v>1098</v>
      </c>
    </row>
    <row r="5" spans="1:7" ht="16.5" thickBot="1" x14ac:dyDescent="0.3">
      <c r="A5" s="1239"/>
      <c r="B5" s="1241"/>
      <c r="C5" s="1242"/>
      <c r="D5" s="1242"/>
      <c r="E5" s="400" t="s">
        <v>62</v>
      </c>
      <c r="F5" s="1236"/>
    </row>
    <row r="6" spans="1:7" ht="16.5" thickBot="1" x14ac:dyDescent="0.3">
      <c r="A6" s="401">
        <v>1</v>
      </c>
      <c r="B6" s="402">
        <v>2</v>
      </c>
      <c r="C6" s="402">
        <v>3</v>
      </c>
      <c r="D6" s="402">
        <v>4</v>
      </c>
      <c r="E6" s="400">
        <v>5</v>
      </c>
      <c r="F6" s="403">
        <v>6</v>
      </c>
    </row>
    <row r="7" spans="1:7" ht="15.75" x14ac:dyDescent="0.25">
      <c r="A7" s="352"/>
      <c r="B7" s="1249" t="s">
        <v>63</v>
      </c>
      <c r="C7" s="1249"/>
      <c r="D7" s="1249"/>
      <c r="E7" s="1250"/>
      <c r="F7" s="308"/>
    </row>
    <row r="8" spans="1:7" ht="16.5" thickBot="1" x14ac:dyDescent="0.3">
      <c r="A8" s="344" t="s">
        <v>64</v>
      </c>
      <c r="B8" s="302" t="s">
        <v>65</v>
      </c>
      <c r="C8" s="345" t="s">
        <v>0</v>
      </c>
      <c r="D8" s="346">
        <v>0.1</v>
      </c>
      <c r="E8" s="347"/>
      <c r="F8" s="40"/>
    </row>
    <row r="9" spans="1:7" ht="111" thickBot="1" x14ac:dyDescent="0.3">
      <c r="A9" s="344" t="s">
        <v>66</v>
      </c>
      <c r="B9" s="302" t="s">
        <v>67</v>
      </c>
      <c r="C9" s="345" t="s">
        <v>622</v>
      </c>
      <c r="D9" s="346">
        <v>1</v>
      </c>
      <c r="E9" s="347"/>
      <c r="F9" s="353" t="s">
        <v>786</v>
      </c>
      <c r="G9" t="s">
        <v>787</v>
      </c>
    </row>
    <row r="10" spans="1:7" ht="88.5" customHeight="1" thickBot="1" x14ac:dyDescent="0.3">
      <c r="A10" s="344" t="s">
        <v>68</v>
      </c>
      <c r="B10" s="302" t="s">
        <v>69</v>
      </c>
      <c r="C10" s="345" t="s">
        <v>211</v>
      </c>
      <c r="D10" s="346">
        <v>1</v>
      </c>
      <c r="E10" s="318" t="s">
        <v>788</v>
      </c>
      <c r="F10" s="40" t="s">
        <v>255</v>
      </c>
      <c r="G10" t="s">
        <v>789</v>
      </c>
    </row>
    <row r="11" spans="1:7" ht="56.25" customHeight="1" thickBot="1" x14ac:dyDescent="0.3">
      <c r="A11" s="344" t="s">
        <v>70</v>
      </c>
      <c r="B11" s="302" t="s">
        <v>71</v>
      </c>
      <c r="C11" s="345"/>
      <c r="D11" s="346"/>
      <c r="E11" s="347"/>
      <c r="F11" s="40" t="s">
        <v>790</v>
      </c>
      <c r="G11" t="s">
        <v>626</v>
      </c>
    </row>
    <row r="12" spans="1:7" ht="56.25" customHeight="1" thickBot="1" x14ac:dyDescent="0.3">
      <c r="A12" s="344" t="s">
        <v>791</v>
      </c>
      <c r="B12" s="302" t="s">
        <v>628</v>
      </c>
      <c r="C12" s="345" t="s">
        <v>211</v>
      </c>
      <c r="D12" s="346">
        <v>4</v>
      </c>
      <c r="E12" s="347"/>
      <c r="F12" s="40"/>
    </row>
    <row r="13" spans="1:7" ht="56.25" customHeight="1" thickBot="1" x14ac:dyDescent="0.3">
      <c r="A13" s="344" t="s">
        <v>792</v>
      </c>
      <c r="B13" s="302" t="s">
        <v>630</v>
      </c>
      <c r="C13" s="345" t="s">
        <v>211</v>
      </c>
      <c r="D13" s="346">
        <v>4</v>
      </c>
      <c r="E13" s="347"/>
      <c r="F13" s="40"/>
    </row>
    <row r="14" spans="1:7" ht="56.25" hidden="1" customHeight="1" x14ac:dyDescent="0.25">
      <c r="A14" s="307" t="s">
        <v>1099</v>
      </c>
      <c r="B14" s="316" t="s">
        <v>632</v>
      </c>
      <c r="C14" s="317" t="s">
        <v>211</v>
      </c>
      <c r="D14" s="312"/>
      <c r="E14" s="347"/>
      <c r="F14" s="40"/>
    </row>
    <row r="15" spans="1:7" ht="56.25" hidden="1" customHeight="1" x14ac:dyDescent="0.25">
      <c r="A15" s="307" t="s">
        <v>1100</v>
      </c>
      <c r="B15" s="316" t="s">
        <v>634</v>
      </c>
      <c r="C15" s="317" t="s">
        <v>211</v>
      </c>
      <c r="D15" s="312"/>
      <c r="E15" s="347"/>
      <c r="F15" s="40"/>
    </row>
    <row r="16" spans="1:7" ht="16.5" thickBot="1" x14ac:dyDescent="0.3">
      <c r="A16" s="344" t="s">
        <v>72</v>
      </c>
      <c r="B16" s="302" t="s">
        <v>73</v>
      </c>
      <c r="C16" s="345" t="s">
        <v>620</v>
      </c>
      <c r="D16" s="346">
        <v>100</v>
      </c>
      <c r="E16" s="347"/>
      <c r="F16" s="40" t="s">
        <v>793</v>
      </c>
      <c r="G16" t="s">
        <v>672</v>
      </c>
    </row>
    <row r="17" spans="1:8" ht="32.25" thickBot="1" x14ac:dyDescent="0.3">
      <c r="A17" s="344" t="s">
        <v>74</v>
      </c>
      <c r="B17" s="302" t="s">
        <v>75</v>
      </c>
      <c r="C17" s="345" t="s">
        <v>183</v>
      </c>
      <c r="D17" s="346">
        <v>65</v>
      </c>
      <c r="E17" s="347"/>
      <c r="F17" s="353" t="s">
        <v>794</v>
      </c>
      <c r="G17" t="s">
        <v>795</v>
      </c>
      <c r="H17" t="s">
        <v>282</v>
      </c>
    </row>
    <row r="18" spans="1:8" ht="32.25" thickBot="1" x14ac:dyDescent="0.3">
      <c r="A18" s="344" t="s">
        <v>76</v>
      </c>
      <c r="B18" s="302" t="s">
        <v>77</v>
      </c>
      <c r="C18" s="345" t="s">
        <v>648</v>
      </c>
      <c r="D18" s="346">
        <v>2</v>
      </c>
      <c r="E18" s="354"/>
      <c r="F18" s="40" t="s">
        <v>253</v>
      </c>
      <c r="G18" t="s">
        <v>796</v>
      </c>
    </row>
    <row r="19" spans="1:8" ht="16.5" thickBot="1" x14ac:dyDescent="0.3">
      <c r="A19" s="344" t="s">
        <v>78</v>
      </c>
      <c r="B19" s="302" t="s">
        <v>79</v>
      </c>
      <c r="C19" s="345" t="s">
        <v>648</v>
      </c>
      <c r="D19" s="346">
        <v>5</v>
      </c>
      <c r="E19" s="354" t="s">
        <v>80</v>
      </c>
      <c r="F19" s="40" t="s">
        <v>254</v>
      </c>
    </row>
    <row r="20" spans="1:8" ht="16.5" thickBot="1" x14ac:dyDescent="0.3">
      <c r="A20" s="320" t="s">
        <v>81</v>
      </c>
      <c r="B20" s="321" t="s">
        <v>82</v>
      </c>
      <c r="C20" s="322" t="s">
        <v>668</v>
      </c>
      <c r="D20" s="323" t="s">
        <v>769</v>
      </c>
      <c r="E20" s="347"/>
      <c r="F20" s="40" t="s">
        <v>254</v>
      </c>
      <c r="H20" s="12" t="s">
        <v>504</v>
      </c>
    </row>
    <row r="21" spans="1:8" ht="15.75" x14ac:dyDescent="0.25">
      <c r="A21" s="344" t="s">
        <v>797</v>
      </c>
      <c r="B21" s="302" t="s">
        <v>679</v>
      </c>
      <c r="C21" s="345"/>
      <c r="D21" s="346"/>
      <c r="E21" s="347"/>
      <c r="F21" s="306"/>
      <c r="H21" t="s">
        <v>505</v>
      </c>
    </row>
    <row r="22" spans="1:8" ht="15.75" x14ac:dyDescent="0.25">
      <c r="A22" s="344" t="s">
        <v>798</v>
      </c>
      <c r="B22" s="329" t="s">
        <v>799</v>
      </c>
      <c r="C22" s="345" t="s">
        <v>660</v>
      </c>
      <c r="D22" s="346">
        <v>150</v>
      </c>
      <c r="E22" s="355"/>
      <c r="F22" s="306"/>
      <c r="H22" t="s">
        <v>506</v>
      </c>
    </row>
    <row r="23" spans="1:8" ht="15.75" x14ac:dyDescent="0.25">
      <c r="A23" s="344" t="s">
        <v>800</v>
      </c>
      <c r="B23" s="329" t="s">
        <v>683</v>
      </c>
      <c r="C23" s="345" t="s">
        <v>660</v>
      </c>
      <c r="D23" s="346">
        <v>200</v>
      </c>
      <c r="E23" s="355"/>
      <c r="F23" s="306"/>
    </row>
    <row r="24" spans="1:8" ht="15.75" x14ac:dyDescent="0.25">
      <c r="A24" s="344" t="s">
        <v>801</v>
      </c>
      <c r="B24" s="329" t="s">
        <v>802</v>
      </c>
      <c r="C24" s="345" t="s">
        <v>696</v>
      </c>
      <c r="D24" s="346">
        <v>10</v>
      </c>
      <c r="E24" s="355"/>
      <c r="F24" s="306"/>
    </row>
    <row r="25" spans="1:8" ht="15.75" x14ac:dyDescent="0.25">
      <c r="A25" s="344" t="s">
        <v>803</v>
      </c>
      <c r="B25" s="302" t="s">
        <v>689</v>
      </c>
      <c r="C25" s="345"/>
      <c r="D25" s="346"/>
      <c r="E25" s="355"/>
      <c r="F25" s="306"/>
    </row>
    <row r="26" spans="1:8" ht="63" x14ac:dyDescent="0.25">
      <c r="A26" s="344" t="s">
        <v>804</v>
      </c>
      <c r="B26" s="302" t="s">
        <v>805</v>
      </c>
      <c r="C26" s="345" t="s">
        <v>692</v>
      </c>
      <c r="D26" s="345" t="s">
        <v>806</v>
      </c>
      <c r="E26" s="355"/>
      <c r="F26" s="306"/>
    </row>
    <row r="27" spans="1:8" ht="15.75" x14ac:dyDescent="0.25">
      <c r="A27" s="344" t="s">
        <v>807</v>
      </c>
      <c r="B27" s="329" t="s">
        <v>698</v>
      </c>
      <c r="C27" s="345" t="s">
        <v>704</v>
      </c>
      <c r="D27" s="346">
        <v>1</v>
      </c>
      <c r="E27" s="355"/>
      <c r="F27" s="306"/>
    </row>
    <row r="28" spans="1:8" ht="15.75" x14ac:dyDescent="0.25">
      <c r="A28" s="344" t="s">
        <v>808</v>
      </c>
      <c r="B28" s="329" t="s">
        <v>695</v>
      </c>
      <c r="C28" s="345" t="s">
        <v>696</v>
      </c>
      <c r="D28" s="346">
        <v>10</v>
      </c>
      <c r="E28" s="355"/>
      <c r="F28" s="306"/>
    </row>
    <row r="29" spans="1:8" ht="15.75" x14ac:dyDescent="0.25">
      <c r="A29" s="307"/>
      <c r="B29" s="1237" t="s">
        <v>83</v>
      </c>
      <c r="C29" s="1237"/>
      <c r="D29" s="1237"/>
      <c r="E29" s="1238"/>
      <c r="F29" s="308"/>
    </row>
    <row r="30" spans="1:8" ht="16.5" thickBot="1" x14ac:dyDescent="0.3">
      <c r="A30" s="344" t="s">
        <v>84</v>
      </c>
      <c r="B30" s="302" t="s">
        <v>65</v>
      </c>
      <c r="C30" s="345" t="s">
        <v>0</v>
      </c>
      <c r="D30" s="341">
        <v>0.5</v>
      </c>
      <c r="E30" s="347"/>
      <c r="F30" s="40"/>
    </row>
    <row r="31" spans="1:8" ht="16.5" thickBot="1" x14ac:dyDescent="0.3">
      <c r="A31" s="344" t="s">
        <v>85</v>
      </c>
      <c r="B31" s="302" t="s">
        <v>86</v>
      </c>
      <c r="C31" s="345" t="s">
        <v>211</v>
      </c>
      <c r="D31" s="346">
        <v>1</v>
      </c>
      <c r="E31" s="347"/>
      <c r="F31" s="348"/>
    </row>
    <row r="32" spans="1:8" ht="15.75" x14ac:dyDescent="0.25">
      <c r="A32" s="344" t="s">
        <v>87</v>
      </c>
      <c r="B32" s="302" t="s">
        <v>88</v>
      </c>
      <c r="C32" s="345" t="s">
        <v>183</v>
      </c>
      <c r="D32" s="1247">
        <v>4500</v>
      </c>
      <c r="E32" s="305" t="s">
        <v>623</v>
      </c>
      <c r="F32" s="342" t="s">
        <v>761</v>
      </c>
      <c r="G32" s="343" t="s">
        <v>659</v>
      </c>
    </row>
    <row r="33" spans="1:7" s="362" customFormat="1" ht="31.5" x14ac:dyDescent="0.25">
      <c r="A33" s="357"/>
      <c r="B33" s="815" t="s">
        <v>2376</v>
      </c>
      <c r="C33" s="359"/>
      <c r="D33" s="1248"/>
      <c r="E33" s="818"/>
      <c r="F33" s="819" t="s">
        <v>2377</v>
      </c>
      <c r="G33" s="820"/>
    </row>
    <row r="34" spans="1:7" ht="16.5" thickBot="1" x14ac:dyDescent="0.3">
      <c r="A34" s="344" t="s">
        <v>89</v>
      </c>
      <c r="B34" s="302" t="s">
        <v>90</v>
      </c>
      <c r="C34" s="345" t="s">
        <v>211</v>
      </c>
      <c r="D34" s="346">
        <v>1</v>
      </c>
      <c r="E34" s="318" t="s">
        <v>762</v>
      </c>
      <c r="F34" s="40" t="s">
        <v>258</v>
      </c>
    </row>
    <row r="35" spans="1:7" ht="15.75" x14ac:dyDescent="0.25">
      <c r="A35" s="1243" t="s">
        <v>91</v>
      </c>
      <c r="B35" s="302" t="s">
        <v>92</v>
      </c>
      <c r="C35" s="1246" t="s">
        <v>211</v>
      </c>
      <c r="D35" s="1244">
        <v>1</v>
      </c>
      <c r="E35" s="1245"/>
      <c r="F35" s="1233" t="s">
        <v>257</v>
      </c>
    </row>
    <row r="36" spans="1:7" ht="16.5" thickBot="1" x14ac:dyDescent="0.3">
      <c r="A36" s="1243"/>
      <c r="B36" s="302" t="s">
        <v>93</v>
      </c>
      <c r="C36" s="1246"/>
      <c r="D36" s="1244"/>
      <c r="E36" s="1245"/>
      <c r="F36" s="1234"/>
    </row>
    <row r="37" spans="1:7" ht="32.25" thickBot="1" x14ac:dyDescent="0.3">
      <c r="A37" s="344" t="s">
        <v>94</v>
      </c>
      <c r="B37" s="302" t="s">
        <v>763</v>
      </c>
      <c r="C37" s="345" t="s">
        <v>211</v>
      </c>
      <c r="D37" s="346">
        <v>2</v>
      </c>
      <c r="E37" s="318" t="s">
        <v>764</v>
      </c>
      <c r="F37" s="40" t="s">
        <v>280</v>
      </c>
      <c r="G37" t="s">
        <v>765</v>
      </c>
    </row>
    <row r="38" spans="1:7" ht="16.5" thickBot="1" x14ac:dyDescent="0.3">
      <c r="A38" s="344" t="s">
        <v>95</v>
      </c>
      <c r="B38" s="302" t="s">
        <v>73</v>
      </c>
      <c r="C38" s="345" t="s">
        <v>620</v>
      </c>
      <c r="D38" s="346">
        <v>250</v>
      </c>
      <c r="E38" s="305" t="s">
        <v>641</v>
      </c>
      <c r="F38" s="40" t="s">
        <v>262</v>
      </c>
      <c r="G38" t="s">
        <v>672</v>
      </c>
    </row>
    <row r="39" spans="1:7" ht="32.25" thickBot="1" x14ac:dyDescent="0.3">
      <c r="A39" s="344" t="s">
        <v>96</v>
      </c>
      <c r="B39" s="302" t="s">
        <v>71</v>
      </c>
      <c r="C39" s="345"/>
      <c r="D39" s="346"/>
      <c r="E39" s="305" t="s">
        <v>625</v>
      </c>
      <c r="F39" s="40" t="s">
        <v>256</v>
      </c>
      <c r="G39" t="s">
        <v>626</v>
      </c>
    </row>
    <row r="40" spans="1:7" ht="16.5" thickBot="1" x14ac:dyDescent="0.3">
      <c r="A40" s="344" t="s">
        <v>766</v>
      </c>
      <c r="B40" s="302" t="s">
        <v>628</v>
      </c>
      <c r="C40" s="345" t="s">
        <v>211</v>
      </c>
      <c r="D40" s="346">
        <v>6</v>
      </c>
      <c r="E40" s="305"/>
      <c r="F40" s="40"/>
    </row>
    <row r="41" spans="1:7" ht="32.25" thickBot="1" x14ac:dyDescent="0.3">
      <c r="A41" s="344" t="s">
        <v>767</v>
      </c>
      <c r="B41" s="302" t="s">
        <v>630</v>
      </c>
      <c r="C41" s="345" t="s">
        <v>211</v>
      </c>
      <c r="D41" s="346">
        <v>6</v>
      </c>
      <c r="E41" s="305"/>
      <c r="F41" s="40"/>
    </row>
    <row r="42" spans="1:7" ht="1.5" hidden="1" customHeight="1" x14ac:dyDescent="0.25">
      <c r="A42" s="307" t="s">
        <v>870</v>
      </c>
      <c r="B42" s="316" t="s">
        <v>632</v>
      </c>
      <c r="C42" s="317" t="s">
        <v>211</v>
      </c>
      <c r="D42" s="312"/>
      <c r="E42" s="305"/>
      <c r="F42" s="40"/>
    </row>
    <row r="43" spans="1:7" ht="16.5" hidden="1" thickBot="1" x14ac:dyDescent="0.3">
      <c r="A43" s="307" t="s">
        <v>871</v>
      </c>
      <c r="B43" s="316" t="s">
        <v>634</v>
      </c>
      <c r="C43" s="317" t="s">
        <v>211</v>
      </c>
      <c r="D43" s="312"/>
      <c r="E43" s="305"/>
      <c r="F43" s="40"/>
    </row>
    <row r="44" spans="1:7" ht="32.25" thickBot="1" x14ac:dyDescent="0.3">
      <c r="A44" s="344" t="s">
        <v>97</v>
      </c>
      <c r="B44" s="302" t="s">
        <v>98</v>
      </c>
      <c r="C44" s="345" t="s">
        <v>620</v>
      </c>
      <c r="D44" s="346">
        <v>3000</v>
      </c>
      <c r="E44" s="305" t="s">
        <v>625</v>
      </c>
      <c r="F44" s="40" t="s">
        <v>261</v>
      </c>
    </row>
    <row r="45" spans="1:7" ht="16.5" thickBot="1" x14ac:dyDescent="0.3">
      <c r="A45" s="344" t="s">
        <v>99</v>
      </c>
      <c r="B45" s="302" t="s">
        <v>79</v>
      </c>
      <c r="C45" s="345" t="s">
        <v>211</v>
      </c>
      <c r="D45" s="346">
        <v>25</v>
      </c>
      <c r="E45" s="305" t="s">
        <v>635</v>
      </c>
      <c r="F45" s="40" t="s">
        <v>254</v>
      </c>
    </row>
    <row r="46" spans="1:7" ht="32.25" thickBot="1" x14ac:dyDescent="0.3">
      <c r="A46" s="344" t="s">
        <v>100</v>
      </c>
      <c r="B46" s="302" t="s">
        <v>101</v>
      </c>
      <c r="C46" s="345" t="s">
        <v>648</v>
      </c>
      <c r="D46" s="346">
        <v>1</v>
      </c>
      <c r="E46" s="305" t="s">
        <v>768</v>
      </c>
      <c r="F46" s="40" t="s">
        <v>260</v>
      </c>
    </row>
    <row r="47" spans="1:7" ht="16.5" thickBot="1" x14ac:dyDescent="0.3">
      <c r="A47" s="320" t="s">
        <v>102</v>
      </c>
      <c r="B47" s="321" t="s">
        <v>82</v>
      </c>
      <c r="C47" s="322" t="s">
        <v>668</v>
      </c>
      <c r="D47" s="323" t="s">
        <v>769</v>
      </c>
      <c r="E47" s="305" t="s">
        <v>635</v>
      </c>
      <c r="F47" s="40" t="s">
        <v>254</v>
      </c>
    </row>
    <row r="48" spans="1:7" ht="16.5" thickBot="1" x14ac:dyDescent="0.3">
      <c r="A48" s="344" t="s">
        <v>103</v>
      </c>
      <c r="B48" s="302" t="s">
        <v>104</v>
      </c>
      <c r="C48" s="345" t="s">
        <v>721</v>
      </c>
      <c r="D48" s="346">
        <v>500</v>
      </c>
      <c r="E48" s="305" t="s">
        <v>641</v>
      </c>
      <c r="F48" s="40" t="s">
        <v>259</v>
      </c>
      <c r="G48" t="s">
        <v>638</v>
      </c>
    </row>
    <row r="49" spans="1:7" ht="15.75" x14ac:dyDescent="0.25">
      <c r="A49" s="344" t="s">
        <v>770</v>
      </c>
      <c r="B49" s="302" t="s">
        <v>679</v>
      </c>
      <c r="C49" s="345"/>
      <c r="D49" s="346"/>
      <c r="E49" s="305"/>
      <c r="F49" s="306"/>
    </row>
    <row r="50" spans="1:7" ht="15.75" x14ac:dyDescent="0.25">
      <c r="A50" s="344" t="s">
        <v>771</v>
      </c>
      <c r="B50" s="329" t="s">
        <v>681</v>
      </c>
      <c r="C50" s="302" t="s">
        <v>660</v>
      </c>
      <c r="D50" s="346">
        <v>150</v>
      </c>
      <c r="E50" s="340"/>
      <c r="F50" s="306"/>
    </row>
    <row r="51" spans="1:7" ht="15.75" x14ac:dyDescent="0.25">
      <c r="A51" s="344" t="s">
        <v>772</v>
      </c>
      <c r="B51" s="329" t="s">
        <v>683</v>
      </c>
      <c r="C51" s="302" t="s">
        <v>660</v>
      </c>
      <c r="D51" s="346">
        <v>200</v>
      </c>
      <c r="E51" s="340"/>
      <c r="F51" s="306"/>
    </row>
    <row r="52" spans="1:7" ht="15.75" x14ac:dyDescent="0.25">
      <c r="A52" s="344" t="s">
        <v>773</v>
      </c>
      <c r="B52" s="349" t="s">
        <v>689</v>
      </c>
      <c r="C52" s="350"/>
      <c r="D52" s="351"/>
      <c r="E52" s="305"/>
      <c r="F52" s="306"/>
    </row>
    <row r="53" spans="1:7" ht="63" x14ac:dyDescent="0.25">
      <c r="A53" s="344" t="s">
        <v>774</v>
      </c>
      <c r="B53" s="302" t="s">
        <v>691</v>
      </c>
      <c r="C53" s="302" t="s">
        <v>692</v>
      </c>
      <c r="D53" s="345" t="s">
        <v>775</v>
      </c>
      <c r="E53" s="340"/>
      <c r="F53" s="306"/>
    </row>
    <row r="54" spans="1:7" ht="15.75" x14ac:dyDescent="0.25">
      <c r="A54" s="344" t="s">
        <v>776</v>
      </c>
      <c r="B54" s="329" t="s">
        <v>695</v>
      </c>
      <c r="C54" s="302" t="s">
        <v>696</v>
      </c>
      <c r="D54" s="346">
        <v>16</v>
      </c>
      <c r="E54" s="340"/>
      <c r="F54" s="306"/>
    </row>
    <row r="55" spans="1:7" ht="15.75" x14ac:dyDescent="0.25">
      <c r="A55" s="344" t="s">
        <v>777</v>
      </c>
      <c r="B55" s="302" t="s">
        <v>698</v>
      </c>
      <c r="C55" s="302" t="s">
        <v>704</v>
      </c>
      <c r="D55" s="346">
        <v>1</v>
      </c>
      <c r="E55" s="340"/>
      <c r="F55" s="306"/>
    </row>
    <row r="56" spans="1:7" ht="31.5" x14ac:dyDescent="0.25">
      <c r="A56" s="344" t="s">
        <v>778</v>
      </c>
      <c r="B56" s="302" t="s">
        <v>700</v>
      </c>
      <c r="C56" s="302" t="s">
        <v>701</v>
      </c>
      <c r="D56" s="346">
        <v>8</v>
      </c>
      <c r="E56" s="340"/>
      <c r="F56" s="306"/>
    </row>
    <row r="57" spans="1:7" ht="15.75" x14ac:dyDescent="0.25">
      <c r="A57" s="307"/>
      <c r="B57" s="1240" t="s">
        <v>105</v>
      </c>
      <c r="C57" s="1240"/>
      <c r="D57" s="1240"/>
      <c r="E57" s="1238"/>
      <c r="F57" s="308"/>
    </row>
    <row r="58" spans="1:7" ht="16.5" thickBot="1" x14ac:dyDescent="0.3">
      <c r="A58" s="344" t="s">
        <v>106</v>
      </c>
      <c r="B58" s="302" t="s">
        <v>65</v>
      </c>
      <c r="C58" s="345" t="s">
        <v>0</v>
      </c>
      <c r="D58" s="360">
        <v>8.8000000000000007</v>
      </c>
      <c r="E58" s="347"/>
      <c r="F58" s="40"/>
    </row>
    <row r="59" spans="1:7" ht="16.5" thickBot="1" x14ac:dyDescent="0.3">
      <c r="A59" s="344" t="s">
        <v>107</v>
      </c>
      <c r="B59" s="821" t="s">
        <v>122</v>
      </c>
      <c r="C59" s="345" t="s">
        <v>721</v>
      </c>
      <c r="D59" s="360">
        <v>2500</v>
      </c>
      <c r="E59" s="305" t="s">
        <v>722</v>
      </c>
      <c r="F59" s="334" t="s">
        <v>285</v>
      </c>
    </row>
    <row r="60" spans="1:7" s="362" customFormat="1" ht="16.5" thickBot="1" x14ac:dyDescent="0.3">
      <c r="A60" s="357" t="s">
        <v>2424</v>
      </c>
      <c r="B60" s="821" t="s">
        <v>2425</v>
      </c>
      <c r="C60" s="359" t="s">
        <v>721</v>
      </c>
      <c r="D60" s="360">
        <v>1000</v>
      </c>
      <c r="E60" s="818"/>
      <c r="F60" s="819"/>
    </row>
    <row r="61" spans="1:7" ht="21.75" customHeight="1" thickBot="1" x14ac:dyDescent="0.3">
      <c r="A61" s="344" t="s">
        <v>109</v>
      </c>
      <c r="B61" s="302" t="s">
        <v>110</v>
      </c>
      <c r="C61" s="345" t="s">
        <v>721</v>
      </c>
      <c r="D61" s="346">
        <v>1000</v>
      </c>
      <c r="E61" s="305" t="s">
        <v>641</v>
      </c>
      <c r="F61" s="40" t="s">
        <v>262</v>
      </c>
    </row>
    <row r="62" spans="1:7" ht="16.5" thickBot="1" x14ac:dyDescent="0.3">
      <c r="A62" s="344" t="s">
        <v>111</v>
      </c>
      <c r="B62" s="302" t="s">
        <v>73</v>
      </c>
      <c r="C62" s="345" t="s">
        <v>721</v>
      </c>
      <c r="D62" s="346">
        <v>1800</v>
      </c>
      <c r="E62" s="305" t="s">
        <v>641</v>
      </c>
      <c r="F62" s="40" t="s">
        <v>262</v>
      </c>
      <c r="G62" t="s">
        <v>672</v>
      </c>
    </row>
    <row r="63" spans="1:7" ht="32.25" thickBot="1" x14ac:dyDescent="0.3">
      <c r="A63" s="344" t="s">
        <v>112</v>
      </c>
      <c r="B63" s="302" t="s">
        <v>98</v>
      </c>
      <c r="C63" s="345" t="s">
        <v>723</v>
      </c>
      <c r="D63" s="346">
        <v>5000</v>
      </c>
      <c r="E63" s="305" t="s">
        <v>625</v>
      </c>
      <c r="F63" s="40" t="s">
        <v>261</v>
      </c>
    </row>
    <row r="64" spans="1:7" ht="36.75" customHeight="1" thickBot="1" x14ac:dyDescent="0.3">
      <c r="A64" s="344" t="s">
        <v>113</v>
      </c>
      <c r="B64" s="302" t="s">
        <v>71</v>
      </c>
      <c r="C64" s="345"/>
      <c r="D64" s="346"/>
      <c r="E64" s="305" t="s">
        <v>625</v>
      </c>
      <c r="F64" s="40" t="s">
        <v>256</v>
      </c>
      <c r="G64" t="s">
        <v>626</v>
      </c>
    </row>
    <row r="65" spans="1:8" ht="36.75" customHeight="1" thickBot="1" x14ac:dyDescent="0.3">
      <c r="A65" s="344" t="s">
        <v>724</v>
      </c>
      <c r="B65" s="302" t="s">
        <v>628</v>
      </c>
      <c r="C65" s="345" t="s">
        <v>211</v>
      </c>
      <c r="D65" s="346">
        <v>18</v>
      </c>
      <c r="E65" s="305"/>
      <c r="F65" s="40"/>
    </row>
    <row r="66" spans="1:8" ht="36" customHeight="1" thickBot="1" x14ac:dyDescent="0.3">
      <c r="A66" s="344" t="s">
        <v>725</v>
      </c>
      <c r="B66" s="302" t="s">
        <v>630</v>
      </c>
      <c r="C66" s="345" t="s">
        <v>211</v>
      </c>
      <c r="D66" s="346">
        <v>18</v>
      </c>
      <c r="E66" s="305"/>
      <c r="F66" s="40"/>
    </row>
    <row r="67" spans="1:8" ht="36.75" hidden="1" customHeight="1" x14ac:dyDescent="0.25">
      <c r="A67" s="335" t="s">
        <v>726</v>
      </c>
      <c r="B67" s="310" t="s">
        <v>632</v>
      </c>
      <c r="C67" s="311" t="s">
        <v>211</v>
      </c>
      <c r="D67" s="336"/>
      <c r="E67" s="305"/>
      <c r="F67" s="40"/>
    </row>
    <row r="68" spans="1:8" ht="36.75" hidden="1" customHeight="1" x14ac:dyDescent="0.25">
      <c r="A68" s="335" t="s">
        <v>727</v>
      </c>
      <c r="B68" s="310" t="s">
        <v>634</v>
      </c>
      <c r="C68" s="311" t="s">
        <v>211</v>
      </c>
      <c r="D68" s="336"/>
      <c r="E68" s="305"/>
      <c r="F68" s="40"/>
    </row>
    <row r="69" spans="1:8" ht="21.75" customHeight="1" thickBot="1" x14ac:dyDescent="0.3">
      <c r="A69" s="344" t="s">
        <v>114</v>
      </c>
      <c r="B69" s="302" t="s">
        <v>115</v>
      </c>
      <c r="C69" s="345" t="s">
        <v>211</v>
      </c>
      <c r="D69" s="346">
        <v>3</v>
      </c>
      <c r="E69" s="347"/>
      <c r="F69" s="40"/>
      <c r="H69" t="s">
        <v>281</v>
      </c>
    </row>
    <row r="70" spans="1:8" ht="43.5" customHeight="1" thickBot="1" x14ac:dyDescent="0.4">
      <c r="A70" s="320" t="s">
        <v>116</v>
      </c>
      <c r="B70" s="321" t="s">
        <v>117</v>
      </c>
      <c r="C70" s="337" t="s">
        <v>728</v>
      </c>
      <c r="D70" s="338" t="s">
        <v>729</v>
      </c>
      <c r="E70" s="318" t="s">
        <v>646</v>
      </c>
      <c r="F70" s="40" t="s">
        <v>283</v>
      </c>
      <c r="H70" s="339" t="s">
        <v>623</v>
      </c>
    </row>
    <row r="71" spans="1:8" ht="16.5" thickBot="1" x14ac:dyDescent="0.3">
      <c r="A71" s="344" t="s">
        <v>118</v>
      </c>
      <c r="B71" s="302" t="s">
        <v>104</v>
      </c>
      <c r="C71" s="345" t="s">
        <v>721</v>
      </c>
      <c r="D71" s="346">
        <v>1800</v>
      </c>
      <c r="E71" s="305" t="s">
        <v>641</v>
      </c>
      <c r="F71" s="40" t="s">
        <v>259</v>
      </c>
      <c r="G71" t="s">
        <v>638</v>
      </c>
    </row>
    <row r="72" spans="1:8" ht="15.75" x14ac:dyDescent="0.25">
      <c r="A72" s="344" t="s">
        <v>730</v>
      </c>
      <c r="B72" s="302" t="s">
        <v>679</v>
      </c>
      <c r="C72" s="345"/>
      <c r="D72" s="346"/>
      <c r="E72" s="305"/>
      <c r="F72" s="306"/>
    </row>
    <row r="73" spans="1:8" ht="15.75" x14ac:dyDescent="0.25">
      <c r="A73" s="328" t="s">
        <v>731</v>
      </c>
      <c r="B73" s="329" t="s">
        <v>681</v>
      </c>
      <c r="C73" s="302" t="s">
        <v>660</v>
      </c>
      <c r="D73" s="346">
        <v>150</v>
      </c>
      <c r="E73" s="340"/>
      <c r="F73" s="306"/>
    </row>
    <row r="74" spans="1:8" ht="15.75" x14ac:dyDescent="0.25">
      <c r="A74" s="328" t="s">
        <v>732</v>
      </c>
      <c r="B74" s="329" t="s">
        <v>683</v>
      </c>
      <c r="C74" s="302" t="s">
        <v>660</v>
      </c>
      <c r="D74" s="346">
        <v>200</v>
      </c>
      <c r="E74" s="340"/>
      <c r="F74" s="306"/>
    </row>
    <row r="75" spans="1:8" ht="15.75" x14ac:dyDescent="0.25">
      <c r="A75" s="328" t="s">
        <v>733</v>
      </c>
      <c r="B75" s="302" t="s">
        <v>689</v>
      </c>
      <c r="C75" s="345"/>
      <c r="D75" s="346"/>
      <c r="E75" s="340"/>
      <c r="F75" s="306"/>
    </row>
    <row r="76" spans="1:8" ht="63" x14ac:dyDescent="0.25">
      <c r="A76" s="328" t="s">
        <v>734</v>
      </c>
      <c r="B76" s="302" t="s">
        <v>691</v>
      </c>
      <c r="C76" s="302" t="s">
        <v>692</v>
      </c>
      <c r="D76" s="345" t="s">
        <v>735</v>
      </c>
      <c r="E76" s="340"/>
      <c r="F76" s="306"/>
    </row>
    <row r="77" spans="1:8" ht="15.75" x14ac:dyDescent="0.25">
      <c r="A77" s="328" t="s">
        <v>736</v>
      </c>
      <c r="B77" s="329" t="s">
        <v>737</v>
      </c>
      <c r="C77" s="302" t="s">
        <v>696</v>
      </c>
      <c r="D77" s="346">
        <v>20</v>
      </c>
      <c r="E77" s="340"/>
      <c r="F77" s="306"/>
    </row>
    <row r="78" spans="1:8" ht="15.75" x14ac:dyDescent="0.25">
      <c r="A78" s="328" t="s">
        <v>738</v>
      </c>
      <c r="B78" s="302" t="s">
        <v>698</v>
      </c>
      <c r="C78" s="302"/>
      <c r="D78" s="346"/>
      <c r="E78" s="340"/>
      <c r="F78" s="306"/>
    </row>
    <row r="79" spans="1:8" ht="31.5" x14ac:dyDescent="0.25">
      <c r="A79" s="328" t="s">
        <v>739</v>
      </c>
      <c r="B79" s="302" t="s">
        <v>700</v>
      </c>
      <c r="C79" s="302" t="s">
        <v>701</v>
      </c>
      <c r="D79" s="346">
        <v>8</v>
      </c>
      <c r="E79" s="340"/>
      <c r="F79" s="306"/>
    </row>
    <row r="80" spans="1:8" ht="15.75" x14ac:dyDescent="0.25">
      <c r="A80" s="328" t="s">
        <v>740</v>
      </c>
      <c r="B80" s="329" t="s">
        <v>703</v>
      </c>
      <c r="C80" s="302" t="s">
        <v>704</v>
      </c>
      <c r="D80" s="346">
        <v>3</v>
      </c>
      <c r="E80" s="340"/>
      <c r="F80" s="306"/>
    </row>
    <row r="81" spans="1:7" s="362" customFormat="1" ht="15.75" x14ac:dyDescent="0.25">
      <c r="A81" s="357"/>
      <c r="B81" s="815" t="s">
        <v>2374</v>
      </c>
      <c r="C81" s="359" t="s">
        <v>660</v>
      </c>
      <c r="D81" s="360">
        <v>260</v>
      </c>
      <c r="E81" s="817"/>
      <c r="F81" s="363" t="s">
        <v>2375</v>
      </c>
    </row>
    <row r="82" spans="1:7" ht="15.75" x14ac:dyDescent="0.25">
      <c r="A82" s="319"/>
      <c r="B82" s="1237" t="s">
        <v>119</v>
      </c>
      <c r="C82" s="1237"/>
      <c r="D82" s="1237"/>
      <c r="E82" s="1238"/>
      <c r="F82" s="308"/>
    </row>
    <row r="83" spans="1:7" ht="16.5" thickBot="1" x14ac:dyDescent="0.3">
      <c r="A83" s="344" t="s">
        <v>120</v>
      </c>
      <c r="B83" s="302" t="s">
        <v>65</v>
      </c>
      <c r="C83" s="345" t="s">
        <v>0</v>
      </c>
      <c r="D83" s="346">
        <v>1.6</v>
      </c>
      <c r="E83" s="347"/>
      <c r="F83" s="40"/>
    </row>
    <row r="84" spans="1:7" ht="16.5" thickBot="1" x14ac:dyDescent="0.3">
      <c r="A84" s="344" t="s">
        <v>121</v>
      </c>
      <c r="B84" s="302" t="s">
        <v>122</v>
      </c>
      <c r="C84" s="345" t="s">
        <v>620</v>
      </c>
      <c r="D84" s="346">
        <v>900</v>
      </c>
      <c r="E84" s="305" t="s">
        <v>641</v>
      </c>
      <c r="F84" s="40" t="s">
        <v>284</v>
      </c>
      <c r="G84" t="s">
        <v>659</v>
      </c>
    </row>
    <row r="85" spans="1:7" ht="16.5" thickBot="1" x14ac:dyDescent="0.3">
      <c r="A85" s="344" t="s">
        <v>123</v>
      </c>
      <c r="B85" s="302" t="s">
        <v>124</v>
      </c>
      <c r="C85" s="345" t="s">
        <v>183</v>
      </c>
      <c r="D85" s="346">
        <v>100</v>
      </c>
      <c r="E85" s="305" t="s">
        <v>623</v>
      </c>
      <c r="F85" s="40" t="s">
        <v>286</v>
      </c>
    </row>
    <row r="86" spans="1:7" ht="16.5" thickBot="1" x14ac:dyDescent="0.3">
      <c r="A86" s="344" t="s">
        <v>125</v>
      </c>
      <c r="B86" s="302" t="s">
        <v>73</v>
      </c>
      <c r="C86" s="345" t="s">
        <v>620</v>
      </c>
      <c r="D86" s="346">
        <v>450</v>
      </c>
      <c r="E86" s="305" t="s">
        <v>641</v>
      </c>
      <c r="F86" s="40" t="s">
        <v>262</v>
      </c>
      <c r="G86" t="s">
        <v>672</v>
      </c>
    </row>
    <row r="87" spans="1:7" ht="95.25" thickBot="1" x14ac:dyDescent="0.3">
      <c r="A87" s="344" t="s">
        <v>126</v>
      </c>
      <c r="B87" s="302" t="s">
        <v>127</v>
      </c>
      <c r="C87" s="345" t="s">
        <v>0</v>
      </c>
      <c r="D87" s="346">
        <v>1</v>
      </c>
      <c r="E87" s="305" t="s">
        <v>662</v>
      </c>
      <c r="F87" s="327" t="s">
        <v>291</v>
      </c>
    </row>
    <row r="88" spans="1:7" ht="32.25" thickBot="1" x14ac:dyDescent="0.3">
      <c r="A88" s="344" t="s">
        <v>128</v>
      </c>
      <c r="B88" s="302" t="s">
        <v>71</v>
      </c>
      <c r="C88" s="345"/>
      <c r="D88" s="346"/>
      <c r="E88" s="305" t="s">
        <v>673</v>
      </c>
      <c r="F88" s="40" t="s">
        <v>256</v>
      </c>
      <c r="G88" t="s">
        <v>626</v>
      </c>
    </row>
    <row r="89" spans="1:7" ht="16.5" thickBot="1" x14ac:dyDescent="0.3">
      <c r="A89" s="344" t="s">
        <v>674</v>
      </c>
      <c r="B89" s="302" t="s">
        <v>628</v>
      </c>
      <c r="C89" s="345" t="s">
        <v>211</v>
      </c>
      <c r="D89" s="346">
        <v>6</v>
      </c>
      <c r="E89" s="305"/>
      <c r="F89" s="40"/>
    </row>
    <row r="90" spans="1:7" ht="0.75" customHeight="1" thickBot="1" x14ac:dyDescent="0.3">
      <c r="A90" s="307" t="s">
        <v>1101</v>
      </c>
      <c r="B90" s="310" t="s">
        <v>630</v>
      </c>
      <c r="C90" s="311" t="s">
        <v>211</v>
      </c>
      <c r="D90" s="312"/>
      <c r="E90" s="305"/>
      <c r="F90" s="40"/>
    </row>
    <row r="91" spans="1:7" ht="16.5" thickBot="1" x14ac:dyDescent="0.3">
      <c r="A91" s="344" t="s">
        <v>675</v>
      </c>
      <c r="B91" s="302" t="s">
        <v>632</v>
      </c>
      <c r="C91" s="345" t="s">
        <v>211</v>
      </c>
      <c r="D91" s="346">
        <v>3</v>
      </c>
      <c r="E91" s="305"/>
      <c r="F91" s="40"/>
    </row>
    <row r="92" spans="1:7" ht="0.75" customHeight="1" thickBot="1" x14ac:dyDescent="0.3">
      <c r="A92" s="307" t="s">
        <v>1102</v>
      </c>
      <c r="B92" s="310" t="s">
        <v>634</v>
      </c>
      <c r="C92" s="311" t="s">
        <v>211</v>
      </c>
      <c r="D92" s="312"/>
      <c r="E92" s="305"/>
      <c r="F92" s="40"/>
    </row>
    <row r="93" spans="1:7" ht="16.5" thickBot="1" x14ac:dyDescent="0.3">
      <c r="A93" s="344" t="s">
        <v>129</v>
      </c>
      <c r="B93" s="302" t="s">
        <v>79</v>
      </c>
      <c r="C93" s="345" t="s">
        <v>211</v>
      </c>
      <c r="D93" s="346">
        <v>15</v>
      </c>
      <c r="E93" s="305" t="s">
        <v>676</v>
      </c>
      <c r="F93" s="40" t="s">
        <v>254</v>
      </c>
    </row>
    <row r="94" spans="1:7" ht="16.5" thickBot="1" x14ac:dyDescent="0.3">
      <c r="A94" s="320" t="s">
        <v>130</v>
      </c>
      <c r="B94" s="321" t="s">
        <v>82</v>
      </c>
      <c r="C94" s="322" t="s">
        <v>668</v>
      </c>
      <c r="D94" s="323" t="s">
        <v>669</v>
      </c>
      <c r="E94" s="305" t="s">
        <v>676</v>
      </c>
      <c r="F94" s="40" t="s">
        <v>254</v>
      </c>
      <c r="G94" t="s">
        <v>638</v>
      </c>
    </row>
    <row r="95" spans="1:7" ht="63.75" thickBot="1" x14ac:dyDescent="0.3">
      <c r="A95" s="344" t="s">
        <v>131</v>
      </c>
      <c r="B95" s="302" t="s">
        <v>132</v>
      </c>
      <c r="C95" s="345" t="s">
        <v>622</v>
      </c>
      <c r="D95" s="346">
        <v>1</v>
      </c>
      <c r="E95" s="318" t="s">
        <v>670</v>
      </c>
      <c r="F95" s="315" t="s">
        <v>677</v>
      </c>
      <c r="G95" t="s">
        <v>650</v>
      </c>
    </row>
    <row r="96" spans="1:7" ht="15.75" x14ac:dyDescent="0.25">
      <c r="A96" s="344" t="s">
        <v>678</v>
      </c>
      <c r="B96" s="302" t="s">
        <v>679</v>
      </c>
      <c r="C96" s="345"/>
      <c r="D96" s="346"/>
      <c r="E96" s="318"/>
      <c r="F96" s="306"/>
    </row>
    <row r="97" spans="1:7" ht="15.75" x14ac:dyDescent="0.25">
      <c r="A97" s="328" t="s">
        <v>680</v>
      </c>
      <c r="B97" s="329" t="s">
        <v>681</v>
      </c>
      <c r="C97" s="302" t="s">
        <v>660</v>
      </c>
      <c r="D97" s="346">
        <v>300</v>
      </c>
      <c r="E97" s="330"/>
      <c r="F97" s="306"/>
    </row>
    <row r="98" spans="1:7" ht="15.75" x14ac:dyDescent="0.25">
      <c r="A98" s="328" t="s">
        <v>682</v>
      </c>
      <c r="B98" s="329" t="s">
        <v>683</v>
      </c>
      <c r="C98" s="302" t="s">
        <v>660</v>
      </c>
      <c r="D98" s="346">
        <v>400</v>
      </c>
      <c r="E98" s="330"/>
      <c r="F98" s="306"/>
    </row>
    <row r="99" spans="1:7" ht="15.75" x14ac:dyDescent="0.25">
      <c r="A99" s="328" t="s">
        <v>684</v>
      </c>
      <c r="B99" s="329" t="s">
        <v>685</v>
      </c>
      <c r="C99" s="302" t="s">
        <v>660</v>
      </c>
      <c r="D99" s="346">
        <v>400</v>
      </c>
      <c r="E99" s="330"/>
      <c r="F99" s="306"/>
    </row>
    <row r="100" spans="1:7" ht="15.75" x14ac:dyDescent="0.25">
      <c r="A100" s="328" t="s">
        <v>686</v>
      </c>
      <c r="B100" s="329" t="s">
        <v>687</v>
      </c>
      <c r="C100" s="302" t="s">
        <v>660</v>
      </c>
      <c r="D100" s="346">
        <v>400</v>
      </c>
      <c r="E100" s="330"/>
      <c r="F100" s="306"/>
    </row>
    <row r="101" spans="1:7" ht="15.75" x14ac:dyDescent="0.25">
      <c r="A101" s="328" t="s">
        <v>688</v>
      </c>
      <c r="B101" s="329" t="s">
        <v>689</v>
      </c>
      <c r="C101" s="302"/>
      <c r="D101" s="346"/>
      <c r="E101" s="330"/>
      <c r="F101" s="306"/>
    </row>
    <row r="102" spans="1:7" ht="63" x14ac:dyDescent="0.25">
      <c r="A102" s="328" t="s">
        <v>690</v>
      </c>
      <c r="B102" s="302" t="s">
        <v>691</v>
      </c>
      <c r="C102" s="302" t="s">
        <v>692</v>
      </c>
      <c r="D102" s="345" t="s">
        <v>693</v>
      </c>
      <c r="E102" s="330"/>
      <c r="F102" s="306"/>
    </row>
    <row r="103" spans="1:7" ht="15.75" x14ac:dyDescent="0.25">
      <c r="A103" s="328" t="s">
        <v>694</v>
      </c>
      <c r="B103" s="329" t="s">
        <v>695</v>
      </c>
      <c r="C103" s="302" t="s">
        <v>696</v>
      </c>
      <c r="D103" s="346">
        <v>26</v>
      </c>
      <c r="E103" s="330"/>
      <c r="F103" s="306"/>
    </row>
    <row r="104" spans="1:7" ht="15.75" x14ac:dyDescent="0.25">
      <c r="A104" s="328" t="s">
        <v>697</v>
      </c>
      <c r="B104" s="302" t="s">
        <v>698</v>
      </c>
      <c r="C104" s="302"/>
      <c r="D104" s="346"/>
      <c r="E104" s="330"/>
      <c r="F104" s="306"/>
    </row>
    <row r="105" spans="1:7" ht="31.5" x14ac:dyDescent="0.25">
      <c r="A105" s="328" t="s">
        <v>699</v>
      </c>
      <c r="B105" s="302" t="s">
        <v>700</v>
      </c>
      <c r="C105" s="302" t="s">
        <v>701</v>
      </c>
      <c r="D105" s="346">
        <v>10</v>
      </c>
      <c r="E105" s="330"/>
      <c r="F105" s="306"/>
    </row>
    <row r="106" spans="1:7" ht="15.75" x14ac:dyDescent="0.25">
      <c r="A106" s="328" t="s">
        <v>702</v>
      </c>
      <c r="B106" s="329" t="s">
        <v>703</v>
      </c>
      <c r="C106" s="302" t="s">
        <v>704</v>
      </c>
      <c r="D106" s="346">
        <v>0</v>
      </c>
      <c r="E106" s="330"/>
      <c r="F106" s="306"/>
    </row>
    <row r="107" spans="1:7" s="362" customFormat="1" ht="15.75" x14ac:dyDescent="0.25">
      <c r="A107" s="357"/>
      <c r="B107" s="815" t="s">
        <v>2374</v>
      </c>
      <c r="C107" s="359" t="s">
        <v>660</v>
      </c>
      <c r="D107" s="360">
        <v>510</v>
      </c>
      <c r="E107" s="817"/>
      <c r="F107" s="363" t="s">
        <v>2375</v>
      </c>
    </row>
    <row r="108" spans="1:7" ht="15.75" x14ac:dyDescent="0.25">
      <c r="A108" s="319"/>
      <c r="B108" s="1237" t="s">
        <v>133</v>
      </c>
      <c r="C108" s="1237"/>
      <c r="D108" s="1237"/>
      <c r="E108" s="1238"/>
      <c r="F108" s="308"/>
    </row>
    <row r="109" spans="1:7" ht="16.5" thickBot="1" x14ac:dyDescent="0.3">
      <c r="A109" s="344" t="s">
        <v>134</v>
      </c>
      <c r="B109" s="302" t="s">
        <v>65</v>
      </c>
      <c r="C109" s="345" t="s">
        <v>0</v>
      </c>
      <c r="D109" s="346">
        <v>1.2</v>
      </c>
      <c r="E109" s="347"/>
      <c r="F109" s="40"/>
    </row>
    <row r="110" spans="1:7" ht="16.5" thickBot="1" x14ac:dyDescent="0.3">
      <c r="A110" s="344" t="s">
        <v>135</v>
      </c>
      <c r="B110" s="302" t="s">
        <v>122</v>
      </c>
      <c r="C110" s="345" t="s">
        <v>620</v>
      </c>
      <c r="D110" s="346">
        <v>700</v>
      </c>
      <c r="E110" s="305" t="s">
        <v>641</v>
      </c>
      <c r="F110" s="40" t="s">
        <v>284</v>
      </c>
      <c r="G110" t="s">
        <v>659</v>
      </c>
    </row>
    <row r="111" spans="1:7" ht="16.5" thickBot="1" x14ac:dyDescent="0.3">
      <c r="A111" s="344" t="s">
        <v>136</v>
      </c>
      <c r="B111" s="302" t="s">
        <v>73</v>
      </c>
      <c r="C111" s="345" t="s">
        <v>660</v>
      </c>
      <c r="D111" s="346">
        <v>650</v>
      </c>
      <c r="E111" s="305" t="s">
        <v>641</v>
      </c>
      <c r="F111" s="40" t="s">
        <v>262</v>
      </c>
      <c r="G111" t="s">
        <v>661</v>
      </c>
    </row>
    <row r="112" spans="1:7" ht="32.25" thickBot="1" x14ac:dyDescent="0.3">
      <c r="A112" s="344" t="s">
        <v>137</v>
      </c>
      <c r="B112" s="302" t="s">
        <v>127</v>
      </c>
      <c r="C112" s="345"/>
      <c r="D112" s="325">
        <v>0.8</v>
      </c>
      <c r="E112" s="305" t="s">
        <v>662</v>
      </c>
      <c r="F112" s="40" t="s">
        <v>287</v>
      </c>
    </row>
    <row r="113" spans="1:7" ht="32.25" thickBot="1" x14ac:dyDescent="0.3">
      <c r="A113" s="344" t="s">
        <v>138</v>
      </c>
      <c r="B113" s="302" t="s">
        <v>71</v>
      </c>
      <c r="C113" s="345"/>
      <c r="D113" s="346"/>
      <c r="E113" s="305" t="s">
        <v>625</v>
      </c>
      <c r="F113" s="40" t="s">
        <v>256</v>
      </c>
      <c r="G113" t="s">
        <v>626</v>
      </c>
    </row>
    <row r="114" spans="1:7" ht="15" customHeight="1" thickBot="1" x14ac:dyDescent="0.3">
      <c r="A114" s="344" t="s">
        <v>663</v>
      </c>
      <c r="B114" s="302" t="s">
        <v>628</v>
      </c>
      <c r="C114" s="345" t="s">
        <v>211</v>
      </c>
      <c r="D114" s="346">
        <v>8</v>
      </c>
      <c r="E114" s="305"/>
      <c r="F114" s="40"/>
    </row>
    <row r="115" spans="1:7" ht="32.25" hidden="1" thickBot="1" x14ac:dyDescent="0.3">
      <c r="A115" s="307" t="s">
        <v>664</v>
      </c>
      <c r="B115" s="310" t="s">
        <v>630</v>
      </c>
      <c r="C115" s="311" t="s">
        <v>211</v>
      </c>
      <c r="D115" s="312"/>
      <c r="E115" s="305"/>
      <c r="F115" s="40"/>
    </row>
    <row r="116" spans="1:7" ht="16.5" hidden="1" thickBot="1" x14ac:dyDescent="0.3">
      <c r="A116" s="307" t="s">
        <v>665</v>
      </c>
      <c r="B116" s="310" t="s">
        <v>632</v>
      </c>
      <c r="C116" s="311" t="s">
        <v>211</v>
      </c>
      <c r="D116" s="312"/>
      <c r="E116" s="305"/>
      <c r="F116" s="40"/>
    </row>
    <row r="117" spans="1:7" ht="16.5" thickBot="1" x14ac:dyDescent="0.3">
      <c r="A117" s="344" t="s">
        <v>666</v>
      </c>
      <c r="B117" s="302" t="s">
        <v>634</v>
      </c>
      <c r="C117" s="345" t="s">
        <v>211</v>
      </c>
      <c r="D117" s="346">
        <v>4</v>
      </c>
      <c r="E117" s="305"/>
      <c r="F117" s="40"/>
    </row>
    <row r="118" spans="1:7" ht="16.5" thickBot="1" x14ac:dyDescent="0.3">
      <c r="A118" s="344" t="s">
        <v>139</v>
      </c>
      <c r="B118" s="302" t="s">
        <v>79</v>
      </c>
      <c r="C118" s="345" t="s">
        <v>211</v>
      </c>
      <c r="D118" s="346">
        <v>10</v>
      </c>
      <c r="E118" s="305" t="s">
        <v>667</v>
      </c>
      <c r="F118" s="40" t="s">
        <v>254</v>
      </c>
    </row>
    <row r="119" spans="1:7" ht="16.5" thickBot="1" x14ac:dyDescent="0.3">
      <c r="A119" s="320" t="s">
        <v>140</v>
      </c>
      <c r="B119" s="321" t="s">
        <v>82</v>
      </c>
      <c r="C119" s="322" t="s">
        <v>668</v>
      </c>
      <c r="D119" s="323" t="s">
        <v>669</v>
      </c>
      <c r="E119" s="305" t="s">
        <v>635</v>
      </c>
      <c r="F119" s="40" t="s">
        <v>254</v>
      </c>
      <c r="G119" t="s">
        <v>638</v>
      </c>
    </row>
    <row r="120" spans="1:7" ht="63" x14ac:dyDescent="0.25">
      <c r="A120" s="344" t="s">
        <v>141</v>
      </c>
      <c r="B120" s="302" t="s">
        <v>132</v>
      </c>
      <c r="C120" s="345" t="s">
        <v>622</v>
      </c>
      <c r="D120" s="346">
        <v>1</v>
      </c>
      <c r="E120" s="318" t="s">
        <v>670</v>
      </c>
      <c r="F120" s="324" t="s">
        <v>649</v>
      </c>
      <c r="G120" t="s">
        <v>650</v>
      </c>
    </row>
    <row r="121" spans="1:7" s="362" customFormat="1" ht="15.75" x14ac:dyDescent="0.25">
      <c r="A121" s="357"/>
      <c r="B121" s="815" t="s">
        <v>2374</v>
      </c>
      <c r="C121" s="359" t="s">
        <v>660</v>
      </c>
      <c r="D121" s="360">
        <v>520</v>
      </c>
      <c r="E121" s="817"/>
      <c r="F121" s="363" t="s">
        <v>2375</v>
      </c>
    </row>
    <row r="122" spans="1:7" ht="15.75" x14ac:dyDescent="0.25">
      <c r="A122" s="307"/>
      <c r="B122" s="1240" t="s">
        <v>142</v>
      </c>
      <c r="C122" s="1240"/>
      <c r="D122" s="1240"/>
      <c r="E122" s="1238"/>
      <c r="F122" s="404"/>
    </row>
    <row r="123" spans="1:7" ht="15.75" x14ac:dyDescent="0.25">
      <c r="A123" s="344" t="s">
        <v>143</v>
      </c>
      <c r="B123" s="302" t="s">
        <v>65</v>
      </c>
      <c r="C123" s="345" t="s">
        <v>0</v>
      </c>
      <c r="D123" s="457">
        <f>D125+D153+D165</f>
        <v>4</v>
      </c>
      <c r="E123" s="347"/>
      <c r="F123" s="405"/>
    </row>
    <row r="124" spans="1:7" ht="15.75" x14ac:dyDescent="0.25">
      <c r="A124" s="307"/>
      <c r="B124" s="1251" t="s">
        <v>144</v>
      </c>
      <c r="C124" s="1251"/>
      <c r="D124" s="1251"/>
      <c r="E124" s="1252"/>
      <c r="F124" s="308"/>
    </row>
    <row r="125" spans="1:7" ht="16.5" thickBot="1" x14ac:dyDescent="0.3">
      <c r="A125" s="344" t="s">
        <v>145</v>
      </c>
      <c r="B125" s="302" t="s">
        <v>65</v>
      </c>
      <c r="C125" s="345" t="s">
        <v>0</v>
      </c>
      <c r="D125" s="346">
        <v>1.8</v>
      </c>
      <c r="E125" s="347"/>
      <c r="F125" s="40"/>
    </row>
    <row r="126" spans="1:7" ht="79.5" thickBot="1" x14ac:dyDescent="0.3">
      <c r="A126" s="344" t="s">
        <v>146</v>
      </c>
      <c r="B126" s="302" t="s">
        <v>147</v>
      </c>
      <c r="C126" s="345" t="s">
        <v>622</v>
      </c>
      <c r="D126" s="346">
        <v>1</v>
      </c>
      <c r="E126" s="305" t="s">
        <v>639</v>
      </c>
      <c r="F126" s="315" t="s">
        <v>640</v>
      </c>
    </row>
    <row r="127" spans="1:7" ht="16.5" thickBot="1" x14ac:dyDescent="0.3">
      <c r="A127" s="307" t="s">
        <v>148</v>
      </c>
      <c r="B127" s="316" t="s">
        <v>149</v>
      </c>
      <c r="C127" s="317"/>
      <c r="D127" s="312"/>
      <c r="E127" s="305" t="s">
        <v>641</v>
      </c>
      <c r="F127" s="40" t="s">
        <v>259</v>
      </c>
    </row>
    <row r="128" spans="1:7" ht="32.25" thickBot="1" x14ac:dyDescent="0.3">
      <c r="A128" s="344" t="s">
        <v>150</v>
      </c>
      <c r="B128" s="302" t="s">
        <v>71</v>
      </c>
      <c r="C128" s="345"/>
      <c r="D128" s="346"/>
      <c r="E128" s="305" t="s">
        <v>625</v>
      </c>
      <c r="F128" s="40" t="s">
        <v>256</v>
      </c>
      <c r="G128" t="s">
        <v>626</v>
      </c>
    </row>
    <row r="129" spans="1:7" ht="16.5" thickBot="1" x14ac:dyDescent="0.3">
      <c r="A129" s="344" t="s">
        <v>642</v>
      </c>
      <c r="B129" s="302" t="s">
        <v>628</v>
      </c>
      <c r="C129" s="345" t="s">
        <v>211</v>
      </c>
      <c r="D129" s="346">
        <v>10</v>
      </c>
      <c r="E129" s="305"/>
      <c r="F129" s="40"/>
    </row>
    <row r="130" spans="1:7" ht="32.25" hidden="1" thickBot="1" x14ac:dyDescent="0.3">
      <c r="A130" s="307" t="s">
        <v>643</v>
      </c>
      <c r="B130" s="310" t="s">
        <v>630</v>
      </c>
      <c r="C130" s="311" t="s">
        <v>211</v>
      </c>
      <c r="D130" s="312"/>
      <c r="E130" s="305"/>
      <c r="F130" s="40"/>
    </row>
    <row r="131" spans="1:7" ht="16.5" hidden="1" thickBot="1" x14ac:dyDescent="0.3">
      <c r="A131" s="307" t="s">
        <v>644</v>
      </c>
      <c r="B131" s="310" t="s">
        <v>632</v>
      </c>
      <c r="C131" s="311" t="s">
        <v>211</v>
      </c>
      <c r="D131" s="312"/>
      <c r="E131" s="305"/>
      <c r="F131" s="40"/>
    </row>
    <row r="132" spans="1:7" ht="16.5" thickBot="1" x14ac:dyDescent="0.3">
      <c r="A132" s="344" t="s">
        <v>645</v>
      </c>
      <c r="B132" s="302" t="s">
        <v>634</v>
      </c>
      <c r="C132" s="345" t="s">
        <v>211</v>
      </c>
      <c r="D132" s="346">
        <v>10</v>
      </c>
      <c r="E132" s="305"/>
      <c r="F132" s="40"/>
    </row>
    <row r="133" spans="1:7" ht="16.5" thickBot="1" x14ac:dyDescent="0.3">
      <c r="A133" s="344" t="s">
        <v>151</v>
      </c>
      <c r="B133" s="302" t="s">
        <v>79</v>
      </c>
      <c r="C133" s="345" t="s">
        <v>211</v>
      </c>
      <c r="D133" s="346">
        <v>30</v>
      </c>
      <c r="E133" s="305" t="s">
        <v>635</v>
      </c>
      <c r="F133" s="40" t="s">
        <v>254</v>
      </c>
    </row>
    <row r="134" spans="1:7" ht="31.5" customHeight="1" thickBot="1" x14ac:dyDescent="0.3">
      <c r="A134" s="344" t="s">
        <v>152</v>
      </c>
      <c r="B134" s="302" t="s">
        <v>117</v>
      </c>
      <c r="C134" s="345" t="s">
        <v>211</v>
      </c>
      <c r="D134" s="346">
        <v>15</v>
      </c>
      <c r="E134" s="318" t="s">
        <v>646</v>
      </c>
      <c r="F134" s="40" t="s">
        <v>283</v>
      </c>
    </row>
    <row r="135" spans="1:7" ht="16.5" thickBot="1" x14ac:dyDescent="0.3">
      <c r="A135" s="320" t="s">
        <v>153</v>
      </c>
      <c r="B135" s="321" t="s">
        <v>82</v>
      </c>
      <c r="C135" s="322" t="s">
        <v>668</v>
      </c>
      <c r="D135" s="323" t="s">
        <v>669</v>
      </c>
      <c r="E135" s="305" t="s">
        <v>648</v>
      </c>
      <c r="F135" s="40" t="s">
        <v>254</v>
      </c>
    </row>
    <row r="136" spans="1:7" ht="63.75" thickBot="1" x14ac:dyDescent="0.3">
      <c r="A136" s="344" t="s">
        <v>154</v>
      </c>
      <c r="B136" s="302" t="s">
        <v>132</v>
      </c>
      <c r="C136" s="345" t="s">
        <v>211</v>
      </c>
      <c r="D136" s="346">
        <v>1</v>
      </c>
      <c r="E136" s="305" t="s">
        <v>639</v>
      </c>
      <c r="F136" s="315" t="s">
        <v>649</v>
      </c>
      <c r="G136" t="s">
        <v>650</v>
      </c>
    </row>
    <row r="137" spans="1:7" ht="15.75" x14ac:dyDescent="0.25">
      <c r="A137" s="344" t="s">
        <v>619</v>
      </c>
      <c r="B137" s="302" t="s">
        <v>73</v>
      </c>
      <c r="C137" s="345" t="s">
        <v>620</v>
      </c>
      <c r="D137" s="346">
        <v>1600</v>
      </c>
      <c r="E137" s="305"/>
      <c r="F137" s="306"/>
    </row>
    <row r="138" spans="1:7" ht="15.75" x14ac:dyDescent="0.25">
      <c r="A138" s="344" t="s">
        <v>621</v>
      </c>
      <c r="B138" s="302" t="s">
        <v>127</v>
      </c>
      <c r="C138" s="345" t="s">
        <v>0</v>
      </c>
      <c r="D138" s="346">
        <v>1</v>
      </c>
      <c r="E138" s="305"/>
      <c r="F138" s="306"/>
    </row>
    <row r="139" spans="1:7" ht="15.75" x14ac:dyDescent="0.25">
      <c r="A139" s="307"/>
      <c r="B139" s="1251" t="s">
        <v>155</v>
      </c>
      <c r="C139" s="1251"/>
      <c r="D139" s="1251"/>
      <c r="E139" s="1252"/>
      <c r="F139" s="308"/>
    </row>
    <row r="140" spans="1:7" ht="16.5" thickBot="1" x14ac:dyDescent="0.3">
      <c r="A140" s="344" t="s">
        <v>156</v>
      </c>
      <c r="B140" s="302" t="s">
        <v>65</v>
      </c>
      <c r="C140" s="345" t="s">
        <v>0</v>
      </c>
      <c r="D140" s="346">
        <v>4.7</v>
      </c>
      <c r="E140" s="347"/>
      <c r="F140" s="40"/>
    </row>
    <row r="141" spans="1:7" ht="16.5" thickBot="1" x14ac:dyDescent="0.3">
      <c r="A141" s="344" t="s">
        <v>157</v>
      </c>
      <c r="B141" s="302" t="s">
        <v>158</v>
      </c>
      <c r="C141" s="345" t="s">
        <v>622</v>
      </c>
      <c r="D141" s="346">
        <v>1</v>
      </c>
      <c r="E141" s="305" t="s">
        <v>623</v>
      </c>
      <c r="F141" s="40" t="s">
        <v>288</v>
      </c>
    </row>
    <row r="142" spans="1:7" ht="16.5" thickBot="1" x14ac:dyDescent="0.3">
      <c r="A142" s="344" t="s">
        <v>159</v>
      </c>
      <c r="B142" s="302" t="s">
        <v>161</v>
      </c>
      <c r="C142" s="345" t="s">
        <v>211</v>
      </c>
      <c r="D142" s="346">
        <v>1</v>
      </c>
      <c r="E142" s="305" t="s">
        <v>623</v>
      </c>
      <c r="F142" s="40" t="s">
        <v>288</v>
      </c>
    </row>
    <row r="143" spans="1:7" ht="16.5" thickBot="1" x14ac:dyDescent="0.3">
      <c r="A143" s="344" t="s">
        <v>160</v>
      </c>
      <c r="B143" s="302" t="s">
        <v>163</v>
      </c>
      <c r="C143" s="345" t="s">
        <v>622</v>
      </c>
      <c r="D143" s="346">
        <v>1</v>
      </c>
      <c r="E143" s="305" t="s">
        <v>624</v>
      </c>
      <c r="F143" s="40" t="s">
        <v>288</v>
      </c>
    </row>
    <row r="144" spans="1:7" ht="32.25" thickBot="1" x14ac:dyDescent="0.3">
      <c r="A144" s="344" t="s">
        <v>162</v>
      </c>
      <c r="B144" s="302" t="s">
        <v>71</v>
      </c>
      <c r="C144" s="345"/>
      <c r="D144" s="346"/>
      <c r="E144" s="305" t="s">
        <v>625</v>
      </c>
      <c r="F144" s="40" t="s">
        <v>256</v>
      </c>
      <c r="G144" t="s">
        <v>626</v>
      </c>
    </row>
    <row r="145" spans="1:7" ht="15.75" customHeight="1" thickBot="1" x14ac:dyDescent="0.3">
      <c r="A145" s="344" t="s">
        <v>627</v>
      </c>
      <c r="B145" s="302" t="s">
        <v>628</v>
      </c>
      <c r="C145" s="345" t="s">
        <v>211</v>
      </c>
      <c r="D145" s="346">
        <v>6</v>
      </c>
      <c r="E145" s="305"/>
      <c r="F145" s="40"/>
    </row>
    <row r="146" spans="1:7" ht="32.25" hidden="1" thickBot="1" x14ac:dyDescent="0.3">
      <c r="A146" s="307" t="s">
        <v>629</v>
      </c>
      <c r="B146" s="310" t="s">
        <v>630</v>
      </c>
      <c r="C146" s="311" t="s">
        <v>211</v>
      </c>
      <c r="D146" s="312"/>
      <c r="E146" s="305"/>
      <c r="F146" s="40"/>
    </row>
    <row r="147" spans="1:7" ht="16.5" thickBot="1" x14ac:dyDescent="0.3">
      <c r="A147" s="344" t="s">
        <v>631</v>
      </c>
      <c r="B147" s="302" t="s">
        <v>632</v>
      </c>
      <c r="C147" s="345" t="s">
        <v>211</v>
      </c>
      <c r="D147" s="346">
        <v>2</v>
      </c>
      <c r="E147" s="305"/>
      <c r="F147" s="40"/>
    </row>
    <row r="148" spans="1:7" ht="16.5" thickBot="1" x14ac:dyDescent="0.3">
      <c r="A148" s="344" t="s">
        <v>633</v>
      </c>
      <c r="B148" s="302" t="s">
        <v>634</v>
      </c>
      <c r="C148" s="345" t="s">
        <v>211</v>
      </c>
      <c r="D148" s="346">
        <v>4</v>
      </c>
      <c r="E148" s="305"/>
      <c r="F148" s="40"/>
    </row>
    <row r="149" spans="1:7" ht="16.5" thickBot="1" x14ac:dyDescent="0.3">
      <c r="A149" s="344" t="s">
        <v>164</v>
      </c>
      <c r="B149" s="302" t="s">
        <v>79</v>
      </c>
      <c r="C149" s="345" t="s">
        <v>211</v>
      </c>
      <c r="D149" s="346">
        <v>20</v>
      </c>
      <c r="E149" s="305" t="s">
        <v>635</v>
      </c>
      <c r="F149" s="40" t="s">
        <v>254</v>
      </c>
    </row>
    <row r="150" spans="1:7" ht="16.5" thickBot="1" x14ac:dyDescent="0.3">
      <c r="A150" s="320" t="s">
        <v>165</v>
      </c>
      <c r="B150" s="321" t="s">
        <v>82</v>
      </c>
      <c r="C150" s="322" t="s">
        <v>636</v>
      </c>
      <c r="D150" s="323" t="s">
        <v>1103</v>
      </c>
      <c r="E150" s="305" t="s">
        <v>635</v>
      </c>
      <c r="F150" s="40" t="s">
        <v>254</v>
      </c>
      <c r="G150" t="s">
        <v>638</v>
      </c>
    </row>
    <row r="151" spans="1:7" ht="15.75" x14ac:dyDescent="0.25">
      <c r="A151" s="344" t="s">
        <v>166</v>
      </c>
      <c r="B151" s="302" t="s">
        <v>73</v>
      </c>
      <c r="C151" s="345" t="s">
        <v>620</v>
      </c>
      <c r="D151" s="346">
        <v>550</v>
      </c>
      <c r="E151" s="305"/>
      <c r="F151" s="306"/>
    </row>
    <row r="152" spans="1:7" ht="15.75" x14ac:dyDescent="0.25">
      <c r="A152" s="307"/>
      <c r="B152" s="1251" t="s">
        <v>167</v>
      </c>
      <c r="C152" s="1251"/>
      <c r="D152" s="1251"/>
      <c r="E152" s="1252"/>
      <c r="F152" s="308"/>
    </row>
    <row r="153" spans="1:7" ht="16.5" thickBot="1" x14ac:dyDescent="0.3">
      <c r="A153" s="344" t="s">
        <v>168</v>
      </c>
      <c r="B153" s="302" t="s">
        <v>65</v>
      </c>
      <c r="C153" s="345" t="s">
        <v>0</v>
      </c>
      <c r="D153" s="346">
        <v>0.4</v>
      </c>
      <c r="E153" s="347"/>
      <c r="F153" s="40"/>
    </row>
    <row r="154" spans="1:7" ht="16.5" thickBot="1" x14ac:dyDescent="0.3">
      <c r="A154" s="344" t="s">
        <v>169</v>
      </c>
      <c r="B154" s="302" t="s">
        <v>170</v>
      </c>
      <c r="C154" s="345" t="s">
        <v>183</v>
      </c>
      <c r="D154" s="346">
        <v>60</v>
      </c>
      <c r="E154" s="305" t="s">
        <v>623</v>
      </c>
      <c r="F154" s="40" t="s">
        <v>288</v>
      </c>
    </row>
    <row r="155" spans="1:7" ht="32.25" thickBot="1" x14ac:dyDescent="0.3">
      <c r="A155" s="344" t="s">
        <v>171</v>
      </c>
      <c r="B155" s="302" t="s">
        <v>71</v>
      </c>
      <c r="C155" s="345"/>
      <c r="D155" s="346"/>
      <c r="E155" s="305" t="s">
        <v>625</v>
      </c>
      <c r="F155" s="40" t="s">
        <v>256</v>
      </c>
    </row>
    <row r="156" spans="1:7" ht="16.5" thickBot="1" x14ac:dyDescent="0.3">
      <c r="A156" s="344" t="s">
        <v>977</v>
      </c>
      <c r="B156" s="302" t="s">
        <v>628</v>
      </c>
      <c r="C156" s="345" t="s">
        <v>211</v>
      </c>
      <c r="D156" s="346">
        <v>2</v>
      </c>
      <c r="E156" s="305"/>
      <c r="F156" s="40"/>
    </row>
    <row r="157" spans="1:7" ht="31.5" customHeight="1" thickBot="1" x14ac:dyDescent="0.3">
      <c r="A157" s="344" t="s">
        <v>978</v>
      </c>
      <c r="B157" s="302" t="s">
        <v>630</v>
      </c>
      <c r="C157" s="345" t="s">
        <v>211</v>
      </c>
      <c r="D157" s="346">
        <v>2</v>
      </c>
      <c r="E157" s="305"/>
      <c r="F157" s="40"/>
    </row>
    <row r="158" spans="1:7" ht="16.5" hidden="1" thickBot="1" x14ac:dyDescent="0.3">
      <c r="A158" s="307" t="s">
        <v>979</v>
      </c>
      <c r="B158" s="310" t="s">
        <v>632</v>
      </c>
      <c r="C158" s="311" t="s">
        <v>211</v>
      </c>
      <c r="D158" s="336"/>
      <c r="E158" s="305"/>
      <c r="F158" s="40"/>
    </row>
    <row r="159" spans="1:7" ht="16.5" hidden="1" thickBot="1" x14ac:dyDescent="0.3">
      <c r="A159" s="307" t="s">
        <v>980</v>
      </c>
      <c r="B159" s="310" t="s">
        <v>634</v>
      </c>
      <c r="C159" s="311" t="s">
        <v>211</v>
      </c>
      <c r="D159" s="336"/>
      <c r="E159" s="305"/>
      <c r="F159" s="40"/>
    </row>
    <row r="160" spans="1:7" ht="16.5" thickBot="1" x14ac:dyDescent="0.3">
      <c r="A160" s="344" t="s">
        <v>172</v>
      </c>
      <c r="B160" s="302" t="s">
        <v>73</v>
      </c>
      <c r="C160" s="345" t="s">
        <v>620</v>
      </c>
      <c r="D160" s="346">
        <v>200</v>
      </c>
      <c r="E160" s="305" t="s">
        <v>641</v>
      </c>
      <c r="F160" s="40" t="s">
        <v>262</v>
      </c>
      <c r="G160" t="s">
        <v>981</v>
      </c>
    </row>
    <row r="161" spans="1:7" ht="16.5" thickBot="1" x14ac:dyDescent="0.3">
      <c r="A161" s="344" t="s">
        <v>173</v>
      </c>
      <c r="B161" s="302" t="s">
        <v>79</v>
      </c>
      <c r="C161" s="345" t="s">
        <v>211</v>
      </c>
      <c r="D161" s="346">
        <v>10</v>
      </c>
      <c r="E161" s="305" t="s">
        <v>635</v>
      </c>
      <c r="F161" s="40" t="s">
        <v>254</v>
      </c>
    </row>
    <row r="162" spans="1:7" ht="16.5" thickBot="1" x14ac:dyDescent="0.3">
      <c r="A162" s="320" t="s">
        <v>174</v>
      </c>
      <c r="B162" s="321" t="s">
        <v>82</v>
      </c>
      <c r="C162" s="337" t="s">
        <v>668</v>
      </c>
      <c r="D162" s="366" t="s">
        <v>982</v>
      </c>
      <c r="E162" s="340" t="s">
        <v>635</v>
      </c>
      <c r="F162" s="40" t="s">
        <v>254</v>
      </c>
      <c r="G162" t="s">
        <v>638</v>
      </c>
    </row>
    <row r="163" spans="1:7" ht="15.75" x14ac:dyDescent="0.25">
      <c r="A163" s="344" t="s">
        <v>983</v>
      </c>
      <c r="B163" s="349" t="s">
        <v>127</v>
      </c>
      <c r="C163" s="350" t="s">
        <v>0</v>
      </c>
      <c r="D163" s="351">
        <v>0.3</v>
      </c>
      <c r="E163" s="305"/>
      <c r="F163" s="306"/>
    </row>
    <row r="164" spans="1:7" ht="15.75" x14ac:dyDescent="0.25">
      <c r="A164" s="307"/>
      <c r="B164" s="1251" t="s">
        <v>175</v>
      </c>
      <c r="C164" s="1251"/>
      <c r="D164" s="1251"/>
      <c r="E164" s="1252"/>
      <c r="F164" s="308"/>
    </row>
    <row r="165" spans="1:7" ht="16.5" thickBot="1" x14ac:dyDescent="0.3">
      <c r="A165" s="344" t="s">
        <v>176</v>
      </c>
      <c r="B165" s="302" t="s">
        <v>65</v>
      </c>
      <c r="C165" s="345" t="s">
        <v>0</v>
      </c>
      <c r="D165" s="346">
        <v>1.8</v>
      </c>
      <c r="E165" s="347"/>
      <c r="F165" s="40"/>
    </row>
    <row r="166" spans="1:7" ht="32.25" thickBot="1" x14ac:dyDescent="0.3">
      <c r="A166" s="307" t="s">
        <v>177</v>
      </c>
      <c r="B166" s="316" t="s">
        <v>178</v>
      </c>
      <c r="C166" s="317"/>
      <c r="D166" s="312"/>
      <c r="E166" s="318" t="s">
        <v>764</v>
      </c>
      <c r="F166" s="40" t="s">
        <v>289</v>
      </c>
    </row>
    <row r="167" spans="1:7" ht="16.5" thickBot="1" x14ac:dyDescent="0.3">
      <c r="A167" s="344" t="s">
        <v>179</v>
      </c>
      <c r="B167" s="302" t="s">
        <v>73</v>
      </c>
      <c r="C167" s="345" t="s">
        <v>620</v>
      </c>
      <c r="D167" s="346">
        <v>600</v>
      </c>
      <c r="E167" s="305" t="s">
        <v>641</v>
      </c>
      <c r="F167" s="40" t="s">
        <v>262</v>
      </c>
      <c r="G167" t="s">
        <v>981</v>
      </c>
    </row>
    <row r="168" spans="1:7" ht="95.25" thickBot="1" x14ac:dyDescent="0.3">
      <c r="A168" s="357" t="s">
        <v>180</v>
      </c>
      <c r="B168" s="321" t="s">
        <v>127</v>
      </c>
      <c r="C168" s="337" t="s">
        <v>0</v>
      </c>
      <c r="D168" s="338">
        <v>1</v>
      </c>
      <c r="E168" s="305" t="s">
        <v>662</v>
      </c>
      <c r="F168" s="40" t="s">
        <v>291</v>
      </c>
    </row>
    <row r="169" spans="1:7" ht="16.5" thickBot="1" x14ac:dyDescent="0.3">
      <c r="A169" s="344" t="s">
        <v>181</v>
      </c>
      <c r="B169" s="302" t="s">
        <v>182</v>
      </c>
      <c r="C169" s="345" t="s">
        <v>183</v>
      </c>
      <c r="D169" s="346" t="s">
        <v>184</v>
      </c>
      <c r="E169" s="305" t="s">
        <v>623</v>
      </c>
      <c r="F169" s="40" t="s">
        <v>288</v>
      </c>
    </row>
    <row r="170" spans="1:7" ht="16.5" thickBot="1" x14ac:dyDescent="0.3">
      <c r="A170" s="344" t="s">
        <v>185</v>
      </c>
      <c r="B170" s="302" t="s">
        <v>186</v>
      </c>
      <c r="C170" s="345" t="s">
        <v>183</v>
      </c>
      <c r="D170" s="346">
        <v>60</v>
      </c>
      <c r="E170" s="305" t="s">
        <v>623</v>
      </c>
      <c r="F170" s="40" t="s">
        <v>288</v>
      </c>
    </row>
    <row r="171" spans="1:7" ht="15.75" x14ac:dyDescent="0.25">
      <c r="A171" s="344" t="s">
        <v>187</v>
      </c>
      <c r="B171" s="302" t="s">
        <v>88</v>
      </c>
      <c r="C171" s="345" t="s">
        <v>183</v>
      </c>
      <c r="D171" s="346">
        <v>2500</v>
      </c>
      <c r="E171" s="305" t="s">
        <v>994</v>
      </c>
      <c r="F171" s="342" t="s">
        <v>761</v>
      </c>
      <c r="G171" s="343" t="s">
        <v>650</v>
      </c>
    </row>
    <row r="172" spans="1:7" ht="16.5" thickBot="1" x14ac:dyDescent="0.3">
      <c r="A172" s="344" t="s">
        <v>188</v>
      </c>
      <c r="B172" s="302" t="s">
        <v>79</v>
      </c>
      <c r="C172" s="345" t="s">
        <v>622</v>
      </c>
      <c r="D172" s="346">
        <v>25</v>
      </c>
      <c r="E172" s="305" t="s">
        <v>635</v>
      </c>
      <c r="F172" s="40" t="s">
        <v>254</v>
      </c>
    </row>
    <row r="173" spans="1:7" ht="48" thickBot="1" x14ac:dyDescent="0.3">
      <c r="A173" s="320" t="s">
        <v>189</v>
      </c>
      <c r="B173" s="321" t="s">
        <v>190</v>
      </c>
      <c r="C173" s="337" t="s">
        <v>728</v>
      </c>
      <c r="D173" s="338" t="s">
        <v>729</v>
      </c>
      <c r="E173" s="318" t="s">
        <v>646</v>
      </c>
      <c r="F173" s="40" t="s">
        <v>283</v>
      </c>
    </row>
    <row r="174" spans="1:7" ht="16.5" thickBot="1" x14ac:dyDescent="0.3">
      <c r="A174" s="344" t="s">
        <v>191</v>
      </c>
      <c r="B174" s="302" t="s">
        <v>82</v>
      </c>
      <c r="C174" s="313" t="s">
        <v>636</v>
      </c>
      <c r="D174" s="314" t="s">
        <v>647</v>
      </c>
      <c r="E174" s="305" t="s">
        <v>635</v>
      </c>
      <c r="F174" s="40" t="s">
        <v>254</v>
      </c>
      <c r="G174" t="s">
        <v>638</v>
      </c>
    </row>
    <row r="175" spans="1:7" ht="63.75" thickBot="1" x14ac:dyDescent="0.3">
      <c r="A175" s="344" t="s">
        <v>192</v>
      </c>
      <c r="B175" s="302" t="s">
        <v>193</v>
      </c>
      <c r="C175" s="345" t="s">
        <v>622</v>
      </c>
      <c r="D175" s="346">
        <v>1</v>
      </c>
      <c r="E175" s="305" t="s">
        <v>639</v>
      </c>
      <c r="F175" s="315" t="s">
        <v>995</v>
      </c>
      <c r="G175" t="s">
        <v>650</v>
      </c>
    </row>
    <row r="176" spans="1:7" ht="16.5" thickBot="1" x14ac:dyDescent="0.3">
      <c r="A176" s="344" t="s">
        <v>194</v>
      </c>
      <c r="B176" s="302" t="s">
        <v>104</v>
      </c>
      <c r="C176" s="345" t="s">
        <v>721</v>
      </c>
      <c r="D176" s="346">
        <v>1000</v>
      </c>
      <c r="E176" s="305" t="s">
        <v>641</v>
      </c>
      <c r="F176" s="40" t="s">
        <v>262</v>
      </c>
      <c r="G176" t="s">
        <v>638</v>
      </c>
    </row>
    <row r="177" spans="1:6" ht="15.75" x14ac:dyDescent="0.25">
      <c r="A177" s="344" t="s">
        <v>996</v>
      </c>
      <c r="B177" s="302" t="s">
        <v>997</v>
      </c>
      <c r="C177" s="345"/>
      <c r="D177" s="346"/>
      <c r="E177" s="305"/>
      <c r="F177" s="306"/>
    </row>
    <row r="178" spans="1:6" ht="15.75" x14ac:dyDescent="0.25">
      <c r="A178" s="344" t="s">
        <v>998</v>
      </c>
      <c r="B178" s="302" t="s">
        <v>628</v>
      </c>
      <c r="C178" s="345" t="s">
        <v>211</v>
      </c>
      <c r="D178" s="345">
        <v>5</v>
      </c>
      <c r="E178" s="305"/>
      <c r="F178" s="306"/>
    </row>
    <row r="179" spans="1:6" ht="31.5" x14ac:dyDescent="0.25">
      <c r="A179" s="344" t="s">
        <v>999</v>
      </c>
      <c r="B179" s="302" t="s">
        <v>630</v>
      </c>
      <c r="C179" s="345" t="s">
        <v>211</v>
      </c>
      <c r="D179" s="345">
        <v>2</v>
      </c>
      <c r="E179" s="305"/>
      <c r="F179" s="306"/>
    </row>
    <row r="180" spans="1:6" ht="15.75" x14ac:dyDescent="0.25">
      <c r="A180" s="344" t="s">
        <v>1000</v>
      </c>
      <c r="B180" s="302" t="s">
        <v>632</v>
      </c>
      <c r="C180" s="345" t="s">
        <v>211</v>
      </c>
      <c r="D180" s="345">
        <v>2</v>
      </c>
      <c r="E180" s="305"/>
      <c r="F180" s="306"/>
    </row>
    <row r="181" spans="1:6" ht="15.75" x14ac:dyDescent="0.25">
      <c r="A181" s="344" t="s">
        <v>1001</v>
      </c>
      <c r="B181" s="302" t="s">
        <v>634</v>
      </c>
      <c r="C181" s="345" t="s">
        <v>211</v>
      </c>
      <c r="D181" s="345">
        <v>2</v>
      </c>
      <c r="E181" s="305"/>
      <c r="F181" s="306"/>
    </row>
    <row r="182" spans="1:6" ht="15.75" x14ac:dyDescent="0.25">
      <c r="A182" s="344" t="s">
        <v>1002</v>
      </c>
      <c r="B182" s="302" t="s">
        <v>679</v>
      </c>
      <c r="C182" s="345"/>
      <c r="D182" s="345"/>
      <c r="E182" s="305"/>
      <c r="F182" s="306"/>
    </row>
    <row r="183" spans="1:6" ht="15.75" x14ac:dyDescent="0.25">
      <c r="A183" s="328" t="s">
        <v>1003</v>
      </c>
      <c r="B183" s="329" t="s">
        <v>681</v>
      </c>
      <c r="C183" s="345" t="s">
        <v>660</v>
      </c>
      <c r="D183" s="346">
        <v>1000</v>
      </c>
      <c r="E183" s="340"/>
      <c r="F183" s="306"/>
    </row>
    <row r="184" spans="1:6" ht="15.75" x14ac:dyDescent="0.25">
      <c r="A184" s="328" t="s">
        <v>1004</v>
      </c>
      <c r="B184" s="329" t="s">
        <v>683</v>
      </c>
      <c r="C184" s="345" t="s">
        <v>660</v>
      </c>
      <c r="D184" s="346">
        <v>1200</v>
      </c>
      <c r="E184" s="340"/>
      <c r="F184" s="306"/>
    </row>
    <row r="185" spans="1:6" ht="15.75" x14ac:dyDescent="0.25">
      <c r="A185" s="328" t="s">
        <v>1005</v>
      </c>
      <c r="B185" s="329" t="s">
        <v>685</v>
      </c>
      <c r="C185" s="345" t="s">
        <v>660</v>
      </c>
      <c r="D185" s="346">
        <v>1000</v>
      </c>
      <c r="E185" s="340"/>
      <c r="F185" s="306"/>
    </row>
    <row r="186" spans="1:6" ht="15.75" x14ac:dyDescent="0.25">
      <c r="A186" s="328" t="s">
        <v>1006</v>
      </c>
      <c r="B186" s="329" t="s">
        <v>687</v>
      </c>
      <c r="C186" s="345" t="s">
        <v>660</v>
      </c>
      <c r="D186" s="346">
        <v>1200</v>
      </c>
      <c r="E186" s="340"/>
      <c r="F186" s="306"/>
    </row>
    <row r="187" spans="1:6" ht="15.75" x14ac:dyDescent="0.25">
      <c r="A187" s="367" t="s">
        <v>1007</v>
      </c>
      <c r="B187" s="349" t="s">
        <v>689</v>
      </c>
      <c r="C187" s="350"/>
      <c r="D187" s="350"/>
      <c r="E187" s="305"/>
      <c r="F187" s="306"/>
    </row>
    <row r="188" spans="1:6" ht="63" x14ac:dyDescent="0.25">
      <c r="A188" s="328" t="s">
        <v>1008</v>
      </c>
      <c r="B188" s="302" t="s">
        <v>691</v>
      </c>
      <c r="C188" s="345" t="s">
        <v>692</v>
      </c>
      <c r="D188" s="345" t="s">
        <v>1009</v>
      </c>
      <c r="E188" s="340"/>
      <c r="F188" s="306"/>
    </row>
    <row r="189" spans="1:6" ht="15.75" x14ac:dyDescent="0.25">
      <c r="A189" s="328" t="s">
        <v>1010</v>
      </c>
      <c r="B189" s="329" t="s">
        <v>695</v>
      </c>
      <c r="C189" s="345" t="s">
        <v>696</v>
      </c>
      <c r="D189" s="346">
        <v>50</v>
      </c>
      <c r="E189" s="340"/>
      <c r="F189" s="306"/>
    </row>
    <row r="190" spans="1:6" ht="15.75" x14ac:dyDescent="0.25">
      <c r="A190" s="328" t="s">
        <v>1011</v>
      </c>
      <c r="B190" s="302" t="s">
        <v>698</v>
      </c>
      <c r="C190" s="345"/>
      <c r="D190" s="346"/>
      <c r="E190" s="340"/>
      <c r="F190" s="306"/>
    </row>
    <row r="191" spans="1:6" ht="31.5" x14ac:dyDescent="0.25">
      <c r="A191" s="328" t="s">
        <v>1012</v>
      </c>
      <c r="B191" s="302" t="s">
        <v>700</v>
      </c>
      <c r="C191" s="345" t="s">
        <v>701</v>
      </c>
      <c r="D191" s="346">
        <v>30</v>
      </c>
      <c r="E191" s="340"/>
      <c r="F191" s="306"/>
    </row>
    <row r="192" spans="1:6" ht="15.75" x14ac:dyDescent="0.25">
      <c r="A192" s="328" t="s">
        <v>1013</v>
      </c>
      <c r="B192" s="329" t="s">
        <v>703</v>
      </c>
      <c r="C192" s="345" t="s">
        <v>704</v>
      </c>
      <c r="D192" s="346">
        <v>0</v>
      </c>
      <c r="E192" s="340"/>
      <c r="F192" s="306"/>
    </row>
    <row r="193" spans="1:7" ht="15.75" x14ac:dyDescent="0.25">
      <c r="A193" s="319"/>
      <c r="B193" s="1237" t="s">
        <v>195</v>
      </c>
      <c r="C193" s="1237"/>
      <c r="D193" s="1237"/>
      <c r="E193" s="1238"/>
      <c r="F193" s="308"/>
    </row>
    <row r="194" spans="1:7" ht="15.75" x14ac:dyDescent="0.25">
      <c r="A194" s="307"/>
      <c r="B194" s="1251" t="s">
        <v>196</v>
      </c>
      <c r="C194" s="1251"/>
      <c r="D194" s="1251"/>
      <c r="E194" s="1252"/>
      <c r="F194" s="308"/>
    </row>
    <row r="195" spans="1:7" ht="16.5" thickBot="1" x14ac:dyDescent="0.3">
      <c r="A195" s="344" t="s">
        <v>197</v>
      </c>
      <c r="B195" s="302" t="s">
        <v>65</v>
      </c>
      <c r="C195" s="345" t="s">
        <v>0</v>
      </c>
      <c r="D195" s="346">
        <v>2.7</v>
      </c>
      <c r="E195" s="347"/>
      <c r="F195" s="40"/>
    </row>
    <row r="196" spans="1:7" ht="16.5" thickBot="1" x14ac:dyDescent="0.3">
      <c r="A196" s="344" t="s">
        <v>198</v>
      </c>
      <c r="B196" s="302" t="s">
        <v>73</v>
      </c>
      <c r="C196" s="345" t="s">
        <v>620</v>
      </c>
      <c r="D196" s="346">
        <v>800</v>
      </c>
      <c r="E196" s="305" t="s">
        <v>641</v>
      </c>
      <c r="F196" s="40" t="s">
        <v>262</v>
      </c>
      <c r="G196" t="s">
        <v>981</v>
      </c>
    </row>
    <row r="197" spans="1:7" ht="95.25" thickBot="1" x14ac:dyDescent="0.3">
      <c r="A197" s="344" t="s">
        <v>199</v>
      </c>
      <c r="B197" s="302" t="s">
        <v>127</v>
      </c>
      <c r="C197" s="345" t="s">
        <v>0</v>
      </c>
      <c r="D197" s="346">
        <v>2</v>
      </c>
      <c r="E197" s="305" t="s">
        <v>662</v>
      </c>
      <c r="F197" s="40" t="s">
        <v>291</v>
      </c>
    </row>
    <row r="198" spans="1:7" ht="16.5" thickBot="1" x14ac:dyDescent="0.3">
      <c r="A198" s="344" t="s">
        <v>200</v>
      </c>
      <c r="B198" s="302" t="s">
        <v>201</v>
      </c>
      <c r="C198" s="345" t="s">
        <v>660</v>
      </c>
      <c r="D198" s="346">
        <v>900</v>
      </c>
      <c r="E198" s="305" t="s">
        <v>639</v>
      </c>
      <c r="F198" s="40" t="s">
        <v>290</v>
      </c>
    </row>
    <row r="199" spans="1:7" ht="32.25" thickBot="1" x14ac:dyDescent="0.3">
      <c r="A199" s="344" t="s">
        <v>202</v>
      </c>
      <c r="B199" s="302" t="s">
        <v>71</v>
      </c>
      <c r="C199" s="345"/>
      <c r="D199" s="346"/>
      <c r="E199" s="305" t="s">
        <v>625</v>
      </c>
      <c r="F199" s="40" t="s">
        <v>256</v>
      </c>
      <c r="G199" t="s">
        <v>626</v>
      </c>
    </row>
    <row r="200" spans="1:7" ht="15.75" customHeight="1" thickBot="1" x14ac:dyDescent="0.3">
      <c r="A200" s="344" t="s">
        <v>1054</v>
      </c>
      <c r="B200" s="302" t="s">
        <v>628</v>
      </c>
      <c r="C200" s="345" t="s">
        <v>211</v>
      </c>
      <c r="D200" s="346">
        <v>2</v>
      </c>
      <c r="E200" s="305"/>
      <c r="F200" s="40"/>
    </row>
    <row r="201" spans="1:7" ht="32.25" hidden="1" thickBot="1" x14ac:dyDescent="0.3">
      <c r="A201" s="307" t="s">
        <v>1055</v>
      </c>
      <c r="B201" s="310" t="s">
        <v>630</v>
      </c>
      <c r="C201" s="311" t="s">
        <v>211</v>
      </c>
      <c r="D201" s="312"/>
      <c r="E201" s="305"/>
      <c r="F201" s="40"/>
    </row>
    <row r="202" spans="1:7" ht="16.5" thickBot="1" x14ac:dyDescent="0.3">
      <c r="A202" s="344" t="s">
        <v>1056</v>
      </c>
      <c r="B202" s="302" t="s">
        <v>632</v>
      </c>
      <c r="C202" s="345" t="s">
        <v>211</v>
      </c>
      <c r="D202" s="346">
        <v>4</v>
      </c>
      <c r="E202" s="305"/>
      <c r="F202" s="40"/>
    </row>
    <row r="203" spans="1:7" ht="16.5" hidden="1" thickBot="1" x14ac:dyDescent="0.3">
      <c r="A203" s="307" t="s">
        <v>1057</v>
      </c>
      <c r="B203" s="310" t="s">
        <v>634</v>
      </c>
      <c r="C203" s="311" t="s">
        <v>211</v>
      </c>
      <c r="D203" s="312"/>
      <c r="E203" s="305"/>
      <c r="F203" s="40"/>
    </row>
    <row r="204" spans="1:7" ht="16.5" thickBot="1" x14ac:dyDescent="0.3">
      <c r="A204" s="344" t="s">
        <v>203</v>
      </c>
      <c r="B204" s="302" t="s">
        <v>79</v>
      </c>
      <c r="C204" s="345" t="s">
        <v>211</v>
      </c>
      <c r="D204" s="346">
        <v>5</v>
      </c>
      <c r="E204" s="305" t="s">
        <v>635</v>
      </c>
      <c r="F204" s="40" t="s">
        <v>254</v>
      </c>
    </row>
    <row r="205" spans="1:7" ht="16.5" thickBot="1" x14ac:dyDescent="0.3">
      <c r="A205" s="320" t="s">
        <v>204</v>
      </c>
      <c r="B205" s="321" t="s">
        <v>205</v>
      </c>
      <c r="C205" s="337" t="s">
        <v>636</v>
      </c>
      <c r="D205" s="366" t="s">
        <v>1058</v>
      </c>
      <c r="E205" s="340" t="s">
        <v>635</v>
      </c>
      <c r="F205" s="40" t="s">
        <v>254</v>
      </c>
      <c r="G205" t="s">
        <v>638</v>
      </c>
    </row>
    <row r="206" spans="1:7" ht="63.75" thickBot="1" x14ac:dyDescent="0.3">
      <c r="A206" s="344" t="s">
        <v>206</v>
      </c>
      <c r="B206" s="302" t="s">
        <v>193</v>
      </c>
      <c r="C206" s="345" t="s">
        <v>622</v>
      </c>
      <c r="D206" s="346">
        <v>1</v>
      </c>
      <c r="E206" s="340" t="s">
        <v>639</v>
      </c>
      <c r="F206" s="375" t="s">
        <v>649</v>
      </c>
      <c r="G206" t="s">
        <v>650</v>
      </c>
    </row>
    <row r="207" spans="1:7" s="362" customFormat="1" ht="15.75" x14ac:dyDescent="0.25">
      <c r="A207" s="357"/>
      <c r="B207" s="815" t="s">
        <v>2374</v>
      </c>
      <c r="C207" s="359" t="s">
        <v>660</v>
      </c>
      <c r="D207" s="360">
        <v>800</v>
      </c>
      <c r="E207" s="816"/>
      <c r="F207" s="363" t="s">
        <v>2375</v>
      </c>
    </row>
    <row r="208" spans="1:7" ht="15.75" x14ac:dyDescent="0.25">
      <c r="A208" s="307"/>
      <c r="B208" s="1251" t="s">
        <v>1</v>
      </c>
      <c r="C208" s="1251"/>
      <c r="D208" s="1251"/>
      <c r="E208" s="1252"/>
      <c r="F208" s="308"/>
    </row>
    <row r="209" spans="1:6" ht="16.5" thickBot="1" x14ac:dyDescent="0.3">
      <c r="A209" s="344" t="s">
        <v>207</v>
      </c>
      <c r="B209" s="302" t="s">
        <v>65</v>
      </c>
      <c r="C209" s="345" t="s">
        <v>0</v>
      </c>
      <c r="D209" s="346">
        <v>0.5</v>
      </c>
      <c r="E209" s="347"/>
      <c r="F209" s="40"/>
    </row>
    <row r="210" spans="1:6" ht="94.5" x14ac:dyDescent="0.25">
      <c r="A210" s="344" t="s">
        <v>208</v>
      </c>
      <c r="B210" s="302" t="s">
        <v>127</v>
      </c>
      <c r="C210" s="345" t="s">
        <v>0</v>
      </c>
      <c r="D210" s="346">
        <v>0.5</v>
      </c>
      <c r="E210" s="305" t="s">
        <v>662</v>
      </c>
      <c r="F210" s="406" t="s">
        <v>291</v>
      </c>
    </row>
    <row r="211" spans="1:6" ht="16.5" thickBot="1" x14ac:dyDescent="0.3">
      <c r="D211" s="458">
        <f>D209+D195+D165+D153+D140+D125+D109+D83+D58+D30+D8</f>
        <v>24.1</v>
      </c>
    </row>
  </sheetData>
  <mergeCells count="26">
    <mergeCell ref="D32:D33"/>
    <mergeCell ref="B7:E7"/>
    <mergeCell ref="B193:E193"/>
    <mergeCell ref="B194:E194"/>
    <mergeCell ref="B208:E208"/>
    <mergeCell ref="B122:E122"/>
    <mergeCell ref="B124:E124"/>
    <mergeCell ref="B139:E139"/>
    <mergeCell ref="B152:E152"/>
    <mergeCell ref="B164:E164"/>
    <mergeCell ref="A1:E1"/>
    <mergeCell ref="A2:E2"/>
    <mergeCell ref="F35:F36"/>
    <mergeCell ref="F4:F5"/>
    <mergeCell ref="B108:E108"/>
    <mergeCell ref="A4:A5"/>
    <mergeCell ref="B29:E29"/>
    <mergeCell ref="B57:E57"/>
    <mergeCell ref="B82:E82"/>
    <mergeCell ref="B4:B5"/>
    <mergeCell ref="C4:C5"/>
    <mergeCell ref="D4:D5"/>
    <mergeCell ref="A35:A36"/>
    <mergeCell ref="D35:D36"/>
    <mergeCell ref="E35:E36"/>
    <mergeCell ref="C35:C36"/>
  </mergeCells>
  <pageMargins left="0.7" right="0.7" top="0.75" bottom="0.75" header="0.3" footer="0.3"/>
  <pageSetup paperSize="9" scale="41" orientation="portrait" r:id="rId1"/>
  <colBreaks count="1" manualBreakCount="1">
    <brk id="7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5"/>
  <sheetViews>
    <sheetView view="pageBreakPreview" topLeftCell="A23" zoomScaleNormal="100" zoomScaleSheetLayoutView="100" workbookViewId="0">
      <selection activeCell="G38" sqref="G38"/>
    </sheetView>
  </sheetViews>
  <sheetFormatPr defaultRowHeight="15" outlineLevelRow="1" x14ac:dyDescent="0.25"/>
  <cols>
    <col min="1" max="1" width="8.28515625" customWidth="1"/>
    <col min="2" max="2" width="53.85546875" customWidth="1"/>
    <col min="3" max="3" width="39.85546875" customWidth="1"/>
    <col min="4" max="4" width="28.140625" customWidth="1"/>
    <col min="5" max="5" width="14.85546875" customWidth="1"/>
    <col min="6" max="6" width="22.42578125" customWidth="1"/>
    <col min="7" max="7" width="53.28515625" customWidth="1"/>
  </cols>
  <sheetData>
    <row r="1" spans="1:7" ht="15.75" hidden="1" x14ac:dyDescent="0.25">
      <c r="A1" s="352"/>
      <c r="B1" s="1249" t="s">
        <v>63</v>
      </c>
      <c r="C1" s="1249"/>
      <c r="D1" s="1249"/>
      <c r="E1" s="1250"/>
      <c r="G1" s="308"/>
    </row>
    <row r="2" spans="1:7" ht="26.25" hidden="1" customHeight="1" thickBot="1" x14ac:dyDescent="0.3">
      <c r="A2" s="301" t="s">
        <v>64</v>
      </c>
      <c r="B2" s="302" t="s">
        <v>65</v>
      </c>
      <c r="C2" s="303" t="s">
        <v>0</v>
      </c>
      <c r="D2" s="304">
        <v>0.1</v>
      </c>
      <c r="E2" s="309"/>
      <c r="G2" s="40"/>
    </row>
    <row r="3" spans="1:7" ht="26.25" hidden="1" customHeight="1" thickBot="1" x14ac:dyDescent="0.3">
      <c r="A3" s="301" t="s">
        <v>66</v>
      </c>
      <c r="B3" s="302" t="s">
        <v>67</v>
      </c>
      <c r="C3" s="303" t="s">
        <v>622</v>
      </c>
      <c r="D3" s="304">
        <v>1</v>
      </c>
      <c r="E3" s="309"/>
      <c r="G3" s="353" t="s">
        <v>786</v>
      </c>
    </row>
    <row r="4" spans="1:7" ht="26.25" hidden="1" customHeight="1" thickBot="1" x14ac:dyDescent="0.3">
      <c r="A4" s="301" t="s">
        <v>68</v>
      </c>
      <c r="B4" s="302" t="s">
        <v>69</v>
      </c>
      <c r="C4" s="303" t="s">
        <v>211</v>
      </c>
      <c r="D4" s="304">
        <v>1</v>
      </c>
      <c r="E4" s="318" t="s">
        <v>788</v>
      </c>
      <c r="G4" s="40" t="s">
        <v>255</v>
      </c>
    </row>
    <row r="5" spans="1:7" ht="26.25" hidden="1" customHeight="1" thickBot="1" x14ac:dyDescent="0.3">
      <c r="A5" s="301" t="s">
        <v>70</v>
      </c>
      <c r="B5" s="302" t="s">
        <v>71</v>
      </c>
      <c r="C5" s="303"/>
      <c r="D5" s="304"/>
      <c r="E5" s="309"/>
      <c r="G5" s="40" t="s">
        <v>790</v>
      </c>
    </row>
    <row r="6" spans="1:7" ht="26.25" hidden="1" customHeight="1" thickBot="1" x14ac:dyDescent="0.3">
      <c r="A6" s="301" t="s">
        <v>791</v>
      </c>
      <c r="B6" s="302" t="s">
        <v>628</v>
      </c>
      <c r="C6" s="303" t="s">
        <v>211</v>
      </c>
      <c r="D6" s="304">
        <v>4</v>
      </c>
      <c r="E6" s="309"/>
      <c r="G6" s="40"/>
    </row>
    <row r="7" spans="1:7" ht="26.25" hidden="1" customHeight="1" thickBot="1" x14ac:dyDescent="0.3">
      <c r="A7" s="301" t="s">
        <v>792</v>
      </c>
      <c r="B7" s="302" t="s">
        <v>630</v>
      </c>
      <c r="C7" s="303" t="s">
        <v>211</v>
      </c>
      <c r="D7" s="304">
        <v>4</v>
      </c>
      <c r="E7" s="309"/>
      <c r="G7" s="40"/>
    </row>
    <row r="8" spans="1:7" ht="26.25" hidden="1" customHeight="1" thickBot="1" x14ac:dyDescent="0.3">
      <c r="A8" s="301" t="s">
        <v>72</v>
      </c>
      <c r="B8" s="302" t="s">
        <v>73</v>
      </c>
      <c r="C8" s="303" t="s">
        <v>620</v>
      </c>
      <c r="D8" s="304">
        <v>100</v>
      </c>
      <c r="E8" s="309"/>
      <c r="G8" s="40" t="s">
        <v>793</v>
      </c>
    </row>
    <row r="9" spans="1:7" ht="26.25" hidden="1" customHeight="1" thickBot="1" x14ac:dyDescent="0.3">
      <c r="A9" s="301" t="s">
        <v>74</v>
      </c>
      <c r="B9" s="302" t="s">
        <v>75</v>
      </c>
      <c r="C9" s="303" t="s">
        <v>183</v>
      </c>
      <c r="D9" s="304">
        <v>65</v>
      </c>
      <c r="E9" s="309"/>
      <c r="G9" s="353" t="s">
        <v>794</v>
      </c>
    </row>
    <row r="10" spans="1:7" ht="26.25" hidden="1" customHeight="1" thickBot="1" x14ac:dyDescent="0.3">
      <c r="A10" s="301" t="s">
        <v>76</v>
      </c>
      <c r="B10" s="302" t="s">
        <v>77</v>
      </c>
      <c r="C10" s="303" t="s">
        <v>648</v>
      </c>
      <c r="D10" s="304">
        <v>2</v>
      </c>
      <c r="E10" s="354"/>
      <c r="G10" s="40" t="s">
        <v>253</v>
      </c>
    </row>
    <row r="11" spans="1:7" ht="26.25" hidden="1" customHeight="1" thickBot="1" x14ac:dyDescent="0.3">
      <c r="A11" s="301" t="s">
        <v>78</v>
      </c>
      <c r="B11" s="302" t="s">
        <v>79</v>
      </c>
      <c r="C11" s="303" t="s">
        <v>648</v>
      </c>
      <c r="D11" s="304">
        <v>5</v>
      </c>
      <c r="E11" s="354" t="s">
        <v>80</v>
      </c>
      <c r="G11" s="40" t="s">
        <v>254</v>
      </c>
    </row>
    <row r="12" spans="1:7" ht="26.25" hidden="1" customHeight="1" thickBot="1" x14ac:dyDescent="0.3">
      <c r="A12" s="320" t="s">
        <v>81</v>
      </c>
      <c r="B12" s="321" t="s">
        <v>82</v>
      </c>
      <c r="C12" s="322" t="s">
        <v>668</v>
      </c>
      <c r="D12" s="323" t="s">
        <v>769</v>
      </c>
      <c r="E12" s="309"/>
      <c r="G12" s="40" t="s">
        <v>254</v>
      </c>
    </row>
    <row r="13" spans="1:7" ht="26.25" hidden="1" customHeight="1" x14ac:dyDescent="0.25">
      <c r="A13" s="301" t="s">
        <v>797</v>
      </c>
      <c r="B13" s="302" t="s">
        <v>679</v>
      </c>
      <c r="C13" s="303"/>
      <c r="D13" s="304"/>
      <c r="E13" s="309"/>
      <c r="G13" s="306"/>
    </row>
    <row r="14" spans="1:7" ht="26.25" hidden="1" customHeight="1" x14ac:dyDescent="0.25">
      <c r="A14" s="301" t="s">
        <v>798</v>
      </c>
      <c r="B14" s="329" t="s">
        <v>799</v>
      </c>
      <c r="C14" s="303" t="s">
        <v>660</v>
      </c>
      <c r="D14" s="304">
        <v>150</v>
      </c>
      <c r="E14" s="355"/>
      <c r="G14" s="306"/>
    </row>
    <row r="15" spans="1:7" ht="26.25" hidden="1" customHeight="1" x14ac:dyDescent="0.25">
      <c r="A15" s="301" t="s">
        <v>800</v>
      </c>
      <c r="B15" s="329" t="s">
        <v>683</v>
      </c>
      <c r="C15" s="303" t="s">
        <v>660</v>
      </c>
      <c r="D15" s="304">
        <v>200</v>
      </c>
      <c r="E15" s="355"/>
      <c r="G15" s="306"/>
    </row>
    <row r="16" spans="1:7" ht="26.25" hidden="1" customHeight="1" x14ac:dyDescent="0.25">
      <c r="A16" s="301" t="s">
        <v>801</v>
      </c>
      <c r="B16" s="329" t="s">
        <v>802</v>
      </c>
      <c r="C16" s="303" t="s">
        <v>696</v>
      </c>
      <c r="D16" s="304">
        <v>10</v>
      </c>
      <c r="E16" s="355"/>
      <c r="G16" s="306"/>
    </row>
    <row r="17" spans="1:9" ht="26.25" hidden="1" customHeight="1" x14ac:dyDescent="0.25">
      <c r="A17" s="301" t="s">
        <v>803</v>
      </c>
      <c r="B17" s="302" t="s">
        <v>689</v>
      </c>
      <c r="C17" s="303"/>
      <c r="D17" s="304"/>
      <c r="E17" s="355"/>
      <c r="G17" s="306"/>
    </row>
    <row r="18" spans="1:9" ht="86.25" hidden="1" customHeight="1" x14ac:dyDescent="0.25">
      <c r="A18" s="301" t="s">
        <v>804</v>
      </c>
      <c r="B18" s="302" t="s">
        <v>805</v>
      </c>
      <c r="C18" s="303" t="s">
        <v>846</v>
      </c>
      <c r="D18" s="303" t="s">
        <v>847</v>
      </c>
      <c r="E18" s="355"/>
      <c r="G18" s="306"/>
    </row>
    <row r="19" spans="1:9" ht="26.25" hidden="1" customHeight="1" x14ac:dyDescent="0.25">
      <c r="A19" s="301" t="s">
        <v>807</v>
      </c>
      <c r="B19" s="329" t="s">
        <v>698</v>
      </c>
      <c r="C19" s="303" t="s">
        <v>704</v>
      </c>
      <c r="D19" s="304">
        <v>1</v>
      </c>
      <c r="E19" s="355"/>
      <c r="G19" s="306"/>
    </row>
    <row r="20" spans="1:9" s="362" customFormat="1" ht="26.25" hidden="1" customHeight="1" x14ac:dyDescent="0.25">
      <c r="A20" s="357" t="s">
        <v>808</v>
      </c>
      <c r="B20" s="358" t="s">
        <v>695</v>
      </c>
      <c r="C20" s="359" t="s">
        <v>696</v>
      </c>
      <c r="D20" s="360">
        <v>10</v>
      </c>
      <c r="E20" s="361"/>
      <c r="G20" s="363" t="s">
        <v>765</v>
      </c>
    </row>
    <row r="21" spans="1:9" hidden="1" x14ac:dyDescent="0.25"/>
    <row r="22" spans="1:9" hidden="1" x14ac:dyDescent="0.25"/>
    <row r="23" spans="1:9" s="828" customFormat="1" ht="27" customHeight="1" x14ac:dyDescent="0.25">
      <c r="A23" s="1254" t="s">
        <v>2397</v>
      </c>
      <c r="B23" s="1254"/>
      <c r="C23" s="1254"/>
      <c r="E23" s="835"/>
      <c r="F23" s="835" t="s">
        <v>2398</v>
      </c>
      <c r="G23" s="835"/>
      <c r="H23" s="835"/>
      <c r="I23" s="835"/>
    </row>
    <row r="24" spans="1:9" s="831" customFormat="1" x14ac:dyDescent="0.25">
      <c r="A24" s="829"/>
      <c r="B24" s="829"/>
      <c r="C24" s="829"/>
      <c r="D24" s="830"/>
      <c r="E24" s="830"/>
      <c r="F24" s="830"/>
      <c r="G24" s="830"/>
      <c r="H24" s="830"/>
      <c r="I24" s="830"/>
    </row>
    <row r="25" spans="1:9" s="831" customFormat="1" x14ac:dyDescent="0.25">
      <c r="A25" s="829"/>
      <c r="B25" s="829"/>
      <c r="C25" s="829"/>
      <c r="D25" s="830"/>
      <c r="E25" s="830"/>
      <c r="F25" s="830"/>
      <c r="G25" s="830"/>
      <c r="H25" s="830"/>
      <c r="I25" s="830"/>
    </row>
    <row r="26" spans="1:9" s="828" customFormat="1" ht="28.5" customHeight="1" x14ac:dyDescent="0.25">
      <c r="A26" s="1255" t="s">
        <v>2401</v>
      </c>
      <c r="B26" s="1255"/>
      <c r="C26" s="1255"/>
      <c r="D26" s="1255"/>
      <c r="E26" s="1255"/>
      <c r="F26" s="1255"/>
      <c r="G26" s="836"/>
      <c r="H26" s="836"/>
      <c r="I26" s="836"/>
    </row>
    <row r="27" spans="1:9" s="839" customFormat="1" ht="15.75" x14ac:dyDescent="0.25">
      <c r="A27" s="1256" t="s">
        <v>1112</v>
      </c>
      <c r="B27" s="1256"/>
      <c r="C27" s="1256"/>
      <c r="D27" s="1256"/>
      <c r="E27" s="1256"/>
      <c r="F27" s="1256"/>
      <c r="G27" s="838"/>
      <c r="H27" s="838"/>
      <c r="I27" s="838"/>
    </row>
    <row r="28" spans="1:9" s="828" customFormat="1" ht="15.75" x14ac:dyDescent="0.25">
      <c r="A28" s="840"/>
      <c r="B28" s="840"/>
      <c r="C28" s="840"/>
      <c r="D28" s="841"/>
      <c r="E28" s="841"/>
      <c r="F28" s="841"/>
      <c r="G28" s="829"/>
      <c r="H28" s="832"/>
      <c r="I28" s="832"/>
    </row>
    <row r="29" spans="1:9" s="828" customFormat="1" ht="81" customHeight="1" x14ac:dyDescent="0.25">
      <c r="A29" s="1258" t="s">
        <v>2399</v>
      </c>
      <c r="B29" s="1258"/>
      <c r="C29" s="1257" t="s">
        <v>2402</v>
      </c>
      <c r="D29" s="1257"/>
      <c r="E29" s="1257"/>
      <c r="F29" s="1257"/>
      <c r="G29" s="837"/>
      <c r="H29" s="837"/>
      <c r="I29" s="837"/>
    </row>
    <row r="30" spans="1:9" s="828" customFormat="1" ht="15.75" x14ac:dyDescent="0.25">
      <c r="A30" s="842"/>
      <c r="B30" s="842"/>
      <c r="C30" s="842"/>
      <c r="D30" s="840"/>
      <c r="E30" s="840"/>
      <c r="F30" s="840"/>
      <c r="G30" s="832"/>
      <c r="H30" s="832"/>
      <c r="I30" s="832"/>
    </row>
    <row r="31" spans="1:9" s="828" customFormat="1" ht="41.25" customHeight="1" x14ac:dyDescent="0.25">
      <c r="A31" s="1253" t="s">
        <v>1203</v>
      </c>
      <c r="B31" s="1253"/>
      <c r="C31" s="843"/>
      <c r="D31" s="843"/>
      <c r="E31" s="843"/>
      <c r="F31" s="843"/>
      <c r="G31" s="833"/>
      <c r="H31" s="833"/>
      <c r="I31" s="833"/>
    </row>
    <row r="32" spans="1:9" s="828" customFormat="1" ht="15.75" x14ac:dyDescent="0.25">
      <c r="A32" s="840"/>
      <c r="B32" s="840"/>
      <c r="C32" s="840"/>
      <c r="D32" s="840"/>
      <c r="E32" s="840"/>
      <c r="F32" s="840"/>
      <c r="G32" s="832"/>
      <c r="H32" s="832"/>
      <c r="I32" s="832"/>
    </row>
    <row r="33" spans="1:16" s="828" customFormat="1" ht="30" customHeight="1" x14ac:dyDescent="0.25">
      <c r="A33" s="1253" t="s">
        <v>2400</v>
      </c>
      <c r="B33" s="1253"/>
      <c r="C33" s="843" t="s">
        <v>2403</v>
      </c>
      <c r="D33" s="843"/>
      <c r="E33" s="843"/>
      <c r="F33" s="843"/>
      <c r="G33" s="833"/>
      <c r="H33" s="833"/>
      <c r="I33" s="833"/>
    </row>
    <row r="34" spans="1:16" s="828" customFormat="1" x14ac:dyDescent="0.25">
      <c r="A34" s="833"/>
      <c r="B34" s="833"/>
      <c r="C34" s="833"/>
      <c r="D34" s="834"/>
      <c r="E34" s="834"/>
      <c r="F34" s="834"/>
      <c r="G34" s="834"/>
      <c r="H34" s="833"/>
      <c r="I34" s="833"/>
    </row>
    <row r="35" spans="1:16" s="294" customFormat="1" ht="38.25" x14ac:dyDescent="0.25">
      <c r="A35" s="298" t="s">
        <v>529</v>
      </c>
      <c r="B35" s="298" t="s">
        <v>528</v>
      </c>
      <c r="C35" s="298" t="s">
        <v>527</v>
      </c>
      <c r="D35" s="271" t="s">
        <v>526</v>
      </c>
      <c r="E35" s="377"/>
      <c r="F35" s="298" t="s">
        <v>525</v>
      </c>
    </row>
    <row r="36" spans="1:16" s="268" customFormat="1" ht="12.75" x14ac:dyDescent="0.2">
      <c r="A36" s="298">
        <v>1</v>
      </c>
      <c r="B36" s="298">
        <v>2</v>
      </c>
      <c r="C36" s="298">
        <v>3</v>
      </c>
      <c r="D36" s="298">
        <v>4</v>
      </c>
      <c r="E36" s="298"/>
      <c r="F36" s="298">
        <v>5</v>
      </c>
      <c r="G36" s="295"/>
    </row>
    <row r="37" spans="1:16" s="10" customFormat="1" x14ac:dyDescent="0.25">
      <c r="A37" s="861"/>
      <c r="B37" s="861" t="s">
        <v>53</v>
      </c>
      <c r="C37" s="861">
        <f>D3+D11</f>
        <v>6</v>
      </c>
      <c r="D37" s="861" t="s">
        <v>54</v>
      </c>
      <c r="E37" s="861"/>
      <c r="F37" s="861"/>
    </row>
    <row r="38" spans="1:16" ht="117.75" customHeight="1" x14ac:dyDescent="0.25">
      <c r="A38" s="854"/>
      <c r="B38" s="394" t="s">
        <v>340</v>
      </c>
      <c r="C38" s="394" t="s">
        <v>2141</v>
      </c>
      <c r="D38" s="394" t="s">
        <v>339</v>
      </c>
      <c r="E38" s="854"/>
      <c r="F38" s="855">
        <f>21*D39*D40*C42*1000</f>
        <v>223440</v>
      </c>
    </row>
    <row r="39" spans="1:16" s="3" customFormat="1" ht="89.25" x14ac:dyDescent="0.25">
      <c r="A39" s="866"/>
      <c r="B39" s="394" t="s">
        <v>46</v>
      </c>
      <c r="C39" s="865" t="s">
        <v>2142</v>
      </c>
      <c r="D39" s="885">
        <f>1+(C37-1)*0.2</f>
        <v>2</v>
      </c>
      <c r="E39" s="866"/>
      <c r="F39" s="866"/>
      <c r="I39"/>
      <c r="J39"/>
      <c r="K39"/>
    </row>
    <row r="40" spans="1:16" s="3" customFormat="1" ht="19.5" customHeight="1" x14ac:dyDescent="0.25">
      <c r="A40" s="866"/>
      <c r="B40" s="865" t="s">
        <v>338</v>
      </c>
      <c r="C40" s="865" t="s">
        <v>337</v>
      </c>
      <c r="D40" s="866">
        <v>1</v>
      </c>
      <c r="E40" s="866"/>
      <c r="F40" s="866"/>
    </row>
    <row r="41" spans="1:16" x14ac:dyDescent="0.25">
      <c r="A41" s="854"/>
      <c r="B41" s="862" t="s">
        <v>48</v>
      </c>
      <c r="C41" s="862"/>
      <c r="D41" s="854"/>
      <c r="E41" s="854"/>
      <c r="F41" s="854"/>
    </row>
    <row r="42" spans="1:16" x14ac:dyDescent="0.25">
      <c r="A42" s="854"/>
      <c r="B42" s="862" t="s">
        <v>49</v>
      </c>
      <c r="C42" s="862">
        <v>5.32</v>
      </c>
      <c r="D42" s="854"/>
      <c r="E42" s="854"/>
      <c r="F42" s="854"/>
    </row>
    <row r="43" spans="1:16" s="10" customFormat="1" x14ac:dyDescent="0.25">
      <c r="A43" s="861"/>
      <c r="B43" s="861" t="s">
        <v>71</v>
      </c>
      <c r="C43" s="914"/>
      <c r="D43" s="861">
        <f>D4+D6+D7</f>
        <v>9</v>
      </c>
      <c r="E43" s="883" t="s">
        <v>211</v>
      </c>
      <c r="F43" s="884"/>
      <c r="G43" s="15"/>
      <c r="H43" s="15"/>
      <c r="I43" s="16"/>
    </row>
    <row r="44" spans="1:16" s="2" customFormat="1" ht="98.25" customHeight="1" x14ac:dyDescent="0.25">
      <c r="A44" s="854"/>
      <c r="B44" s="394" t="s">
        <v>820</v>
      </c>
      <c r="C44" s="394" t="s">
        <v>821</v>
      </c>
      <c r="D44" s="394" t="s">
        <v>819</v>
      </c>
      <c r="E44" s="854"/>
      <c r="F44" s="855">
        <f>19.082*D45*D46*D47*C67*1000</f>
        <v>122004.65362176007</v>
      </c>
      <c r="I44"/>
      <c r="J44"/>
      <c r="K44"/>
      <c r="O44" s="17"/>
      <c r="P44" s="17"/>
    </row>
    <row r="45" spans="1:16" s="3" customFormat="1" ht="19.5" customHeight="1" x14ac:dyDescent="0.25">
      <c r="A45" s="866"/>
      <c r="B45" s="865" t="s">
        <v>4</v>
      </c>
      <c r="C45" s="865" t="s">
        <v>5</v>
      </c>
      <c r="D45" s="866">
        <v>0.4</v>
      </c>
      <c r="E45" s="866"/>
      <c r="F45" s="866"/>
      <c r="I45"/>
      <c r="J45"/>
      <c r="K45"/>
    </row>
    <row r="46" spans="1:16" s="3" customFormat="1" ht="117.75" customHeight="1" x14ac:dyDescent="0.25">
      <c r="A46" s="866"/>
      <c r="B46" s="394" t="s">
        <v>46</v>
      </c>
      <c r="C46" s="865" t="s">
        <v>912</v>
      </c>
      <c r="D46" s="866">
        <f>1+(D43-1)*0.2</f>
        <v>2.6</v>
      </c>
      <c r="E46" s="866"/>
      <c r="F46" s="866"/>
      <c r="I46"/>
      <c r="J46"/>
      <c r="K46"/>
    </row>
    <row r="47" spans="1:16" s="2" customFormat="1" ht="102.75" customHeight="1" x14ac:dyDescent="0.25">
      <c r="A47" s="854"/>
      <c r="B47" s="394" t="s">
        <v>15</v>
      </c>
      <c r="C47" s="394" t="s">
        <v>209</v>
      </c>
      <c r="D47" s="854">
        <f>E48/1</f>
        <v>1.1556000000000004</v>
      </c>
      <c r="E47" s="854"/>
      <c r="F47" s="854"/>
    </row>
    <row r="48" spans="1:16" x14ac:dyDescent="0.25">
      <c r="A48" s="854"/>
      <c r="B48" s="390" t="s">
        <v>6</v>
      </c>
      <c r="C48" s="869">
        <f>SUM(C49:C65)</f>
        <v>1.0000000000000002</v>
      </c>
      <c r="D48" s="870"/>
      <c r="E48" s="871">
        <f>SUM(E49:E65)</f>
        <v>1.1556000000000004</v>
      </c>
      <c r="F48" s="872"/>
      <c r="G48" s="9"/>
      <c r="H48" s="9"/>
    </row>
    <row r="49" spans="1:9" hidden="1" outlineLevel="1" x14ac:dyDescent="0.25">
      <c r="A49" s="854"/>
      <c r="B49" s="394" t="s">
        <v>20</v>
      </c>
      <c r="C49" s="873">
        <v>0.02</v>
      </c>
      <c r="D49" s="879">
        <v>1</v>
      </c>
      <c r="E49" s="875">
        <f>C49*D49</f>
        <v>0.02</v>
      </c>
      <c r="F49" s="870"/>
      <c r="G49" s="6"/>
      <c r="H49" s="6"/>
    </row>
    <row r="50" spans="1:9" hidden="1" outlineLevel="1" x14ac:dyDescent="0.25">
      <c r="A50" s="854"/>
      <c r="B50" s="394" t="s">
        <v>21</v>
      </c>
      <c r="C50" s="873">
        <v>0.04</v>
      </c>
      <c r="D50" s="854">
        <v>1</v>
      </c>
      <c r="E50" s="875">
        <f>C50*D50</f>
        <v>0.04</v>
      </c>
      <c r="F50" s="854"/>
    </row>
    <row r="51" spans="1:9" hidden="1" outlineLevel="1" x14ac:dyDescent="0.25">
      <c r="A51" s="854"/>
      <c r="B51" s="394" t="s">
        <v>22</v>
      </c>
      <c r="C51" s="873">
        <v>0.14000000000000001</v>
      </c>
      <c r="D51" s="879" t="s">
        <v>16</v>
      </c>
      <c r="E51" s="875">
        <f>C51*(1+0.3)</f>
        <v>0.18200000000000002</v>
      </c>
      <c r="F51" s="854"/>
    </row>
    <row r="52" spans="1:9" hidden="1" outlineLevel="1" x14ac:dyDescent="0.25">
      <c r="A52" s="854"/>
      <c r="B52" s="394" t="s">
        <v>23</v>
      </c>
      <c r="C52" s="873">
        <v>0.15</v>
      </c>
      <c r="D52" s="879" t="s">
        <v>16</v>
      </c>
      <c r="E52" s="875">
        <f>C52*(1+0.3)</f>
        <v>0.19500000000000001</v>
      </c>
      <c r="F52" s="854"/>
    </row>
    <row r="53" spans="1:9" ht="25.5" hidden="1" outlineLevel="1" x14ac:dyDescent="0.25">
      <c r="A53" s="854"/>
      <c r="B53" s="394" t="s">
        <v>36</v>
      </c>
      <c r="C53" s="873"/>
      <c r="D53" s="879"/>
      <c r="E53" s="875"/>
      <c r="F53" s="870"/>
      <c r="G53" s="6"/>
      <c r="H53" s="6"/>
    </row>
    <row r="54" spans="1:9" hidden="1" outlineLevel="1" x14ac:dyDescent="0.25">
      <c r="A54" s="854"/>
      <c r="B54" s="877" t="s">
        <v>37</v>
      </c>
      <c r="C54" s="873">
        <v>7.0000000000000007E-2</v>
      </c>
      <c r="D54" s="879">
        <v>1</v>
      </c>
      <c r="E54" s="875">
        <f>C54*D54</f>
        <v>7.0000000000000007E-2</v>
      </c>
      <c r="F54" s="870"/>
      <c r="G54" s="6"/>
      <c r="H54" s="6"/>
    </row>
    <row r="55" spans="1:9" hidden="1" outlineLevel="1" x14ac:dyDescent="0.25">
      <c r="A55" s="854"/>
      <c r="B55" s="877" t="s">
        <v>38</v>
      </c>
      <c r="C55" s="873">
        <v>0.04</v>
      </c>
      <c r="D55" s="879">
        <v>1</v>
      </c>
      <c r="E55" s="875">
        <f t="shared" ref="E55:E60" si="0">C55*D55</f>
        <v>0.04</v>
      </c>
      <c r="F55" s="870"/>
      <c r="G55" s="6"/>
      <c r="H55" s="6"/>
    </row>
    <row r="56" spans="1:9" hidden="1" outlineLevel="1" x14ac:dyDescent="0.25">
      <c r="A56" s="854"/>
      <c r="B56" s="877" t="s">
        <v>39</v>
      </c>
      <c r="C56" s="873">
        <v>0.04</v>
      </c>
      <c r="D56" s="879">
        <v>1</v>
      </c>
      <c r="E56" s="875">
        <f t="shared" si="0"/>
        <v>0.04</v>
      </c>
      <c r="F56" s="882"/>
      <c r="G56" s="7"/>
      <c r="H56" s="7"/>
      <c r="I56" s="8"/>
    </row>
    <row r="57" spans="1:9" ht="19.5" hidden="1" customHeight="1" outlineLevel="1" x14ac:dyDescent="0.25">
      <c r="A57" s="854"/>
      <c r="B57" s="877" t="s">
        <v>40</v>
      </c>
      <c r="C57" s="873">
        <v>0.12</v>
      </c>
      <c r="D57" s="879">
        <v>1</v>
      </c>
      <c r="E57" s="875">
        <f t="shared" si="0"/>
        <v>0.12</v>
      </c>
      <c r="F57" s="870"/>
      <c r="G57" s="6"/>
      <c r="H57" s="6"/>
    </row>
    <row r="58" spans="1:9" hidden="1" outlineLevel="1" x14ac:dyDescent="0.25">
      <c r="A58" s="854"/>
      <c r="B58" s="877" t="s">
        <v>41</v>
      </c>
      <c r="C58" s="873">
        <v>0.03</v>
      </c>
      <c r="D58" s="854">
        <v>1</v>
      </c>
      <c r="E58" s="875">
        <f t="shared" si="0"/>
        <v>0.03</v>
      </c>
      <c r="F58" s="854"/>
    </row>
    <row r="59" spans="1:9" hidden="1" outlineLevel="1" x14ac:dyDescent="0.25">
      <c r="A59" s="854"/>
      <c r="B59" s="877" t="s">
        <v>42</v>
      </c>
      <c r="C59" s="873">
        <v>0.02</v>
      </c>
      <c r="D59" s="876">
        <v>1</v>
      </c>
      <c r="E59" s="875">
        <f t="shared" si="0"/>
        <v>0.02</v>
      </c>
      <c r="F59" s="854"/>
    </row>
    <row r="60" spans="1:9" hidden="1" outlineLevel="1" x14ac:dyDescent="0.25">
      <c r="A60" s="854"/>
      <c r="B60" s="877" t="s">
        <v>43</v>
      </c>
      <c r="C60" s="873">
        <v>0.05</v>
      </c>
      <c r="D60" s="876">
        <v>1</v>
      </c>
      <c r="E60" s="875">
        <f t="shared" si="0"/>
        <v>0.05</v>
      </c>
      <c r="F60" s="854"/>
    </row>
    <row r="61" spans="1:9" hidden="1" outlineLevel="1" x14ac:dyDescent="0.25">
      <c r="A61" s="854"/>
      <c r="B61" s="394" t="s">
        <v>30</v>
      </c>
      <c r="C61" s="873">
        <v>0.06</v>
      </c>
      <c r="D61" s="879">
        <v>1</v>
      </c>
      <c r="E61" s="875">
        <f>C61*(1+0.3)</f>
        <v>7.8E-2</v>
      </c>
      <c r="F61" s="870"/>
      <c r="G61" s="6"/>
      <c r="H61" s="6"/>
    </row>
    <row r="62" spans="1:9" hidden="1" outlineLevel="1" x14ac:dyDescent="0.25">
      <c r="A62" s="854"/>
      <c r="B62" s="394" t="s">
        <v>44</v>
      </c>
      <c r="C62" s="873">
        <v>7.0000000000000007E-2</v>
      </c>
      <c r="D62" s="879">
        <v>1</v>
      </c>
      <c r="E62" s="875">
        <f>C62*(1+0.3)</f>
        <v>9.1000000000000011E-2</v>
      </c>
      <c r="F62" s="870"/>
      <c r="G62" s="6"/>
      <c r="H62" s="6"/>
    </row>
    <row r="63" spans="1:9" hidden="1" outlineLevel="1" x14ac:dyDescent="0.25">
      <c r="A63" s="854"/>
      <c r="B63" s="394" t="s">
        <v>32</v>
      </c>
      <c r="C63" s="873">
        <v>0.06</v>
      </c>
      <c r="D63" s="879">
        <v>1</v>
      </c>
      <c r="E63" s="875">
        <f>C63*(1+0.3)</f>
        <v>7.8E-2</v>
      </c>
      <c r="F63" s="870"/>
      <c r="G63" s="6"/>
      <c r="H63" s="6"/>
    </row>
    <row r="64" spans="1:9" hidden="1" outlineLevel="1" x14ac:dyDescent="0.25">
      <c r="A64" s="854"/>
      <c r="B64" s="394" t="s">
        <v>45</v>
      </c>
      <c r="C64" s="873">
        <v>0.02</v>
      </c>
      <c r="D64" s="879">
        <v>1</v>
      </c>
      <c r="E64" s="875">
        <f>C64*(1+0.3)</f>
        <v>2.6000000000000002E-2</v>
      </c>
      <c r="F64" s="870"/>
      <c r="G64" s="6"/>
      <c r="H64" s="6"/>
    </row>
    <row r="65" spans="1:11" hidden="1" outlineLevel="1" x14ac:dyDescent="0.25">
      <c r="A65" s="854"/>
      <c r="B65" s="394" t="s">
        <v>34</v>
      </c>
      <c r="C65" s="886">
        <v>7.0000000000000007E-2</v>
      </c>
      <c r="D65" s="854"/>
      <c r="E65" s="887">
        <f>SUM(E49:E64)*C65</f>
        <v>7.5600000000000028E-2</v>
      </c>
      <c r="F65" s="882"/>
      <c r="G65" s="7"/>
      <c r="H65" s="7"/>
      <c r="I65" s="8"/>
    </row>
    <row r="66" spans="1:11" s="19" customFormat="1" ht="15.75" collapsed="1" x14ac:dyDescent="0.25">
      <c r="A66" s="862"/>
      <c r="B66" s="862" t="s">
        <v>48</v>
      </c>
      <c r="C66" s="862"/>
      <c r="D66" s="862"/>
      <c r="E66" s="862"/>
      <c r="F66" s="862"/>
    </row>
    <row r="67" spans="1:11" s="19" customFormat="1" ht="15.75" x14ac:dyDescent="0.25">
      <c r="A67" s="862"/>
      <c r="B67" s="862" t="s">
        <v>49</v>
      </c>
      <c r="C67" s="862">
        <v>5.32</v>
      </c>
      <c r="D67" s="880"/>
      <c r="E67" s="862"/>
      <c r="F67" s="862"/>
    </row>
    <row r="68" spans="1:11" x14ac:dyDescent="0.25">
      <c r="A68" s="854"/>
      <c r="B68" s="861" t="s">
        <v>73</v>
      </c>
      <c r="C68" s="862">
        <v>1</v>
      </c>
      <c r="D68" s="862" t="s">
        <v>264</v>
      </c>
      <c r="E68" s="854"/>
      <c r="F68" s="854"/>
    </row>
    <row r="69" spans="1:11" s="2" customFormat="1" ht="114" customHeight="1" x14ac:dyDescent="0.25">
      <c r="A69" s="854"/>
      <c r="B69" s="854" t="s">
        <v>822</v>
      </c>
      <c r="C69" s="863" t="s">
        <v>823</v>
      </c>
      <c r="D69" s="394" t="s">
        <v>876</v>
      </c>
      <c r="E69" s="854"/>
      <c r="F69" s="855">
        <f>(21.32*C68)*D70*D71*D73*D74*C93*1000</f>
        <v>109778.17373250001</v>
      </c>
      <c r="I69"/>
      <c r="J69"/>
      <c r="K69"/>
    </row>
    <row r="70" spans="1:11" s="3" customFormat="1" ht="19.5" customHeight="1" x14ac:dyDescent="0.25">
      <c r="A70" s="866"/>
      <c r="B70" s="865" t="s">
        <v>4</v>
      </c>
      <c r="C70" s="865" t="s">
        <v>852</v>
      </c>
      <c r="D70" s="866">
        <v>0.5</v>
      </c>
      <c r="E70" s="866"/>
      <c r="F70" s="866"/>
      <c r="I70"/>
      <c r="J70"/>
      <c r="K70"/>
    </row>
    <row r="71" spans="1:11" ht="63.75" x14ac:dyDescent="0.25">
      <c r="A71" s="854"/>
      <c r="B71" s="394" t="s">
        <v>276</v>
      </c>
      <c r="C71" s="394" t="s">
        <v>329</v>
      </c>
      <c r="D71" s="867">
        <v>1.3</v>
      </c>
      <c r="E71" s="854"/>
      <c r="F71" s="854"/>
    </row>
    <row r="72" spans="1:11" x14ac:dyDescent="0.25">
      <c r="A72" s="854"/>
      <c r="B72" s="394"/>
      <c r="C72" s="394"/>
      <c r="D72" s="867"/>
      <c r="E72" s="854"/>
      <c r="F72" s="854"/>
    </row>
    <row r="73" spans="1:11" ht="63.75" x14ac:dyDescent="0.25">
      <c r="A73" s="854"/>
      <c r="B73" s="394" t="s">
        <v>278</v>
      </c>
      <c r="C73" s="394" t="s">
        <v>328</v>
      </c>
      <c r="D73" s="868">
        <v>1.25</v>
      </c>
      <c r="E73" s="854"/>
      <c r="F73" s="854"/>
    </row>
    <row r="74" spans="1:11" ht="78.75" customHeight="1" x14ac:dyDescent="0.25">
      <c r="A74" s="854"/>
      <c r="B74" s="394" t="s">
        <v>15</v>
      </c>
      <c r="C74" s="394" t="s">
        <v>275</v>
      </c>
      <c r="D74" s="854">
        <f>E75/1</f>
        <v>1.191225</v>
      </c>
      <c r="E74" s="854"/>
      <c r="F74" s="854"/>
    </row>
    <row r="75" spans="1:11" x14ac:dyDescent="0.25">
      <c r="A75" s="854"/>
      <c r="B75" s="390" t="s">
        <v>6</v>
      </c>
      <c r="C75" s="869">
        <f>SUM(C76:C91)</f>
        <v>1</v>
      </c>
      <c r="D75" s="870"/>
      <c r="E75" s="871">
        <f>SUM(E76:E91)</f>
        <v>1.191225</v>
      </c>
      <c r="F75" s="872"/>
      <c r="G75" s="9"/>
      <c r="H75" s="9"/>
    </row>
    <row r="76" spans="1:11" hidden="1" outlineLevel="1" x14ac:dyDescent="0.25">
      <c r="A76" s="854"/>
      <c r="B76" s="394" t="s">
        <v>20</v>
      </c>
      <c r="C76" s="873">
        <v>0.02</v>
      </c>
      <c r="D76" s="874">
        <v>1</v>
      </c>
      <c r="E76" s="875">
        <f>C76*D76</f>
        <v>0.02</v>
      </c>
      <c r="F76" s="854"/>
    </row>
    <row r="77" spans="1:11" hidden="1" outlineLevel="1" x14ac:dyDescent="0.25">
      <c r="A77" s="854"/>
      <c r="B77" s="394" t="s">
        <v>265</v>
      </c>
      <c r="C77" s="873">
        <v>0.02</v>
      </c>
      <c r="D77" s="874" t="s">
        <v>16</v>
      </c>
      <c r="E77" s="875">
        <f>C77*(1+0.3)</f>
        <v>2.6000000000000002E-2</v>
      </c>
      <c r="F77" s="854"/>
    </row>
    <row r="78" spans="1:11" ht="38.25" hidden="1" outlineLevel="1" x14ac:dyDescent="0.25">
      <c r="A78" s="854"/>
      <c r="B78" s="394" t="s">
        <v>266</v>
      </c>
      <c r="C78" s="873"/>
      <c r="D78" s="876">
        <v>1</v>
      </c>
      <c r="E78" s="873">
        <f>C78*D78</f>
        <v>0</v>
      </c>
      <c r="F78" s="854"/>
    </row>
    <row r="79" spans="1:11" hidden="1" outlineLevel="1" x14ac:dyDescent="0.25">
      <c r="A79" s="854"/>
      <c r="B79" s="877" t="s">
        <v>43</v>
      </c>
      <c r="C79" s="878">
        <v>0.245</v>
      </c>
      <c r="D79" s="874" t="s">
        <v>16</v>
      </c>
      <c r="E79" s="875">
        <f>C79*(1+0.3)</f>
        <v>0.31850000000000001</v>
      </c>
      <c r="F79" s="854"/>
    </row>
    <row r="80" spans="1:11" hidden="1" outlineLevel="1" x14ac:dyDescent="0.25">
      <c r="A80" s="854"/>
      <c r="B80" s="877" t="s">
        <v>267</v>
      </c>
      <c r="C80" s="878">
        <v>0.27500000000000002</v>
      </c>
      <c r="D80" s="874" t="s">
        <v>16</v>
      </c>
      <c r="E80" s="875">
        <f>C80*(1+0.3)</f>
        <v>0.35750000000000004</v>
      </c>
      <c r="F80" s="854"/>
    </row>
    <row r="81" spans="1:11" hidden="1" outlineLevel="1" x14ac:dyDescent="0.25">
      <c r="A81" s="854"/>
      <c r="B81" s="877" t="s">
        <v>268</v>
      </c>
      <c r="C81" s="878">
        <v>1.4999999999999999E-2</v>
      </c>
      <c r="D81" s="874" t="s">
        <v>16</v>
      </c>
      <c r="E81" s="875">
        <f>C81*(1+0.3)</f>
        <v>1.95E-2</v>
      </c>
      <c r="F81" s="854"/>
    </row>
    <row r="82" spans="1:11" hidden="1" outlineLevel="1" x14ac:dyDescent="0.25">
      <c r="A82" s="854"/>
      <c r="B82" s="877" t="s">
        <v>269</v>
      </c>
      <c r="C82" s="878">
        <v>2.5000000000000001E-2</v>
      </c>
      <c r="D82" s="879">
        <v>1</v>
      </c>
      <c r="E82" s="878">
        <f>C82*D82</f>
        <v>2.5000000000000001E-2</v>
      </c>
      <c r="F82" s="854"/>
    </row>
    <row r="83" spans="1:11" hidden="1" outlineLevel="1" x14ac:dyDescent="0.25">
      <c r="A83" s="854"/>
      <c r="B83" s="877" t="s">
        <v>37</v>
      </c>
      <c r="C83" s="878">
        <v>0.1</v>
      </c>
      <c r="D83" s="876">
        <v>1</v>
      </c>
      <c r="E83" s="878">
        <f>C83*D83</f>
        <v>0.1</v>
      </c>
      <c r="F83" s="854"/>
    </row>
    <row r="84" spans="1:11" hidden="1" outlineLevel="1" x14ac:dyDescent="0.25">
      <c r="A84" s="854"/>
      <c r="B84" s="877" t="s">
        <v>270</v>
      </c>
      <c r="C84" s="878">
        <v>2.5000000000000001E-2</v>
      </c>
      <c r="D84" s="879">
        <v>1</v>
      </c>
      <c r="E84" s="878">
        <f>C84*D84</f>
        <v>2.5000000000000001E-2</v>
      </c>
      <c r="F84" s="854"/>
    </row>
    <row r="85" spans="1:11" hidden="1" outlineLevel="1" x14ac:dyDescent="0.25">
      <c r="A85" s="854"/>
      <c r="B85" s="877" t="s">
        <v>271</v>
      </c>
      <c r="C85" s="878">
        <v>1.4999999999999999E-2</v>
      </c>
      <c r="D85" s="879">
        <v>1</v>
      </c>
      <c r="E85" s="878">
        <f>C85*D85</f>
        <v>1.4999999999999999E-2</v>
      </c>
      <c r="F85" s="854"/>
    </row>
    <row r="86" spans="1:11" ht="25.5" hidden="1" outlineLevel="1" x14ac:dyDescent="0.25">
      <c r="A86" s="854"/>
      <c r="B86" s="394" t="s">
        <v>272</v>
      </c>
      <c r="C86" s="878">
        <v>0.06</v>
      </c>
      <c r="D86" s="874" t="s">
        <v>16</v>
      </c>
      <c r="E86" s="878">
        <f>C86*(1+0.3)</f>
        <v>7.8E-2</v>
      </c>
      <c r="F86" s="854"/>
    </row>
    <row r="87" spans="1:11" hidden="1" outlineLevel="1" x14ac:dyDescent="0.25">
      <c r="A87" s="854"/>
      <c r="B87" s="394" t="s">
        <v>30</v>
      </c>
      <c r="C87" s="878">
        <v>0.02</v>
      </c>
      <c r="D87" s="879">
        <v>1</v>
      </c>
      <c r="E87" s="878">
        <f>C87*D87</f>
        <v>0.02</v>
      </c>
      <c r="F87" s="854"/>
    </row>
    <row r="88" spans="1:11" hidden="1" outlineLevel="1" x14ac:dyDescent="0.25">
      <c r="A88" s="854"/>
      <c r="B88" s="394" t="s">
        <v>273</v>
      </c>
      <c r="C88" s="878">
        <v>0.01</v>
      </c>
      <c r="D88" s="876">
        <v>1</v>
      </c>
      <c r="E88" s="878">
        <f>C88*D88</f>
        <v>0.01</v>
      </c>
      <c r="F88" s="854"/>
    </row>
    <row r="89" spans="1:11" hidden="1" outlineLevel="1" x14ac:dyDescent="0.25">
      <c r="A89" s="854"/>
      <c r="B89" s="394" t="s">
        <v>274</v>
      </c>
      <c r="C89" s="878">
        <v>0.09</v>
      </c>
      <c r="D89" s="879">
        <v>1</v>
      </c>
      <c r="E89" s="878">
        <f>C89*D89</f>
        <v>0.09</v>
      </c>
      <c r="F89" s="854"/>
    </row>
    <row r="90" spans="1:11" hidden="1" outlineLevel="1" x14ac:dyDescent="0.25">
      <c r="A90" s="854"/>
      <c r="B90" s="394" t="s">
        <v>32</v>
      </c>
      <c r="C90" s="878">
        <v>0.03</v>
      </c>
      <c r="D90" s="879">
        <v>1</v>
      </c>
      <c r="E90" s="878">
        <f>C90*D90</f>
        <v>0.03</v>
      </c>
      <c r="F90" s="854"/>
    </row>
    <row r="91" spans="1:11" hidden="1" outlineLevel="1" x14ac:dyDescent="0.25">
      <c r="A91" s="854"/>
      <c r="B91" s="394" t="s">
        <v>212</v>
      </c>
      <c r="C91" s="878">
        <v>0.05</v>
      </c>
      <c r="D91" s="876"/>
      <c r="E91" s="875">
        <f>SUM(E76:E90)*C91</f>
        <v>5.6725000000000005E-2</v>
      </c>
      <c r="F91" s="854"/>
    </row>
    <row r="92" spans="1:11" s="19" customFormat="1" ht="15.75" collapsed="1" x14ac:dyDescent="0.25">
      <c r="A92" s="862"/>
      <c r="B92" s="862" t="s">
        <v>48</v>
      </c>
      <c r="C92" s="862"/>
      <c r="D92" s="862"/>
      <c r="E92" s="862"/>
      <c r="F92" s="862"/>
    </row>
    <row r="93" spans="1:11" s="19" customFormat="1" ht="15.75" x14ac:dyDescent="0.25">
      <c r="A93" s="862"/>
      <c r="B93" s="862" t="s">
        <v>49</v>
      </c>
      <c r="C93" s="862">
        <v>5.32</v>
      </c>
      <c r="D93" s="880"/>
      <c r="E93" s="862"/>
      <c r="F93" s="862"/>
    </row>
    <row r="94" spans="1:11" x14ac:dyDescent="0.25">
      <c r="A94" s="854"/>
      <c r="B94" s="861" t="s">
        <v>75</v>
      </c>
      <c r="C94" s="862">
        <v>1</v>
      </c>
      <c r="D94" s="862" t="s">
        <v>312</v>
      </c>
      <c r="E94" s="854"/>
      <c r="F94" s="854"/>
    </row>
    <row r="95" spans="1:11" s="2" customFormat="1" ht="105.75" customHeight="1" x14ac:dyDescent="0.25">
      <c r="A95" s="854"/>
      <c r="B95" s="394" t="s">
        <v>824</v>
      </c>
      <c r="C95" s="394" t="s">
        <v>825</v>
      </c>
      <c r="D95" s="394" t="s">
        <v>826</v>
      </c>
      <c r="E95" s="854"/>
      <c r="F95" s="855">
        <f>356.25*1*D96*D97*C110*(E98/1)*1000</f>
        <v>526424.64</v>
      </c>
      <c r="G95" s="37"/>
      <c r="H95" s="37"/>
      <c r="I95"/>
      <c r="J95"/>
      <c r="K95"/>
    </row>
    <row r="96" spans="1:11" s="3" customFormat="1" ht="19.5" customHeight="1" x14ac:dyDescent="0.25">
      <c r="A96" s="866"/>
      <c r="B96" s="865" t="s">
        <v>4</v>
      </c>
      <c r="C96" s="865" t="s">
        <v>5</v>
      </c>
      <c r="D96" s="866">
        <v>0.4</v>
      </c>
      <c r="E96" s="866"/>
      <c r="F96" s="866"/>
      <c r="I96"/>
      <c r="J96"/>
      <c r="K96"/>
    </row>
    <row r="97" spans="1:18" ht="78.75" customHeight="1" x14ac:dyDescent="0.25">
      <c r="A97" s="854"/>
      <c r="B97" s="394" t="s">
        <v>321</v>
      </c>
      <c r="C97" s="394" t="s">
        <v>322</v>
      </c>
      <c r="D97" s="854">
        <v>1.24</v>
      </c>
      <c r="E97" s="854"/>
      <c r="F97" s="854"/>
    </row>
    <row r="98" spans="1:18" x14ac:dyDescent="0.25">
      <c r="A98" s="854"/>
      <c r="B98" s="390" t="s">
        <v>6</v>
      </c>
      <c r="C98" s="936">
        <f>SUM(C99:C108)</f>
        <v>0.56000000000000005</v>
      </c>
      <c r="D98" s="870"/>
      <c r="E98" s="871">
        <f>SUM(E99:E108)</f>
        <v>0.56000000000000005</v>
      </c>
      <c r="F98" s="872"/>
      <c r="G98" s="9"/>
      <c r="H98" s="9"/>
    </row>
    <row r="99" spans="1:18" ht="32.25" hidden="1" customHeight="1" outlineLevel="1" x14ac:dyDescent="0.25">
      <c r="A99" s="854"/>
      <c r="B99" s="394" t="s">
        <v>313</v>
      </c>
      <c r="C99" s="892"/>
      <c r="D99" s="854">
        <v>1</v>
      </c>
      <c r="E99" s="875">
        <f t="shared" ref="E99:E108" si="1">C99*D99</f>
        <v>0</v>
      </c>
      <c r="F99" s="854"/>
    </row>
    <row r="100" spans="1:18" ht="23.25" hidden="1" customHeight="1" outlineLevel="1" x14ac:dyDescent="0.25">
      <c r="A100" s="854"/>
      <c r="B100" s="394" t="s">
        <v>314</v>
      </c>
      <c r="C100" s="892"/>
      <c r="D100" s="854">
        <v>1</v>
      </c>
      <c r="E100" s="875">
        <f t="shared" si="1"/>
        <v>0</v>
      </c>
      <c r="F100" s="854"/>
    </row>
    <row r="101" spans="1:18" ht="24.75" hidden="1" customHeight="1" outlineLevel="1" x14ac:dyDescent="0.25">
      <c r="A101" s="854"/>
      <c r="B101" s="394" t="s">
        <v>315</v>
      </c>
      <c r="C101" s="892">
        <v>0.06</v>
      </c>
      <c r="D101" s="854">
        <v>1</v>
      </c>
      <c r="E101" s="875">
        <f t="shared" si="1"/>
        <v>0.06</v>
      </c>
      <c r="F101" s="854"/>
    </row>
    <row r="102" spans="1:18" ht="26.25" hidden="1" customHeight="1" outlineLevel="1" x14ac:dyDescent="0.25">
      <c r="A102" s="854"/>
      <c r="B102" s="394" t="s">
        <v>316</v>
      </c>
      <c r="C102" s="892">
        <v>0.09</v>
      </c>
      <c r="D102" s="854">
        <v>1</v>
      </c>
      <c r="E102" s="875">
        <f t="shared" si="1"/>
        <v>0.09</v>
      </c>
      <c r="F102" s="870"/>
      <c r="G102" s="6"/>
      <c r="H102" s="6"/>
    </row>
    <row r="103" spans="1:18" ht="25.5" hidden="1" outlineLevel="1" x14ac:dyDescent="0.25">
      <c r="A103" s="854"/>
      <c r="B103" s="394" t="s">
        <v>317</v>
      </c>
      <c r="C103" s="892">
        <v>0.06</v>
      </c>
      <c r="D103" s="854">
        <v>1</v>
      </c>
      <c r="E103" s="875">
        <f t="shared" si="1"/>
        <v>0.06</v>
      </c>
      <c r="F103" s="870"/>
      <c r="G103" s="6"/>
      <c r="H103" s="6"/>
    </row>
    <row r="104" spans="1:18" hidden="1" outlineLevel="1" x14ac:dyDescent="0.25">
      <c r="A104" s="854"/>
      <c r="B104" s="394" t="s">
        <v>318</v>
      </c>
      <c r="C104" s="892"/>
      <c r="D104" s="854">
        <v>1</v>
      </c>
      <c r="E104" s="875">
        <f t="shared" si="1"/>
        <v>0</v>
      </c>
      <c r="F104" s="870"/>
      <c r="G104" s="6"/>
      <c r="H104" s="6"/>
    </row>
    <row r="105" spans="1:18" ht="25.5" hidden="1" outlineLevel="1" x14ac:dyDescent="0.25">
      <c r="A105" s="854"/>
      <c r="B105" s="394" t="s">
        <v>319</v>
      </c>
      <c r="C105" s="892"/>
      <c r="D105" s="854">
        <v>1</v>
      </c>
      <c r="E105" s="875">
        <f t="shared" si="1"/>
        <v>0</v>
      </c>
      <c r="F105" s="882"/>
      <c r="G105" s="7"/>
      <c r="H105" s="7"/>
      <c r="I105" s="8"/>
    </row>
    <row r="106" spans="1:18" ht="30.75" hidden="1" customHeight="1" outlineLevel="1" x14ac:dyDescent="0.25">
      <c r="A106" s="854"/>
      <c r="B106" s="394" t="s">
        <v>320</v>
      </c>
      <c r="C106" s="892">
        <v>0.06</v>
      </c>
      <c r="D106" s="854">
        <v>1</v>
      </c>
      <c r="E106" s="875">
        <f t="shared" si="1"/>
        <v>0.06</v>
      </c>
      <c r="F106" s="870"/>
      <c r="G106" s="6"/>
      <c r="H106" s="6"/>
    </row>
    <row r="107" spans="1:18" hidden="1" outlineLevel="1" x14ac:dyDescent="0.25">
      <c r="A107" s="854"/>
      <c r="B107" s="394" t="s">
        <v>30</v>
      </c>
      <c r="C107" s="892">
        <v>0.18</v>
      </c>
      <c r="D107" s="854">
        <v>1</v>
      </c>
      <c r="E107" s="875">
        <f t="shared" si="1"/>
        <v>0.18</v>
      </c>
      <c r="F107" s="854"/>
    </row>
    <row r="108" spans="1:18" hidden="1" outlineLevel="1" x14ac:dyDescent="0.25">
      <c r="A108" s="854"/>
      <c r="B108" s="854" t="s">
        <v>13</v>
      </c>
      <c r="C108" s="873">
        <v>0.11</v>
      </c>
      <c r="D108" s="854">
        <v>1</v>
      </c>
      <c r="E108" s="875">
        <f t="shared" si="1"/>
        <v>0.11</v>
      </c>
      <c r="F108" s="882"/>
      <c r="G108" s="7"/>
      <c r="H108" s="7"/>
      <c r="I108" s="8"/>
    </row>
    <row r="109" spans="1:18" s="19" customFormat="1" ht="15.75" collapsed="1" x14ac:dyDescent="0.25">
      <c r="A109" s="862"/>
      <c r="B109" s="862" t="s">
        <v>48</v>
      </c>
      <c r="C109" s="862"/>
      <c r="D109" s="862"/>
      <c r="E109" s="862"/>
      <c r="F109" s="862"/>
    </row>
    <row r="110" spans="1:18" s="19" customFormat="1" ht="15.75" x14ac:dyDescent="0.25">
      <c r="A110" s="862"/>
      <c r="B110" s="862" t="s">
        <v>49</v>
      </c>
      <c r="C110" s="862">
        <v>5.32</v>
      </c>
      <c r="D110" s="880"/>
      <c r="E110" s="862"/>
      <c r="F110" s="862"/>
    </row>
    <row r="111" spans="1:18" s="11" customFormat="1" x14ac:dyDescent="0.25">
      <c r="A111" s="862"/>
      <c r="B111" s="861" t="s">
        <v>77</v>
      </c>
      <c r="C111" s="862"/>
      <c r="D111" s="862">
        <v>2</v>
      </c>
      <c r="E111" s="862" t="s">
        <v>341</v>
      </c>
      <c r="F111" s="862"/>
      <c r="I111" s="13"/>
    </row>
    <row r="112" spans="1:18" s="2" customFormat="1" ht="117" customHeight="1" x14ac:dyDescent="0.25">
      <c r="A112" s="854"/>
      <c r="B112" s="854" t="s">
        <v>77</v>
      </c>
      <c r="C112" s="394" t="s">
        <v>1095</v>
      </c>
      <c r="D112" s="394" t="s">
        <v>829</v>
      </c>
      <c r="E112" s="854"/>
      <c r="F112" s="855">
        <f>33.03*2*D113*D114*D115*C133*1000</f>
        <v>29904.664406400007</v>
      </c>
      <c r="I112"/>
      <c r="J112"/>
      <c r="K112"/>
      <c r="Q112" s="17"/>
      <c r="R112" s="17"/>
    </row>
    <row r="113" spans="1:11" s="3" customFormat="1" ht="19.5" customHeight="1" x14ac:dyDescent="0.25">
      <c r="A113" s="866"/>
      <c r="B113" s="865" t="s">
        <v>4</v>
      </c>
      <c r="C113" s="865" t="s">
        <v>5</v>
      </c>
      <c r="D113" s="866">
        <v>0.4</v>
      </c>
      <c r="E113" s="866"/>
      <c r="F113" s="866"/>
      <c r="I113"/>
      <c r="J113"/>
      <c r="K113"/>
    </row>
    <row r="114" spans="1:11" s="2" customFormat="1" ht="81.75" customHeight="1" x14ac:dyDescent="0.25">
      <c r="A114" s="854"/>
      <c r="B114" s="394" t="s">
        <v>827</v>
      </c>
      <c r="C114" s="394" t="s">
        <v>828</v>
      </c>
      <c r="D114" s="854">
        <v>0.2</v>
      </c>
      <c r="E114" s="854"/>
      <c r="F114" s="854"/>
    </row>
    <row r="115" spans="1:11" ht="80.25" customHeight="1" x14ac:dyDescent="0.25">
      <c r="A115" s="854"/>
      <c r="B115" s="394" t="s">
        <v>15</v>
      </c>
      <c r="C115" s="394" t="s">
        <v>345</v>
      </c>
      <c r="D115" s="854">
        <f>E116/1</f>
        <v>1.06365</v>
      </c>
      <c r="E115" s="854"/>
      <c r="F115" s="854"/>
    </row>
    <row r="116" spans="1:11" x14ac:dyDescent="0.25">
      <c r="A116" s="854"/>
      <c r="B116" s="390" t="s">
        <v>6</v>
      </c>
      <c r="C116" s="869">
        <f>SUM(C117:C131)</f>
        <v>1</v>
      </c>
      <c r="D116" s="870"/>
      <c r="E116" s="908">
        <f>SUM(E117:E131)</f>
        <v>1.06365</v>
      </c>
      <c r="F116" s="875"/>
      <c r="G116" s="4"/>
      <c r="H116" s="4"/>
    </row>
    <row r="117" spans="1:11" hidden="1" outlineLevel="1" x14ac:dyDescent="0.25">
      <c r="A117" s="854"/>
      <c r="B117" s="394" t="s">
        <v>20</v>
      </c>
      <c r="C117" s="873">
        <v>0.01</v>
      </c>
      <c r="D117" s="854">
        <v>1</v>
      </c>
      <c r="E117" s="875">
        <f>C117*D117</f>
        <v>0.01</v>
      </c>
      <c r="F117" s="875"/>
      <c r="G117" s="4"/>
      <c r="H117" s="4"/>
    </row>
    <row r="118" spans="1:11" hidden="1" outlineLevel="1" x14ac:dyDescent="0.25">
      <c r="A118" s="854"/>
      <c r="B118" s="394" t="s">
        <v>21</v>
      </c>
      <c r="C118" s="873">
        <v>0.03</v>
      </c>
      <c r="D118" s="854">
        <v>1</v>
      </c>
      <c r="E118" s="875">
        <f>C118*D118</f>
        <v>0.03</v>
      </c>
      <c r="F118" s="875"/>
      <c r="G118" s="4"/>
      <c r="H118" s="4"/>
    </row>
    <row r="119" spans="1:11" hidden="1" outlineLevel="1" x14ac:dyDescent="0.25">
      <c r="A119" s="854"/>
      <c r="B119" s="394" t="s">
        <v>22</v>
      </c>
      <c r="C119" s="873">
        <v>0.09</v>
      </c>
      <c r="D119" s="879" t="s">
        <v>16</v>
      </c>
      <c r="E119" s="875">
        <f>C119*(1+0.3)</f>
        <v>0.11699999999999999</v>
      </c>
      <c r="F119" s="875"/>
      <c r="G119" s="4"/>
      <c r="H119" s="4"/>
    </row>
    <row r="120" spans="1:11" hidden="1" outlineLevel="1" x14ac:dyDescent="0.25">
      <c r="A120" s="854"/>
      <c r="B120" s="394" t="s">
        <v>23</v>
      </c>
      <c r="C120" s="873">
        <v>0.12</v>
      </c>
      <c r="D120" s="879" t="s">
        <v>16</v>
      </c>
      <c r="E120" s="875">
        <f>C120*(1+0.3)</f>
        <v>0.156</v>
      </c>
      <c r="F120" s="875"/>
      <c r="G120" s="4"/>
      <c r="H120" s="4"/>
    </row>
    <row r="121" spans="1:11" ht="38.25" hidden="1" outlineLevel="1" x14ac:dyDescent="0.25">
      <c r="A121" s="854"/>
      <c r="B121" s="394" t="s">
        <v>24</v>
      </c>
      <c r="C121" s="873">
        <v>0.05</v>
      </c>
      <c r="D121" s="879">
        <v>1</v>
      </c>
      <c r="E121" s="875">
        <f t="shared" ref="E121:E130" si="2">C121*D121</f>
        <v>0.05</v>
      </c>
      <c r="F121" s="875"/>
      <c r="G121" s="4"/>
      <c r="H121" s="4"/>
    </row>
    <row r="122" spans="1:11" ht="38.25" hidden="1" outlineLevel="1" x14ac:dyDescent="0.25">
      <c r="A122" s="854"/>
      <c r="B122" s="394" t="s">
        <v>25</v>
      </c>
      <c r="C122" s="873">
        <v>0.04</v>
      </c>
      <c r="D122" s="879">
        <v>1</v>
      </c>
      <c r="E122" s="875">
        <f t="shared" si="2"/>
        <v>0.04</v>
      </c>
      <c r="F122" s="875"/>
      <c r="G122" s="4"/>
      <c r="H122" s="4"/>
    </row>
    <row r="123" spans="1:11" ht="25.5" hidden="1" outlineLevel="1" x14ac:dyDescent="0.25">
      <c r="A123" s="854"/>
      <c r="B123" s="394" t="s">
        <v>26</v>
      </c>
      <c r="C123" s="873">
        <v>0.05</v>
      </c>
      <c r="D123" s="854">
        <v>1</v>
      </c>
      <c r="E123" s="875">
        <f t="shared" si="2"/>
        <v>0.05</v>
      </c>
      <c r="F123" s="875"/>
      <c r="G123" s="4"/>
      <c r="H123" s="4"/>
    </row>
    <row r="124" spans="1:11" ht="38.25" hidden="1" outlineLevel="1" x14ac:dyDescent="0.25">
      <c r="A124" s="854"/>
      <c r="B124" s="394" t="s">
        <v>27</v>
      </c>
      <c r="C124" s="873">
        <v>0.04</v>
      </c>
      <c r="D124" s="854">
        <v>1</v>
      </c>
      <c r="E124" s="875">
        <f t="shared" si="2"/>
        <v>0.04</v>
      </c>
      <c r="F124" s="875"/>
      <c r="G124" s="4"/>
      <c r="H124" s="4"/>
      <c r="I124" s="8"/>
    </row>
    <row r="125" spans="1:11" ht="25.5" hidden="1" outlineLevel="1" x14ac:dyDescent="0.25">
      <c r="A125" s="854"/>
      <c r="B125" s="394" t="s">
        <v>28</v>
      </c>
      <c r="C125" s="873">
        <v>0.02</v>
      </c>
      <c r="D125" s="854">
        <v>1</v>
      </c>
      <c r="E125" s="875">
        <f t="shared" si="2"/>
        <v>0.02</v>
      </c>
      <c r="F125" s="875"/>
      <c r="G125" s="4"/>
      <c r="H125" s="4"/>
    </row>
    <row r="126" spans="1:11" ht="38.25" hidden="1" outlineLevel="1" x14ac:dyDescent="0.25">
      <c r="A126" s="854"/>
      <c r="B126" s="394" t="s">
        <v>29</v>
      </c>
      <c r="C126" s="873">
        <v>0.31</v>
      </c>
      <c r="D126" s="879">
        <v>1</v>
      </c>
      <c r="E126" s="875">
        <f t="shared" si="2"/>
        <v>0.31</v>
      </c>
      <c r="F126" s="875"/>
      <c r="G126" s="4"/>
      <c r="H126" s="4"/>
    </row>
    <row r="127" spans="1:11" hidden="1" outlineLevel="1" x14ac:dyDescent="0.25">
      <c r="A127" s="854"/>
      <c r="B127" s="394" t="s">
        <v>30</v>
      </c>
      <c r="C127" s="873">
        <v>0.04</v>
      </c>
      <c r="D127" s="879">
        <v>1</v>
      </c>
      <c r="E127" s="875">
        <f t="shared" si="2"/>
        <v>0.04</v>
      </c>
      <c r="F127" s="875"/>
      <c r="G127" s="4"/>
      <c r="H127" s="4"/>
    </row>
    <row r="128" spans="1:11" hidden="1" outlineLevel="1" x14ac:dyDescent="0.25">
      <c r="A128" s="854"/>
      <c r="B128" s="394" t="s">
        <v>31</v>
      </c>
      <c r="C128" s="873">
        <v>0.09</v>
      </c>
      <c r="D128" s="854">
        <v>1</v>
      </c>
      <c r="E128" s="875">
        <f t="shared" si="2"/>
        <v>0.09</v>
      </c>
      <c r="F128" s="875"/>
      <c r="G128" s="4"/>
      <c r="H128" s="4"/>
    </row>
    <row r="129" spans="1:18" hidden="1" outlineLevel="1" x14ac:dyDescent="0.25">
      <c r="A129" s="854"/>
      <c r="B129" s="394" t="s">
        <v>32</v>
      </c>
      <c r="C129" s="873">
        <v>0.05</v>
      </c>
      <c r="D129" s="854">
        <v>1</v>
      </c>
      <c r="E129" s="875">
        <f t="shared" si="2"/>
        <v>0.05</v>
      </c>
      <c r="F129" s="875"/>
      <c r="G129" s="4"/>
      <c r="H129" s="4"/>
    </row>
    <row r="130" spans="1:18" ht="23.25" hidden="1" customHeight="1" outlineLevel="1" x14ac:dyDescent="0.25">
      <c r="A130" s="854"/>
      <c r="B130" s="394" t="s">
        <v>33</v>
      </c>
      <c r="C130" s="873">
        <v>0.01</v>
      </c>
      <c r="D130" s="854">
        <v>1</v>
      </c>
      <c r="E130" s="875">
        <f t="shared" si="2"/>
        <v>0.01</v>
      </c>
      <c r="F130" s="875"/>
      <c r="G130" s="4"/>
      <c r="H130" s="4"/>
    </row>
    <row r="131" spans="1:18" hidden="1" outlineLevel="1" x14ac:dyDescent="0.25">
      <c r="A131" s="854"/>
      <c r="B131" s="394" t="s">
        <v>34</v>
      </c>
      <c r="C131" s="873">
        <v>0.05</v>
      </c>
      <c r="D131" s="879"/>
      <c r="E131" s="890">
        <f>SUM(E117:E130)*C131</f>
        <v>5.0650000000000001E-2</v>
      </c>
      <c r="F131" s="890"/>
      <c r="G131" s="14"/>
      <c r="H131" s="14"/>
    </row>
    <row r="132" spans="1:18" s="19" customFormat="1" ht="15.75" collapsed="1" x14ac:dyDescent="0.25">
      <c r="A132" s="862"/>
      <c r="B132" s="862" t="s">
        <v>48</v>
      </c>
      <c r="C132" s="862"/>
      <c r="D132" s="862"/>
      <c r="E132" s="862"/>
      <c r="F132" s="862"/>
    </row>
    <row r="133" spans="1:18" s="19" customFormat="1" ht="15.75" x14ac:dyDescent="0.25">
      <c r="A133" s="862"/>
      <c r="B133" s="862" t="s">
        <v>49</v>
      </c>
      <c r="C133" s="862">
        <v>5.32</v>
      </c>
      <c r="D133" s="880"/>
      <c r="E133" s="862"/>
      <c r="F133" s="862"/>
    </row>
    <row r="134" spans="1:18" s="11" customFormat="1" x14ac:dyDescent="0.25">
      <c r="A134" s="862"/>
      <c r="B134" s="861" t="s">
        <v>342</v>
      </c>
      <c r="C134" s="862"/>
      <c r="D134" s="862">
        <v>2</v>
      </c>
      <c r="E134" s="862" t="s">
        <v>341</v>
      </c>
      <c r="F134" s="862"/>
      <c r="I134" s="13"/>
    </row>
    <row r="135" spans="1:18" s="2" customFormat="1" ht="127.5" customHeight="1" x14ac:dyDescent="0.25">
      <c r="A135" s="854"/>
      <c r="B135" s="394" t="s">
        <v>830</v>
      </c>
      <c r="C135" s="394" t="s">
        <v>1097</v>
      </c>
      <c r="D135" s="394" t="s">
        <v>1096</v>
      </c>
      <c r="E135" s="854"/>
      <c r="F135" s="855">
        <f>(1.02+0.015*(0.4*50+0.6*25))*2*D136*D137*D138*C158*1000</f>
        <v>830.03051980799989</v>
      </c>
      <c r="I135"/>
      <c r="J135"/>
      <c r="K135"/>
      <c r="Q135" s="17"/>
      <c r="R135" s="17"/>
    </row>
    <row r="136" spans="1:18" s="3" customFormat="1" ht="19.5" customHeight="1" x14ac:dyDescent="0.25">
      <c r="A136" s="866"/>
      <c r="B136" s="865" t="s">
        <v>4</v>
      </c>
      <c r="C136" s="865" t="s">
        <v>346</v>
      </c>
      <c r="D136" s="866">
        <v>0.48</v>
      </c>
      <c r="E136" s="866"/>
      <c r="F136" s="866"/>
      <c r="I136"/>
      <c r="J136"/>
      <c r="K136"/>
    </row>
    <row r="137" spans="1:18" s="3" customFormat="1" ht="43.5" customHeight="1" x14ac:dyDescent="0.25">
      <c r="A137" s="866"/>
      <c r="B137" s="865" t="s">
        <v>2</v>
      </c>
      <c r="C137" s="865" t="s">
        <v>231</v>
      </c>
      <c r="D137" s="915">
        <v>0.1</v>
      </c>
      <c r="E137" s="866"/>
      <c r="F137" s="866"/>
      <c r="I137"/>
      <c r="J137"/>
      <c r="K137"/>
    </row>
    <row r="138" spans="1:18" s="2" customFormat="1" ht="86.25" customHeight="1" x14ac:dyDescent="0.25">
      <c r="A138" s="854"/>
      <c r="B138" s="394" t="s">
        <v>15</v>
      </c>
      <c r="C138" s="394" t="s">
        <v>344</v>
      </c>
      <c r="D138" s="854">
        <f>E139/1</f>
        <v>1.05192</v>
      </c>
      <c r="E138" s="854"/>
      <c r="F138" s="854"/>
    </row>
    <row r="139" spans="1:18" x14ac:dyDescent="0.25">
      <c r="A139" s="854"/>
      <c r="B139" s="390" t="s">
        <v>6</v>
      </c>
      <c r="C139" s="869">
        <f>SUM(C140:C156)</f>
        <v>0.99999999999999989</v>
      </c>
      <c r="D139" s="870"/>
      <c r="E139" s="908">
        <f>SUM(E140:E156)</f>
        <v>1.05192</v>
      </c>
      <c r="F139" s="875"/>
      <c r="G139" s="4"/>
      <c r="H139" s="4"/>
    </row>
    <row r="140" spans="1:18" hidden="1" outlineLevel="1" x14ac:dyDescent="0.25">
      <c r="A140" s="854"/>
      <c r="B140" s="394" t="s">
        <v>20</v>
      </c>
      <c r="C140" s="873">
        <v>0.02</v>
      </c>
      <c r="D140" s="854">
        <v>1</v>
      </c>
      <c r="E140" s="875">
        <f>C140*D140</f>
        <v>0.02</v>
      </c>
      <c r="F140" s="933"/>
    </row>
    <row r="141" spans="1:18" hidden="1" outlineLevel="1" x14ac:dyDescent="0.25">
      <c r="A141" s="854"/>
      <c r="B141" s="394" t="s">
        <v>21</v>
      </c>
      <c r="C141" s="873">
        <v>0.02</v>
      </c>
      <c r="D141" s="854">
        <v>1</v>
      </c>
      <c r="E141" s="875">
        <f t="shared" ref="E141:E155" si="3">C141*D141</f>
        <v>0.02</v>
      </c>
      <c r="F141" s="933"/>
    </row>
    <row r="142" spans="1:18" hidden="1" outlineLevel="1" x14ac:dyDescent="0.25">
      <c r="A142" s="854"/>
      <c r="B142" s="394" t="s">
        <v>22</v>
      </c>
      <c r="C142" s="873">
        <v>0.06</v>
      </c>
      <c r="D142" s="879" t="s">
        <v>16</v>
      </c>
      <c r="E142" s="875">
        <f>C142*(1+0.3)</f>
        <v>7.8E-2</v>
      </c>
      <c r="F142" s="933"/>
    </row>
    <row r="143" spans="1:18" hidden="1" outlineLevel="1" x14ac:dyDescent="0.25">
      <c r="A143" s="854"/>
      <c r="B143" s="394" t="s">
        <v>23</v>
      </c>
      <c r="C143" s="873">
        <v>0.12</v>
      </c>
      <c r="D143" s="879" t="s">
        <v>16</v>
      </c>
      <c r="E143" s="875">
        <f>C143*(1+0.3)</f>
        <v>0.156</v>
      </c>
      <c r="F143" s="933"/>
    </row>
    <row r="144" spans="1:18" ht="25.5" hidden="1" outlineLevel="1" x14ac:dyDescent="0.25">
      <c r="A144" s="854"/>
      <c r="B144" s="394" t="s">
        <v>343</v>
      </c>
      <c r="C144" s="873"/>
      <c r="D144" s="854">
        <v>1</v>
      </c>
      <c r="E144" s="875">
        <f t="shared" si="3"/>
        <v>0</v>
      </c>
      <c r="F144" s="933"/>
    </row>
    <row r="145" spans="1:18" hidden="1" outlineLevel="1" x14ac:dyDescent="0.25">
      <c r="A145" s="854"/>
      <c r="B145" s="877" t="s">
        <v>37</v>
      </c>
      <c r="C145" s="873">
        <v>0.16</v>
      </c>
      <c r="D145" s="854">
        <v>1</v>
      </c>
      <c r="E145" s="875">
        <f t="shared" si="3"/>
        <v>0.16</v>
      </c>
      <c r="F145" s="933"/>
    </row>
    <row r="146" spans="1:18" hidden="1" outlineLevel="1" x14ac:dyDescent="0.25">
      <c r="A146" s="854"/>
      <c r="B146" s="877" t="s">
        <v>38</v>
      </c>
      <c r="C146" s="873">
        <v>0.02</v>
      </c>
      <c r="D146" s="854">
        <v>1</v>
      </c>
      <c r="E146" s="875">
        <f t="shared" si="3"/>
        <v>0.02</v>
      </c>
      <c r="F146" s="933"/>
    </row>
    <row r="147" spans="1:18" hidden="1" outlineLevel="1" x14ac:dyDescent="0.25">
      <c r="A147" s="854"/>
      <c r="B147" s="877" t="s">
        <v>39</v>
      </c>
      <c r="C147" s="873">
        <v>0.02</v>
      </c>
      <c r="D147" s="854">
        <v>1</v>
      </c>
      <c r="E147" s="875">
        <f t="shared" si="3"/>
        <v>0.02</v>
      </c>
      <c r="F147" s="933"/>
    </row>
    <row r="148" spans="1:18" hidden="1" outlineLevel="1" x14ac:dyDescent="0.25">
      <c r="A148" s="854"/>
      <c r="B148" s="877" t="s">
        <v>40</v>
      </c>
      <c r="C148" s="873">
        <v>0.1</v>
      </c>
      <c r="D148" s="854">
        <v>1</v>
      </c>
      <c r="E148" s="875">
        <f t="shared" si="3"/>
        <v>0.1</v>
      </c>
      <c r="F148" s="933"/>
    </row>
    <row r="149" spans="1:18" hidden="1" outlineLevel="1" x14ac:dyDescent="0.25">
      <c r="A149" s="854"/>
      <c r="B149" s="877" t="s">
        <v>41</v>
      </c>
      <c r="C149" s="873">
        <v>0.02</v>
      </c>
      <c r="D149" s="854">
        <v>1</v>
      </c>
      <c r="E149" s="875">
        <f t="shared" si="3"/>
        <v>0.02</v>
      </c>
      <c r="F149" s="933"/>
    </row>
    <row r="150" spans="1:18" hidden="1" outlineLevel="1" x14ac:dyDescent="0.25">
      <c r="A150" s="854"/>
      <c r="B150" s="877" t="s">
        <v>42</v>
      </c>
      <c r="C150" s="873">
        <v>0.01</v>
      </c>
      <c r="D150" s="854">
        <v>1</v>
      </c>
      <c r="E150" s="875">
        <f t="shared" si="3"/>
        <v>0.01</v>
      </c>
      <c r="F150" s="933"/>
    </row>
    <row r="151" spans="1:18" hidden="1" outlineLevel="1" x14ac:dyDescent="0.25">
      <c r="A151" s="854"/>
      <c r="B151" s="877" t="s">
        <v>43</v>
      </c>
      <c r="C151" s="873">
        <v>0.18</v>
      </c>
      <c r="D151" s="854">
        <v>1</v>
      </c>
      <c r="E151" s="875">
        <f t="shared" si="3"/>
        <v>0.18</v>
      </c>
      <c r="F151" s="933"/>
    </row>
    <row r="152" spans="1:18" hidden="1" outlineLevel="1" x14ac:dyDescent="0.25">
      <c r="A152" s="854"/>
      <c r="B152" s="394" t="s">
        <v>30</v>
      </c>
      <c r="C152" s="873">
        <v>0.03</v>
      </c>
      <c r="D152" s="854">
        <v>1</v>
      </c>
      <c r="E152" s="875">
        <f t="shared" si="3"/>
        <v>0.03</v>
      </c>
      <c r="F152" s="933"/>
    </row>
    <row r="153" spans="1:18" hidden="1" outlineLevel="1" x14ac:dyDescent="0.25">
      <c r="A153" s="854"/>
      <c r="B153" s="394" t="s">
        <v>44</v>
      </c>
      <c r="C153" s="873">
        <v>0.09</v>
      </c>
      <c r="D153" s="854">
        <v>1</v>
      </c>
      <c r="E153" s="875">
        <f t="shared" si="3"/>
        <v>0.09</v>
      </c>
      <c r="F153" s="933"/>
    </row>
    <row r="154" spans="1:18" hidden="1" outlineLevel="1" x14ac:dyDescent="0.25">
      <c r="A154" s="854"/>
      <c r="B154" s="394" t="s">
        <v>32</v>
      </c>
      <c r="C154" s="873">
        <v>0.06</v>
      </c>
      <c r="D154" s="854">
        <v>1</v>
      </c>
      <c r="E154" s="875">
        <f t="shared" si="3"/>
        <v>0.06</v>
      </c>
      <c r="F154" s="933"/>
    </row>
    <row r="155" spans="1:18" hidden="1" outlineLevel="1" x14ac:dyDescent="0.25">
      <c r="A155" s="854"/>
      <c r="B155" s="394" t="s">
        <v>45</v>
      </c>
      <c r="C155" s="873">
        <v>0.01</v>
      </c>
      <c r="D155" s="854">
        <v>1</v>
      </c>
      <c r="E155" s="875">
        <f t="shared" si="3"/>
        <v>0.01</v>
      </c>
      <c r="F155" s="933"/>
    </row>
    <row r="156" spans="1:18" hidden="1" outlineLevel="1" x14ac:dyDescent="0.25">
      <c r="A156" s="854"/>
      <c r="B156" s="394" t="s">
        <v>34</v>
      </c>
      <c r="C156" s="873">
        <v>0.08</v>
      </c>
      <c r="D156" s="879"/>
      <c r="E156" s="937">
        <f>SUM(E140:E155)*C156</f>
        <v>7.7920000000000003E-2</v>
      </c>
      <c r="F156" s="890"/>
      <c r="G156" s="14"/>
      <c r="H156" s="14"/>
    </row>
    <row r="157" spans="1:18" s="19" customFormat="1" ht="15.75" collapsed="1" x14ac:dyDescent="0.25">
      <c r="A157" s="862"/>
      <c r="B157" s="862" t="s">
        <v>48</v>
      </c>
      <c r="C157" s="862"/>
      <c r="D157" s="862"/>
      <c r="E157" s="862"/>
      <c r="F157" s="862"/>
    </row>
    <row r="158" spans="1:18" s="19" customFormat="1" ht="15.75" x14ac:dyDescent="0.25">
      <c r="A158" s="862"/>
      <c r="B158" s="862" t="s">
        <v>49</v>
      </c>
      <c r="C158" s="862">
        <v>5.32</v>
      </c>
      <c r="D158" s="880"/>
      <c r="E158" s="862"/>
      <c r="F158" s="862"/>
    </row>
    <row r="159" spans="1:18" s="11" customFormat="1" x14ac:dyDescent="0.25">
      <c r="A159" s="862"/>
      <c r="B159" s="861" t="s">
        <v>205</v>
      </c>
      <c r="C159" s="862"/>
      <c r="D159" s="862">
        <v>4</v>
      </c>
      <c r="E159" s="862" t="s">
        <v>19</v>
      </c>
      <c r="F159" s="862"/>
      <c r="I159" s="13"/>
    </row>
    <row r="160" spans="1:18" s="2" customFormat="1" ht="65.25" customHeight="1" x14ac:dyDescent="0.25">
      <c r="A160" s="854"/>
      <c r="B160" s="854" t="s">
        <v>832</v>
      </c>
      <c r="C160" s="394" t="s">
        <v>831</v>
      </c>
      <c r="D160" s="394" t="s">
        <v>833</v>
      </c>
      <c r="E160" s="854"/>
      <c r="F160" s="855">
        <f>(33+5.5*1)*D161*D162*D163*C181*1000</f>
        <v>199804.57266000003</v>
      </c>
      <c r="I160"/>
      <c r="J160"/>
      <c r="K160"/>
      <c r="Q160" s="17"/>
      <c r="R160" s="17"/>
    </row>
    <row r="161" spans="1:11" s="3" customFormat="1" ht="19.5" customHeight="1" x14ac:dyDescent="0.25">
      <c r="A161" s="866"/>
      <c r="B161" s="865" t="s">
        <v>4</v>
      </c>
      <c r="C161" s="865" t="s">
        <v>5</v>
      </c>
      <c r="D161" s="866">
        <v>0.4</v>
      </c>
      <c r="E161" s="866"/>
      <c r="F161" s="866"/>
      <c r="I161"/>
      <c r="J161"/>
      <c r="K161"/>
    </row>
    <row r="162" spans="1:11" s="3" customFormat="1" ht="87" customHeight="1" x14ac:dyDescent="0.25">
      <c r="A162" s="866"/>
      <c r="B162" s="394" t="s">
        <v>46</v>
      </c>
      <c r="C162" s="865" t="s">
        <v>306</v>
      </c>
      <c r="D162" s="866">
        <f>1+(D159-1)*0.35</f>
        <v>2.0499999999999998</v>
      </c>
      <c r="E162" s="866"/>
      <c r="F162" s="866"/>
      <c r="I162"/>
      <c r="J162"/>
      <c r="K162"/>
    </row>
    <row r="163" spans="1:11" ht="103.5" customHeight="1" x14ac:dyDescent="0.25">
      <c r="A163" s="854"/>
      <c r="B163" s="394" t="s">
        <v>15</v>
      </c>
      <c r="C163" s="394" t="s">
        <v>35</v>
      </c>
      <c r="D163" s="854">
        <f>E164/1</f>
        <v>1.1896500000000003</v>
      </c>
      <c r="E163" s="854"/>
      <c r="F163" s="854"/>
    </row>
    <row r="164" spans="1:11" x14ac:dyDescent="0.25">
      <c r="A164" s="854"/>
      <c r="B164" s="390" t="s">
        <v>6</v>
      </c>
      <c r="C164" s="869">
        <f>SUM(C165:C179)</f>
        <v>1</v>
      </c>
      <c r="D164" s="870"/>
      <c r="E164" s="908">
        <f>SUM(E165:E179)</f>
        <v>1.1896500000000003</v>
      </c>
      <c r="F164" s="875"/>
      <c r="G164" s="4"/>
      <c r="H164" s="4"/>
    </row>
    <row r="165" spans="1:11" hidden="1" outlineLevel="1" x14ac:dyDescent="0.25">
      <c r="A165" s="854"/>
      <c r="B165" s="394" t="s">
        <v>20</v>
      </c>
      <c r="C165" s="873">
        <v>0.01</v>
      </c>
      <c r="D165" s="854">
        <v>1</v>
      </c>
      <c r="E165" s="875">
        <f>C165*D165</f>
        <v>0.01</v>
      </c>
      <c r="F165" s="875"/>
      <c r="G165" s="4"/>
      <c r="H165" s="4"/>
    </row>
    <row r="166" spans="1:11" hidden="1" outlineLevel="1" x14ac:dyDescent="0.25">
      <c r="A166" s="854"/>
      <c r="B166" s="394" t="s">
        <v>21</v>
      </c>
      <c r="C166" s="873">
        <v>0.03</v>
      </c>
      <c r="D166" s="854">
        <v>1</v>
      </c>
      <c r="E166" s="875">
        <f>C166*D166</f>
        <v>0.03</v>
      </c>
      <c r="F166" s="875"/>
      <c r="G166" s="4"/>
      <c r="H166" s="4"/>
    </row>
    <row r="167" spans="1:11" hidden="1" outlineLevel="1" x14ac:dyDescent="0.25">
      <c r="A167" s="854"/>
      <c r="B167" s="394" t="s">
        <v>22</v>
      </c>
      <c r="C167" s="873">
        <v>0.09</v>
      </c>
      <c r="D167" s="879" t="s">
        <v>16</v>
      </c>
      <c r="E167" s="875">
        <f>C167*(1+0.3)</f>
        <v>0.11699999999999999</v>
      </c>
      <c r="F167" s="875"/>
      <c r="G167" s="4"/>
      <c r="H167" s="4"/>
    </row>
    <row r="168" spans="1:11" hidden="1" outlineLevel="1" x14ac:dyDescent="0.25">
      <c r="A168" s="854"/>
      <c r="B168" s="394" t="s">
        <v>23</v>
      </c>
      <c r="C168" s="873">
        <v>0.12</v>
      </c>
      <c r="D168" s="879" t="s">
        <v>16</v>
      </c>
      <c r="E168" s="875">
        <f>C168*(1+0.3)</f>
        <v>0.156</v>
      </c>
      <c r="F168" s="875"/>
      <c r="G168" s="4"/>
      <c r="H168" s="4"/>
    </row>
    <row r="169" spans="1:11" ht="38.25" hidden="1" outlineLevel="1" x14ac:dyDescent="0.25">
      <c r="A169" s="854"/>
      <c r="B169" s="394" t="s">
        <v>24</v>
      </c>
      <c r="C169" s="873">
        <v>0.05</v>
      </c>
      <c r="D169" s="879" t="s">
        <v>16</v>
      </c>
      <c r="E169" s="875">
        <f>C169*(1+0.3)</f>
        <v>6.5000000000000002E-2</v>
      </c>
      <c r="F169" s="875"/>
      <c r="G169" s="4"/>
      <c r="H169" s="4"/>
    </row>
    <row r="170" spans="1:11" ht="38.25" hidden="1" outlineLevel="1" x14ac:dyDescent="0.25">
      <c r="A170" s="854"/>
      <c r="B170" s="394" t="s">
        <v>25</v>
      </c>
      <c r="C170" s="873">
        <v>0.04</v>
      </c>
      <c r="D170" s="879" t="s">
        <v>16</v>
      </c>
      <c r="E170" s="875">
        <f>C170*(1+0.3)</f>
        <v>5.2000000000000005E-2</v>
      </c>
      <c r="F170" s="875"/>
      <c r="G170" s="4"/>
      <c r="H170" s="4"/>
    </row>
    <row r="171" spans="1:11" ht="25.5" hidden="1" outlineLevel="1" x14ac:dyDescent="0.25">
      <c r="A171" s="854"/>
      <c r="B171" s="394" t="s">
        <v>26</v>
      </c>
      <c r="C171" s="873">
        <v>0.05</v>
      </c>
      <c r="D171" s="854">
        <v>1</v>
      </c>
      <c r="E171" s="875">
        <f>C171*D171</f>
        <v>0.05</v>
      </c>
      <c r="F171" s="875"/>
      <c r="G171" s="4"/>
      <c r="H171" s="4"/>
    </row>
    <row r="172" spans="1:11" ht="38.25" hidden="1" outlineLevel="1" x14ac:dyDescent="0.25">
      <c r="A172" s="854"/>
      <c r="B172" s="394" t="s">
        <v>27</v>
      </c>
      <c r="C172" s="873">
        <v>0.04</v>
      </c>
      <c r="D172" s="854">
        <v>1</v>
      </c>
      <c r="E172" s="875">
        <f>C172*D172</f>
        <v>0.04</v>
      </c>
      <c r="F172" s="875"/>
      <c r="G172" s="4"/>
      <c r="H172" s="4"/>
      <c r="I172" s="8"/>
    </row>
    <row r="173" spans="1:11" ht="25.5" hidden="1" outlineLevel="1" x14ac:dyDescent="0.25">
      <c r="A173" s="854"/>
      <c r="B173" s="394" t="s">
        <v>28</v>
      </c>
      <c r="C173" s="873">
        <v>0.02</v>
      </c>
      <c r="D173" s="854">
        <v>1</v>
      </c>
      <c r="E173" s="875">
        <f>C173*D173</f>
        <v>0.02</v>
      </c>
      <c r="F173" s="875"/>
      <c r="G173" s="4"/>
      <c r="H173" s="4"/>
    </row>
    <row r="174" spans="1:11" ht="38.25" hidden="1" outlineLevel="1" x14ac:dyDescent="0.25">
      <c r="A174" s="854"/>
      <c r="B174" s="394" t="s">
        <v>29</v>
      </c>
      <c r="C174" s="873">
        <v>0.31</v>
      </c>
      <c r="D174" s="879" t="s">
        <v>16</v>
      </c>
      <c r="E174" s="875">
        <f>C174*(1+0.3)</f>
        <v>0.40300000000000002</v>
      </c>
      <c r="F174" s="875"/>
      <c r="G174" s="4"/>
      <c r="H174" s="4"/>
    </row>
    <row r="175" spans="1:11" ht="23.25" hidden="1" customHeight="1" outlineLevel="1" x14ac:dyDescent="0.25">
      <c r="A175" s="854"/>
      <c r="B175" s="394" t="s">
        <v>30</v>
      </c>
      <c r="C175" s="873">
        <v>0.04</v>
      </c>
      <c r="D175" s="879">
        <v>1</v>
      </c>
      <c r="E175" s="875">
        <f>C175*D175</f>
        <v>0.04</v>
      </c>
      <c r="F175" s="875"/>
      <c r="G175" s="4"/>
      <c r="H175" s="4"/>
    </row>
    <row r="176" spans="1:11" hidden="1" outlineLevel="1" x14ac:dyDescent="0.25">
      <c r="A176" s="854"/>
      <c r="B176" s="394" t="s">
        <v>31</v>
      </c>
      <c r="C176" s="873">
        <v>0.09</v>
      </c>
      <c r="D176" s="854">
        <v>1</v>
      </c>
      <c r="E176" s="875">
        <f>C176*D176</f>
        <v>0.09</v>
      </c>
      <c r="F176" s="875"/>
      <c r="G176" s="4"/>
      <c r="H176" s="4"/>
    </row>
    <row r="177" spans="1:18" ht="40.5" hidden="1" customHeight="1" outlineLevel="1" x14ac:dyDescent="0.25">
      <c r="A177" s="854"/>
      <c r="B177" s="394" t="s">
        <v>32</v>
      </c>
      <c r="C177" s="873">
        <v>0.05</v>
      </c>
      <c r="D177" s="854">
        <v>1</v>
      </c>
      <c r="E177" s="875">
        <f>C177*D177</f>
        <v>0.05</v>
      </c>
      <c r="F177" s="875"/>
      <c r="G177" s="4"/>
      <c r="H177" s="4"/>
    </row>
    <row r="178" spans="1:18" ht="49.5" hidden="1" customHeight="1" outlineLevel="1" x14ac:dyDescent="0.25">
      <c r="A178" s="854"/>
      <c r="B178" s="394" t="s">
        <v>33</v>
      </c>
      <c r="C178" s="873">
        <v>0.01</v>
      </c>
      <c r="D178" s="854">
        <v>1</v>
      </c>
      <c r="E178" s="875">
        <f>C178*D178</f>
        <v>0.01</v>
      </c>
      <c r="F178" s="875"/>
      <c r="G178" s="4"/>
      <c r="H178" s="4"/>
    </row>
    <row r="179" spans="1:18" hidden="1" outlineLevel="1" x14ac:dyDescent="0.25">
      <c r="A179" s="854"/>
      <c r="B179" s="394" t="s">
        <v>34</v>
      </c>
      <c r="C179" s="873">
        <v>0.05</v>
      </c>
      <c r="D179" s="879"/>
      <c r="E179" s="890">
        <f>SUM(E165:E178)*C179</f>
        <v>5.6650000000000013E-2</v>
      </c>
      <c r="F179" s="890"/>
      <c r="G179" s="14"/>
      <c r="H179" s="14"/>
    </row>
    <row r="180" spans="1:18" s="19" customFormat="1" ht="15.75" collapsed="1" x14ac:dyDescent="0.25">
      <c r="A180" s="862"/>
      <c r="B180" s="862" t="s">
        <v>48</v>
      </c>
      <c r="C180" s="862"/>
      <c r="D180" s="862"/>
      <c r="E180" s="862"/>
      <c r="F180" s="862"/>
    </row>
    <row r="181" spans="1:18" s="19" customFormat="1" ht="15.75" x14ac:dyDescent="0.25">
      <c r="A181" s="862"/>
      <c r="B181" s="862" t="s">
        <v>49</v>
      </c>
      <c r="C181" s="862">
        <v>5.32</v>
      </c>
      <c r="D181" s="880"/>
      <c r="E181" s="862"/>
      <c r="F181" s="862"/>
    </row>
    <row r="182" spans="1:18" s="11" customFormat="1" x14ac:dyDescent="0.25">
      <c r="A182" s="862"/>
      <c r="B182" s="861" t="s">
        <v>706</v>
      </c>
      <c r="C182" s="862"/>
      <c r="D182" s="862">
        <f>D14</f>
        <v>150</v>
      </c>
      <c r="E182" s="862" t="s">
        <v>746</v>
      </c>
      <c r="F182" s="862"/>
      <c r="I182" s="13"/>
    </row>
    <row r="183" spans="1:18" s="2" customFormat="1" ht="83.25" customHeight="1" x14ac:dyDescent="0.25">
      <c r="A183" s="854"/>
      <c r="B183" s="394" t="s">
        <v>834</v>
      </c>
      <c r="C183" s="394" t="s">
        <v>836</v>
      </c>
      <c r="D183" s="394" t="s">
        <v>925</v>
      </c>
      <c r="E183" s="854"/>
      <c r="F183" s="855">
        <f>(39+ 0*(0.4*500+0.6*150))*D184*D185*D186*C206*1000</f>
        <v>49756.160563200006</v>
      </c>
      <c r="I183"/>
      <c r="J183"/>
      <c r="K183"/>
      <c r="Q183" s="17"/>
      <c r="R183" s="17"/>
    </row>
    <row r="184" spans="1:18" s="3" customFormat="1" ht="19.5" customHeight="1" x14ac:dyDescent="0.25">
      <c r="A184" s="866"/>
      <c r="B184" s="865" t="s">
        <v>4</v>
      </c>
      <c r="C184" s="865" t="s">
        <v>720</v>
      </c>
      <c r="D184" s="866">
        <v>0.36</v>
      </c>
      <c r="E184" s="866"/>
      <c r="F184" s="866"/>
      <c r="I184"/>
      <c r="J184"/>
      <c r="K184"/>
    </row>
    <row r="185" spans="1:18" s="3" customFormat="1" ht="37.5" customHeight="1" x14ac:dyDescent="0.25">
      <c r="A185" s="866"/>
      <c r="B185" s="394" t="s">
        <v>835</v>
      </c>
      <c r="C185" s="854" t="s">
        <v>530</v>
      </c>
      <c r="D185" s="867">
        <f>150/(500*0.5)</f>
        <v>0.6</v>
      </c>
      <c r="E185" s="866"/>
      <c r="F185" s="866"/>
      <c r="I185"/>
      <c r="J185"/>
      <c r="K185"/>
    </row>
    <row r="186" spans="1:18" ht="85.5" customHeight="1" x14ac:dyDescent="0.25">
      <c r="A186" s="854"/>
      <c r="B186" s="394" t="s">
        <v>15</v>
      </c>
      <c r="C186" s="394" t="s">
        <v>35</v>
      </c>
      <c r="D186" s="854">
        <f>E187/1</f>
        <v>1.1102400000000001</v>
      </c>
      <c r="E186" s="854"/>
      <c r="F186" s="854"/>
    </row>
    <row r="187" spans="1:18" x14ac:dyDescent="0.25">
      <c r="A187" s="854"/>
      <c r="B187" s="390" t="s">
        <v>6</v>
      </c>
      <c r="C187" s="869">
        <f>SUM(C188:C204)</f>
        <v>0.99999999999999989</v>
      </c>
      <c r="D187" s="870"/>
      <c r="E187" s="908">
        <f>SUM(E188:E204)</f>
        <v>1.1102400000000001</v>
      </c>
      <c r="F187" s="875"/>
      <c r="G187" s="4"/>
      <c r="H187" s="4"/>
    </row>
    <row r="188" spans="1:18" hidden="1" outlineLevel="1" x14ac:dyDescent="0.25">
      <c r="A188" s="854"/>
      <c r="B188" s="394" t="s">
        <v>20</v>
      </c>
      <c r="C188" s="873">
        <v>0.02</v>
      </c>
      <c r="D188" s="854">
        <v>1</v>
      </c>
      <c r="E188" s="875">
        <f>C188*D188</f>
        <v>0.02</v>
      </c>
      <c r="F188" s="854"/>
    </row>
    <row r="189" spans="1:18" hidden="1" outlineLevel="1" x14ac:dyDescent="0.25">
      <c r="A189" s="854"/>
      <c r="B189" s="394" t="s">
        <v>21</v>
      </c>
      <c r="C189" s="873">
        <v>0.02</v>
      </c>
      <c r="D189" s="854">
        <v>1</v>
      </c>
      <c r="E189" s="875">
        <f>C189*D189</f>
        <v>0.02</v>
      </c>
      <c r="F189" s="854"/>
    </row>
    <row r="190" spans="1:18" hidden="1" outlineLevel="1" x14ac:dyDescent="0.25">
      <c r="A190" s="854"/>
      <c r="B190" s="394" t="s">
        <v>22</v>
      </c>
      <c r="C190" s="873">
        <v>0.06</v>
      </c>
      <c r="D190" s="879" t="s">
        <v>16</v>
      </c>
      <c r="E190" s="875">
        <f>C190*(1+0.3)</f>
        <v>7.8E-2</v>
      </c>
      <c r="F190" s="854"/>
    </row>
    <row r="191" spans="1:18" hidden="1" outlineLevel="1" x14ac:dyDescent="0.25">
      <c r="A191" s="854"/>
      <c r="B191" s="394" t="s">
        <v>23</v>
      </c>
      <c r="C191" s="873">
        <v>0.12</v>
      </c>
      <c r="D191" s="879" t="s">
        <v>16</v>
      </c>
      <c r="E191" s="875">
        <f>C191*(1+0.3)</f>
        <v>0.156</v>
      </c>
      <c r="F191" s="854"/>
    </row>
    <row r="192" spans="1:18" ht="25.5" hidden="1" outlineLevel="1" x14ac:dyDescent="0.25">
      <c r="A192" s="854"/>
      <c r="B192" s="394" t="s">
        <v>343</v>
      </c>
      <c r="C192" s="873"/>
      <c r="D192" s="879"/>
      <c r="E192" s="875"/>
      <c r="F192" s="854"/>
    </row>
    <row r="193" spans="1:18" hidden="1" outlineLevel="1" x14ac:dyDescent="0.25">
      <c r="A193" s="854"/>
      <c r="B193" s="877" t="s">
        <v>37</v>
      </c>
      <c r="C193" s="873">
        <v>0.16</v>
      </c>
      <c r="D193" s="879" t="s">
        <v>16</v>
      </c>
      <c r="E193" s="875">
        <f>C193*(1+0.3)</f>
        <v>0.20800000000000002</v>
      </c>
      <c r="F193" s="854"/>
    </row>
    <row r="194" spans="1:18" hidden="1" outlineLevel="1" x14ac:dyDescent="0.25">
      <c r="A194" s="854"/>
      <c r="B194" s="877" t="s">
        <v>38</v>
      </c>
      <c r="C194" s="873">
        <v>0.02</v>
      </c>
      <c r="D194" s="854">
        <v>1</v>
      </c>
      <c r="E194" s="875">
        <f>C194*D194</f>
        <v>0.02</v>
      </c>
      <c r="F194" s="854"/>
    </row>
    <row r="195" spans="1:18" hidden="1" outlineLevel="1" x14ac:dyDescent="0.25">
      <c r="A195" s="854"/>
      <c r="B195" s="877" t="s">
        <v>39</v>
      </c>
      <c r="C195" s="873">
        <v>0.02</v>
      </c>
      <c r="D195" s="854">
        <v>1</v>
      </c>
      <c r="E195" s="875">
        <f t="shared" ref="E195:E196" si="4">C195*D195</f>
        <v>0.02</v>
      </c>
      <c r="F195" s="854"/>
    </row>
    <row r="196" spans="1:18" hidden="1" outlineLevel="1" x14ac:dyDescent="0.25">
      <c r="A196" s="854"/>
      <c r="B196" s="877" t="s">
        <v>40</v>
      </c>
      <c r="C196" s="873">
        <v>0.1</v>
      </c>
      <c r="D196" s="854">
        <v>1</v>
      </c>
      <c r="E196" s="875">
        <f t="shared" si="4"/>
        <v>0.1</v>
      </c>
      <c r="F196" s="854"/>
    </row>
    <row r="197" spans="1:18" hidden="1" outlineLevel="1" x14ac:dyDescent="0.25">
      <c r="A197" s="854"/>
      <c r="B197" s="877" t="s">
        <v>41</v>
      </c>
      <c r="C197" s="873">
        <v>0.02</v>
      </c>
      <c r="D197" s="879" t="s">
        <v>16</v>
      </c>
      <c r="E197" s="875">
        <f>C197*(1+0.3)</f>
        <v>2.6000000000000002E-2</v>
      </c>
      <c r="F197" s="854"/>
    </row>
    <row r="198" spans="1:18" hidden="1" outlineLevel="1" x14ac:dyDescent="0.25">
      <c r="A198" s="854"/>
      <c r="B198" s="877" t="s">
        <v>42</v>
      </c>
      <c r="C198" s="873">
        <v>0.01</v>
      </c>
      <c r="D198" s="854">
        <v>1</v>
      </c>
      <c r="E198" s="875">
        <f t="shared" ref="E198:E203" si="5">C198*D198</f>
        <v>0.01</v>
      </c>
      <c r="F198" s="854"/>
    </row>
    <row r="199" spans="1:18" hidden="1" outlineLevel="1" x14ac:dyDescent="0.25">
      <c r="A199" s="854"/>
      <c r="B199" s="877" t="s">
        <v>43</v>
      </c>
      <c r="C199" s="873">
        <v>0.18</v>
      </c>
      <c r="D199" s="854">
        <v>1</v>
      </c>
      <c r="E199" s="875">
        <f t="shared" si="5"/>
        <v>0.18</v>
      </c>
      <c r="F199" s="854"/>
    </row>
    <row r="200" spans="1:18" hidden="1" outlineLevel="1" x14ac:dyDescent="0.25">
      <c r="A200" s="854"/>
      <c r="B200" s="394" t="s">
        <v>30</v>
      </c>
      <c r="C200" s="873">
        <v>0.03</v>
      </c>
      <c r="D200" s="854">
        <v>1</v>
      </c>
      <c r="E200" s="875">
        <f t="shared" si="5"/>
        <v>0.03</v>
      </c>
      <c r="F200" s="854"/>
    </row>
    <row r="201" spans="1:18" hidden="1" outlineLevel="1" x14ac:dyDescent="0.25">
      <c r="A201" s="854"/>
      <c r="B201" s="394" t="s">
        <v>44</v>
      </c>
      <c r="C201" s="873">
        <v>0.09</v>
      </c>
      <c r="D201" s="854">
        <v>1</v>
      </c>
      <c r="E201" s="875">
        <f t="shared" si="5"/>
        <v>0.09</v>
      </c>
      <c r="F201" s="854"/>
    </row>
    <row r="202" spans="1:18" hidden="1" outlineLevel="1" x14ac:dyDescent="0.25">
      <c r="A202" s="854"/>
      <c r="B202" s="394" t="s">
        <v>32</v>
      </c>
      <c r="C202" s="873">
        <v>0.06</v>
      </c>
      <c r="D202" s="854">
        <v>1</v>
      </c>
      <c r="E202" s="875">
        <f t="shared" si="5"/>
        <v>0.06</v>
      </c>
      <c r="F202" s="854"/>
    </row>
    <row r="203" spans="1:18" hidden="1" outlineLevel="1" x14ac:dyDescent="0.25">
      <c r="A203" s="854"/>
      <c r="B203" s="394" t="s">
        <v>45</v>
      </c>
      <c r="C203" s="873">
        <v>0.01</v>
      </c>
      <c r="D203" s="854">
        <v>1</v>
      </c>
      <c r="E203" s="875">
        <f t="shared" si="5"/>
        <v>0.01</v>
      </c>
      <c r="F203" s="854"/>
    </row>
    <row r="204" spans="1:18" hidden="1" outlineLevel="1" x14ac:dyDescent="0.25">
      <c r="A204" s="854"/>
      <c r="B204" s="394" t="s">
        <v>34</v>
      </c>
      <c r="C204" s="873">
        <v>0.08</v>
      </c>
      <c r="D204" s="879"/>
      <c r="E204" s="890">
        <f>SUM(E188:E203)*C204</f>
        <v>8.2240000000000008E-2</v>
      </c>
      <c r="F204" s="890"/>
      <c r="G204" s="14"/>
      <c r="H204" s="14"/>
    </row>
    <row r="205" spans="1:18" s="19" customFormat="1" ht="15.75" collapsed="1" x14ac:dyDescent="0.25">
      <c r="A205" s="862"/>
      <c r="B205" s="862" t="s">
        <v>48</v>
      </c>
      <c r="C205" s="862"/>
      <c r="D205" s="862"/>
      <c r="E205" s="862"/>
      <c r="F205" s="862"/>
    </row>
    <row r="206" spans="1:18" s="19" customFormat="1" ht="15.75" x14ac:dyDescent="0.25">
      <c r="A206" s="862"/>
      <c r="B206" s="862" t="s">
        <v>49</v>
      </c>
      <c r="C206" s="862">
        <v>5.32</v>
      </c>
      <c r="D206" s="880"/>
      <c r="E206" s="862"/>
      <c r="F206" s="862"/>
    </row>
    <row r="207" spans="1:18" s="356" customFormat="1" ht="15.75" x14ac:dyDescent="0.25">
      <c r="A207" s="862"/>
      <c r="B207" s="862" t="str">
        <f>B15</f>
        <v>Кабель ВОЛС 16 ОВ</v>
      </c>
      <c r="C207" s="862"/>
      <c r="D207" s="909">
        <f>D15</f>
        <v>200</v>
      </c>
      <c r="E207" s="862" t="s">
        <v>746</v>
      </c>
      <c r="F207" s="862"/>
    </row>
    <row r="208" spans="1:18" s="2" customFormat="1" ht="83.25" customHeight="1" x14ac:dyDescent="0.25">
      <c r="A208" s="854"/>
      <c r="B208" s="394" t="s">
        <v>837</v>
      </c>
      <c r="C208" s="394" t="s">
        <v>838</v>
      </c>
      <c r="D208" s="394" t="s">
        <v>840</v>
      </c>
      <c r="E208" s="854"/>
      <c r="F208" s="855">
        <f>31*1*D209*D210*C229*1000</f>
        <v>79725.626400000008</v>
      </c>
      <c r="I208"/>
      <c r="J208"/>
      <c r="K208"/>
      <c r="Q208" s="17"/>
      <c r="R208" s="17"/>
    </row>
    <row r="209" spans="1:11" s="3" customFormat="1" ht="19.5" customHeight="1" x14ac:dyDescent="0.25">
      <c r="A209" s="866"/>
      <c r="B209" s="865" t="s">
        <v>4</v>
      </c>
      <c r="C209" s="865" t="s">
        <v>5</v>
      </c>
      <c r="D209" s="866">
        <v>0.4</v>
      </c>
      <c r="E209" s="866"/>
      <c r="F209" s="866"/>
      <c r="I209"/>
      <c r="J209"/>
      <c r="K209"/>
    </row>
    <row r="210" spans="1:11" s="2" customFormat="1" ht="102.75" customHeight="1" x14ac:dyDescent="0.25">
      <c r="A210" s="854"/>
      <c r="B210" s="394" t="s">
        <v>15</v>
      </c>
      <c r="C210" s="394" t="s">
        <v>839</v>
      </c>
      <c r="D210" s="854">
        <f>E211/1</f>
        <v>1.20855</v>
      </c>
      <c r="E210" s="854"/>
      <c r="F210" s="854"/>
    </row>
    <row r="211" spans="1:11" x14ac:dyDescent="0.25">
      <c r="A211" s="854"/>
      <c r="B211" s="390" t="s">
        <v>6</v>
      </c>
      <c r="C211" s="869">
        <f>SUM(C212:C227)</f>
        <v>1</v>
      </c>
      <c r="D211" s="870"/>
      <c r="E211" s="871">
        <f>SUM(E212:E227)</f>
        <v>1.20855</v>
      </c>
      <c r="F211" s="872"/>
      <c r="G211" s="9"/>
      <c r="H211" s="9"/>
    </row>
    <row r="212" spans="1:11" hidden="1" outlineLevel="1" x14ac:dyDescent="0.25">
      <c r="A212" s="854"/>
      <c r="B212" s="394" t="s">
        <v>20</v>
      </c>
      <c r="C212" s="873">
        <v>0.02</v>
      </c>
      <c r="D212" s="879">
        <v>1</v>
      </c>
      <c r="E212" s="875">
        <f>C212*D212</f>
        <v>0.02</v>
      </c>
      <c r="F212" s="870"/>
      <c r="G212" s="6"/>
      <c r="H212" s="6"/>
    </row>
    <row r="213" spans="1:11" hidden="1" outlineLevel="1" x14ac:dyDescent="0.25">
      <c r="A213" s="854"/>
      <c r="B213" s="394" t="s">
        <v>265</v>
      </c>
      <c r="C213" s="873">
        <v>0.02</v>
      </c>
      <c r="D213" s="879" t="s">
        <v>16</v>
      </c>
      <c r="E213" s="875">
        <f>C213*(1+0.3)</f>
        <v>2.6000000000000002E-2</v>
      </c>
      <c r="F213" s="854"/>
    </row>
    <row r="214" spans="1:11" ht="38.25" hidden="1" outlineLevel="1" x14ac:dyDescent="0.25">
      <c r="A214" s="854"/>
      <c r="B214" s="394" t="s">
        <v>266</v>
      </c>
      <c r="C214" s="873"/>
      <c r="D214" s="879"/>
      <c r="E214" s="875"/>
      <c r="F214" s="854"/>
    </row>
    <row r="215" spans="1:11" hidden="1" outlineLevel="1" x14ac:dyDescent="0.25">
      <c r="A215" s="854"/>
      <c r="B215" s="877" t="s">
        <v>43</v>
      </c>
      <c r="C215" s="878">
        <v>0.245</v>
      </c>
      <c r="D215" s="879" t="s">
        <v>16</v>
      </c>
      <c r="E215" s="875">
        <f>C215*(1+0.3)</f>
        <v>0.31850000000000001</v>
      </c>
      <c r="F215" s="854"/>
    </row>
    <row r="216" spans="1:11" hidden="1" outlineLevel="1" x14ac:dyDescent="0.25">
      <c r="A216" s="854"/>
      <c r="B216" s="877" t="s">
        <v>267</v>
      </c>
      <c r="C216" s="875">
        <v>0.27500000000000002</v>
      </c>
      <c r="D216" s="879" t="s">
        <v>16</v>
      </c>
      <c r="E216" s="875">
        <f>C216*(1+0.3)</f>
        <v>0.35750000000000004</v>
      </c>
      <c r="F216" s="870"/>
      <c r="G216" s="6"/>
      <c r="H216" s="6"/>
    </row>
    <row r="217" spans="1:11" hidden="1" outlineLevel="1" x14ac:dyDescent="0.25">
      <c r="A217" s="854"/>
      <c r="B217" s="877" t="s">
        <v>268</v>
      </c>
      <c r="C217" s="878">
        <v>1.4999999999999999E-2</v>
      </c>
      <c r="D217" s="879">
        <v>1</v>
      </c>
      <c r="E217" s="875">
        <f>C217*D217</f>
        <v>1.4999999999999999E-2</v>
      </c>
      <c r="F217" s="870"/>
      <c r="G217" s="6"/>
      <c r="H217" s="6"/>
    </row>
    <row r="218" spans="1:11" hidden="1" outlineLevel="1" x14ac:dyDescent="0.25">
      <c r="A218" s="854"/>
      <c r="B218" s="877" t="s">
        <v>269</v>
      </c>
      <c r="C218" s="878">
        <v>2.5000000000000001E-2</v>
      </c>
      <c r="D218" s="879">
        <v>1</v>
      </c>
      <c r="E218" s="875">
        <f t="shared" ref="E218:E223" si="6">C218*D218</f>
        <v>2.5000000000000001E-2</v>
      </c>
      <c r="F218" s="870"/>
      <c r="G218" s="6"/>
      <c r="H218" s="6"/>
    </row>
    <row r="219" spans="1:11" hidden="1" outlineLevel="1" x14ac:dyDescent="0.25">
      <c r="A219" s="854"/>
      <c r="B219" s="877" t="s">
        <v>37</v>
      </c>
      <c r="C219" s="878">
        <v>0.1</v>
      </c>
      <c r="D219" s="879">
        <v>1</v>
      </c>
      <c r="E219" s="875">
        <f t="shared" si="6"/>
        <v>0.1</v>
      </c>
      <c r="F219" s="882"/>
      <c r="G219" s="7"/>
      <c r="H219" s="7"/>
      <c r="I219" s="8"/>
    </row>
    <row r="220" spans="1:11" ht="19.5" hidden="1" customHeight="1" outlineLevel="1" x14ac:dyDescent="0.25">
      <c r="A220" s="854"/>
      <c r="B220" s="877" t="s">
        <v>270</v>
      </c>
      <c r="C220" s="878">
        <v>2.5000000000000001E-2</v>
      </c>
      <c r="D220" s="879">
        <v>1</v>
      </c>
      <c r="E220" s="875">
        <f t="shared" si="6"/>
        <v>2.5000000000000001E-2</v>
      </c>
      <c r="F220" s="870"/>
      <c r="G220" s="6"/>
      <c r="H220" s="6"/>
    </row>
    <row r="221" spans="1:11" hidden="1" outlineLevel="1" x14ac:dyDescent="0.25">
      <c r="A221" s="854"/>
      <c r="B221" s="877" t="s">
        <v>271</v>
      </c>
      <c r="C221" s="878">
        <v>1.4999999999999999E-2</v>
      </c>
      <c r="D221" s="854">
        <v>1</v>
      </c>
      <c r="E221" s="875">
        <f t="shared" si="6"/>
        <v>1.4999999999999999E-2</v>
      </c>
      <c r="F221" s="854"/>
    </row>
    <row r="222" spans="1:11" ht="25.5" hidden="1" outlineLevel="1" x14ac:dyDescent="0.25">
      <c r="A222" s="854"/>
      <c r="B222" s="394" t="s">
        <v>272</v>
      </c>
      <c r="C222" s="873">
        <v>0.06</v>
      </c>
      <c r="D222" s="876">
        <v>1</v>
      </c>
      <c r="E222" s="875">
        <f t="shared" si="6"/>
        <v>0.06</v>
      </c>
      <c r="F222" s="854"/>
    </row>
    <row r="223" spans="1:11" hidden="1" outlineLevel="1" x14ac:dyDescent="0.25">
      <c r="A223" s="854"/>
      <c r="B223" s="394" t="s">
        <v>30</v>
      </c>
      <c r="C223" s="873">
        <v>0.02</v>
      </c>
      <c r="D223" s="876">
        <v>1</v>
      </c>
      <c r="E223" s="875">
        <f t="shared" si="6"/>
        <v>0.02</v>
      </c>
      <c r="F223" s="854"/>
    </row>
    <row r="224" spans="1:11" hidden="1" outlineLevel="1" x14ac:dyDescent="0.25">
      <c r="A224" s="854"/>
      <c r="B224" s="394" t="s">
        <v>273</v>
      </c>
      <c r="C224" s="873">
        <v>0.01</v>
      </c>
      <c r="D224" s="879">
        <v>1</v>
      </c>
      <c r="E224" s="875">
        <f>C224*(1+0.3)</f>
        <v>1.3000000000000001E-2</v>
      </c>
      <c r="F224" s="870"/>
      <c r="G224" s="6"/>
      <c r="H224" s="6"/>
    </row>
    <row r="225" spans="1:18" hidden="1" outlineLevel="1" x14ac:dyDescent="0.25">
      <c r="A225" s="854"/>
      <c r="B225" s="394" t="s">
        <v>274</v>
      </c>
      <c r="C225" s="873">
        <v>0.09</v>
      </c>
      <c r="D225" s="879">
        <v>1</v>
      </c>
      <c r="E225" s="875">
        <f>C225*(1+0.3)</f>
        <v>0.11699999999999999</v>
      </c>
      <c r="F225" s="870"/>
      <c r="G225" s="6"/>
      <c r="H225" s="6"/>
    </row>
    <row r="226" spans="1:18" hidden="1" outlineLevel="1" x14ac:dyDescent="0.25">
      <c r="A226" s="854"/>
      <c r="B226" s="394" t="s">
        <v>32</v>
      </c>
      <c r="C226" s="873">
        <v>0.03</v>
      </c>
      <c r="D226" s="879">
        <v>1</v>
      </c>
      <c r="E226" s="875">
        <f>C226*(1+0.3)</f>
        <v>3.9E-2</v>
      </c>
      <c r="F226" s="870"/>
      <c r="G226" s="6"/>
      <c r="H226" s="6"/>
    </row>
    <row r="227" spans="1:18" hidden="1" outlineLevel="1" x14ac:dyDescent="0.25">
      <c r="A227" s="854"/>
      <c r="B227" s="394" t="s">
        <v>34</v>
      </c>
      <c r="C227" s="886">
        <v>0.05</v>
      </c>
      <c r="D227" s="854"/>
      <c r="E227" s="887">
        <f>SUM(E212:E226)*C227</f>
        <v>5.7550000000000004E-2</v>
      </c>
      <c r="F227" s="882"/>
      <c r="G227" s="7"/>
      <c r="H227" s="7"/>
      <c r="I227" s="8"/>
    </row>
    <row r="228" spans="1:18" s="19" customFormat="1" ht="15.75" collapsed="1" x14ac:dyDescent="0.25">
      <c r="A228" s="862"/>
      <c r="B228" s="862" t="s">
        <v>48</v>
      </c>
      <c r="C228" s="862"/>
      <c r="D228" s="862"/>
      <c r="E228" s="862"/>
      <c r="F228" s="862"/>
    </row>
    <row r="229" spans="1:18" s="19" customFormat="1" ht="15.75" x14ac:dyDescent="0.25">
      <c r="A229" s="862"/>
      <c r="B229" s="862" t="s">
        <v>49</v>
      </c>
      <c r="C229" s="862">
        <v>5.32</v>
      </c>
      <c r="D229" s="880"/>
      <c r="E229" s="862"/>
      <c r="F229" s="862"/>
    </row>
    <row r="230" spans="1:18" s="11" customFormat="1" x14ac:dyDescent="0.25">
      <c r="A230" s="862"/>
      <c r="B230" s="861" t="str">
        <f>B16</f>
        <v>СПД</v>
      </c>
      <c r="C230" s="862"/>
      <c r="D230" s="862">
        <f>D16</f>
        <v>10</v>
      </c>
      <c r="E230" s="862" t="s">
        <v>696</v>
      </c>
      <c r="F230" s="862"/>
      <c r="I230" s="13"/>
    </row>
    <row r="231" spans="1:18" s="2" customFormat="1" ht="83.25" customHeight="1" x14ac:dyDescent="0.25">
      <c r="A231" s="854"/>
      <c r="B231" s="394" t="s">
        <v>841</v>
      </c>
      <c r="C231" s="394" t="s">
        <v>842</v>
      </c>
      <c r="D231" s="394" t="s">
        <v>845</v>
      </c>
      <c r="E231" s="854"/>
      <c r="F231" s="855">
        <f>(25.98+4.623*10)*1*D232*D233*C253*1000</f>
        <v>179132.80968576003</v>
      </c>
      <c r="I231"/>
      <c r="J231"/>
      <c r="K231"/>
      <c r="Q231" s="17"/>
      <c r="R231" s="17"/>
    </row>
    <row r="232" spans="1:18" s="3" customFormat="1" ht="19.5" customHeight="1" x14ac:dyDescent="0.25">
      <c r="A232" s="866"/>
      <c r="B232" s="865" t="s">
        <v>4</v>
      </c>
      <c r="C232" s="865" t="s">
        <v>844</v>
      </c>
      <c r="D232" s="866">
        <v>0.42</v>
      </c>
      <c r="E232" s="866"/>
      <c r="F232" s="866"/>
      <c r="I232"/>
      <c r="J232"/>
      <c r="K232"/>
    </row>
    <row r="233" spans="1:18" ht="103.5" customHeight="1" x14ac:dyDescent="0.25">
      <c r="A233" s="854"/>
      <c r="B233" s="394" t="s">
        <v>15</v>
      </c>
      <c r="C233" s="394" t="s">
        <v>843</v>
      </c>
      <c r="D233" s="854">
        <f>E234/1</f>
        <v>1.1102400000000001</v>
      </c>
      <c r="E233" s="854"/>
      <c r="F233" s="854"/>
    </row>
    <row r="234" spans="1:18" x14ac:dyDescent="0.25">
      <c r="A234" s="854"/>
      <c r="B234" s="390" t="s">
        <v>6</v>
      </c>
      <c r="C234" s="869">
        <f>SUM(C235:C251)</f>
        <v>0.99999999999999989</v>
      </c>
      <c r="D234" s="870"/>
      <c r="E234" s="908">
        <f>SUM(E235:E251)</f>
        <v>1.1102400000000001</v>
      </c>
      <c r="F234" s="875"/>
      <c r="G234" s="4"/>
      <c r="H234" s="4"/>
    </row>
    <row r="235" spans="1:18" hidden="1" outlineLevel="1" x14ac:dyDescent="0.25">
      <c r="A235" s="854"/>
      <c r="B235" s="394" t="s">
        <v>20</v>
      </c>
      <c r="C235" s="873">
        <v>0.02</v>
      </c>
      <c r="D235" s="854">
        <v>1</v>
      </c>
      <c r="E235" s="875">
        <f>C235*D235</f>
        <v>0.02</v>
      </c>
      <c r="F235" s="854"/>
    </row>
    <row r="236" spans="1:18" hidden="1" outlineLevel="1" x14ac:dyDescent="0.25">
      <c r="A236" s="854"/>
      <c r="B236" s="394" t="s">
        <v>21</v>
      </c>
      <c r="C236" s="873">
        <v>0.02</v>
      </c>
      <c r="D236" s="854">
        <v>1</v>
      </c>
      <c r="E236" s="875">
        <f>C236*D236</f>
        <v>0.02</v>
      </c>
      <c r="F236" s="854"/>
    </row>
    <row r="237" spans="1:18" hidden="1" outlineLevel="1" x14ac:dyDescent="0.25">
      <c r="A237" s="854"/>
      <c r="B237" s="394" t="s">
        <v>22</v>
      </c>
      <c r="C237" s="873">
        <v>0.06</v>
      </c>
      <c r="D237" s="879" t="s">
        <v>16</v>
      </c>
      <c r="E237" s="875">
        <f>C237*(1+0.3)</f>
        <v>7.8E-2</v>
      </c>
      <c r="F237" s="854"/>
    </row>
    <row r="238" spans="1:18" hidden="1" outlineLevel="1" x14ac:dyDescent="0.25">
      <c r="A238" s="854"/>
      <c r="B238" s="394" t="s">
        <v>23</v>
      </c>
      <c r="C238" s="873">
        <v>0.12</v>
      </c>
      <c r="D238" s="879" t="s">
        <v>16</v>
      </c>
      <c r="E238" s="875">
        <f>C238*(1+0.3)</f>
        <v>0.156</v>
      </c>
      <c r="F238" s="854"/>
    </row>
    <row r="239" spans="1:18" ht="25.5" hidden="1" outlineLevel="1" x14ac:dyDescent="0.25">
      <c r="A239" s="854"/>
      <c r="B239" s="394" t="s">
        <v>343</v>
      </c>
      <c r="C239" s="873"/>
      <c r="D239" s="879"/>
      <c r="E239" s="875"/>
      <c r="F239" s="854"/>
    </row>
    <row r="240" spans="1:18" hidden="1" outlineLevel="1" x14ac:dyDescent="0.25">
      <c r="A240" s="854"/>
      <c r="B240" s="877" t="s">
        <v>37</v>
      </c>
      <c r="C240" s="873">
        <v>0.16</v>
      </c>
      <c r="D240" s="879" t="s">
        <v>16</v>
      </c>
      <c r="E240" s="875">
        <f>C240*(1+0.3)</f>
        <v>0.20800000000000002</v>
      </c>
      <c r="F240" s="854"/>
    </row>
    <row r="241" spans="1:18" hidden="1" outlineLevel="1" x14ac:dyDescent="0.25">
      <c r="A241" s="854"/>
      <c r="B241" s="877" t="s">
        <v>38</v>
      </c>
      <c r="C241" s="873">
        <v>0.02</v>
      </c>
      <c r="D241" s="854">
        <v>1</v>
      </c>
      <c r="E241" s="875">
        <f>C241*D241</f>
        <v>0.02</v>
      </c>
      <c r="F241" s="854"/>
    </row>
    <row r="242" spans="1:18" hidden="1" outlineLevel="1" x14ac:dyDescent="0.25">
      <c r="A242" s="854"/>
      <c r="B242" s="877" t="s">
        <v>39</v>
      </c>
      <c r="C242" s="873">
        <v>0.02</v>
      </c>
      <c r="D242" s="854">
        <v>1</v>
      </c>
      <c r="E242" s="875">
        <f t="shared" ref="E242:E243" si="7">C242*D242</f>
        <v>0.02</v>
      </c>
      <c r="F242" s="854"/>
    </row>
    <row r="243" spans="1:18" hidden="1" outlineLevel="1" x14ac:dyDescent="0.25">
      <c r="A243" s="854"/>
      <c r="B243" s="877" t="s">
        <v>40</v>
      </c>
      <c r="C243" s="873">
        <v>0.1</v>
      </c>
      <c r="D243" s="854">
        <v>1</v>
      </c>
      <c r="E243" s="875">
        <f t="shared" si="7"/>
        <v>0.1</v>
      </c>
      <c r="F243" s="854"/>
    </row>
    <row r="244" spans="1:18" hidden="1" outlineLevel="1" x14ac:dyDescent="0.25">
      <c r="A244" s="854"/>
      <c r="B244" s="877" t="s">
        <v>41</v>
      </c>
      <c r="C244" s="873">
        <v>0.02</v>
      </c>
      <c r="D244" s="879" t="s">
        <v>16</v>
      </c>
      <c r="E244" s="875">
        <f>C244*(1+0.3)</f>
        <v>2.6000000000000002E-2</v>
      </c>
      <c r="F244" s="854"/>
    </row>
    <row r="245" spans="1:18" hidden="1" outlineLevel="1" x14ac:dyDescent="0.25">
      <c r="A245" s="854"/>
      <c r="B245" s="877" t="s">
        <v>42</v>
      </c>
      <c r="C245" s="873">
        <v>0.01</v>
      </c>
      <c r="D245" s="854">
        <v>1</v>
      </c>
      <c r="E245" s="875">
        <f t="shared" ref="E245:E249" si="8">C245*D245</f>
        <v>0.01</v>
      </c>
      <c r="F245" s="854"/>
    </row>
    <row r="246" spans="1:18" hidden="1" outlineLevel="1" x14ac:dyDescent="0.25">
      <c r="A246" s="854"/>
      <c r="B246" s="877" t="s">
        <v>43</v>
      </c>
      <c r="C246" s="873">
        <v>0.18</v>
      </c>
      <c r="D246" s="854">
        <v>1</v>
      </c>
      <c r="E246" s="875">
        <f t="shared" si="8"/>
        <v>0.18</v>
      </c>
      <c r="F246" s="854"/>
    </row>
    <row r="247" spans="1:18" hidden="1" outlineLevel="1" x14ac:dyDescent="0.25">
      <c r="A247" s="854"/>
      <c r="B247" s="394" t="s">
        <v>30</v>
      </c>
      <c r="C247" s="873">
        <v>0.03</v>
      </c>
      <c r="D247" s="854">
        <v>1</v>
      </c>
      <c r="E247" s="875">
        <f t="shared" si="8"/>
        <v>0.03</v>
      </c>
      <c r="F247" s="854"/>
    </row>
    <row r="248" spans="1:18" hidden="1" outlineLevel="1" x14ac:dyDescent="0.25">
      <c r="A248" s="854"/>
      <c r="B248" s="394" t="s">
        <v>44</v>
      </c>
      <c r="C248" s="873">
        <v>0.09</v>
      </c>
      <c r="D248" s="854">
        <v>1</v>
      </c>
      <c r="E248" s="875">
        <f t="shared" si="8"/>
        <v>0.09</v>
      </c>
      <c r="F248" s="854"/>
    </row>
    <row r="249" spans="1:18" hidden="1" outlineLevel="1" x14ac:dyDescent="0.25">
      <c r="A249" s="854"/>
      <c r="B249" s="394" t="s">
        <v>32</v>
      </c>
      <c r="C249" s="873">
        <v>0.06</v>
      </c>
      <c r="D249" s="854">
        <v>1</v>
      </c>
      <c r="E249" s="875">
        <f t="shared" si="8"/>
        <v>0.06</v>
      </c>
      <c r="F249" s="854"/>
    </row>
    <row r="250" spans="1:18" hidden="1" outlineLevel="1" x14ac:dyDescent="0.25">
      <c r="A250" s="854"/>
      <c r="B250" s="394" t="s">
        <v>45</v>
      </c>
      <c r="C250" s="873">
        <v>0.01</v>
      </c>
      <c r="D250" s="854">
        <v>1</v>
      </c>
      <c r="E250" s="875">
        <f>C250*D250</f>
        <v>0.01</v>
      </c>
      <c r="F250" s="854"/>
    </row>
    <row r="251" spans="1:18" hidden="1" outlineLevel="1" x14ac:dyDescent="0.25">
      <c r="A251" s="854"/>
      <c r="B251" s="394" t="s">
        <v>34</v>
      </c>
      <c r="C251" s="873">
        <v>0.08</v>
      </c>
      <c r="D251" s="879"/>
      <c r="E251" s="890">
        <f>SUM(E235:E250)*C251</f>
        <v>8.2240000000000008E-2</v>
      </c>
      <c r="F251" s="890"/>
      <c r="G251" s="14"/>
      <c r="H251" s="14"/>
    </row>
    <row r="252" spans="1:18" s="19" customFormat="1" ht="15.75" collapsed="1" x14ac:dyDescent="0.25">
      <c r="A252" s="862"/>
      <c r="B252" s="862" t="s">
        <v>48</v>
      </c>
      <c r="C252" s="862"/>
      <c r="D252" s="862"/>
      <c r="E252" s="862"/>
      <c r="F252" s="862"/>
    </row>
    <row r="253" spans="1:18" s="19" customFormat="1" ht="15.75" x14ac:dyDescent="0.25">
      <c r="A253" s="862"/>
      <c r="B253" s="862" t="s">
        <v>49</v>
      </c>
      <c r="C253" s="862">
        <v>5.32</v>
      </c>
      <c r="D253" s="880"/>
      <c r="E253" s="862"/>
      <c r="F253" s="862"/>
    </row>
    <row r="254" spans="1:18" s="11" customFormat="1" x14ac:dyDescent="0.25">
      <c r="A254" s="862"/>
      <c r="B254" s="861" t="s">
        <v>848</v>
      </c>
      <c r="C254" s="862"/>
      <c r="D254" s="862">
        <v>2</v>
      </c>
      <c r="E254" s="862" t="s">
        <v>849</v>
      </c>
      <c r="F254" s="862"/>
      <c r="I254" s="13"/>
    </row>
    <row r="255" spans="1:18" s="2" customFormat="1" ht="83.25" customHeight="1" x14ac:dyDescent="0.25">
      <c r="A255" s="854"/>
      <c r="B255" s="394" t="s">
        <v>853</v>
      </c>
      <c r="C255" s="394" t="s">
        <v>850</v>
      </c>
      <c r="D255" s="394" t="s">
        <v>851</v>
      </c>
      <c r="E255" s="854"/>
      <c r="F255" s="855">
        <f>(36.61+4.57*2)*1*D256*D257*C277*1000</f>
        <v>135110.65680000003</v>
      </c>
      <c r="I255"/>
      <c r="J255"/>
      <c r="K255"/>
      <c r="Q255" s="17"/>
      <c r="R255" s="17"/>
    </row>
    <row r="256" spans="1:18" s="3" customFormat="1" ht="19.5" customHeight="1" x14ac:dyDescent="0.25">
      <c r="A256" s="866"/>
      <c r="B256" s="865" t="s">
        <v>4</v>
      </c>
      <c r="C256" s="865" t="s">
        <v>852</v>
      </c>
      <c r="D256" s="866">
        <v>0.5</v>
      </c>
      <c r="E256" s="866"/>
      <c r="F256" s="866"/>
      <c r="I256"/>
      <c r="J256"/>
      <c r="K256"/>
    </row>
    <row r="257" spans="1:8" ht="103.5" customHeight="1" x14ac:dyDescent="0.25">
      <c r="A257" s="854"/>
      <c r="B257" s="394" t="s">
        <v>15</v>
      </c>
      <c r="C257" s="394" t="s">
        <v>843</v>
      </c>
      <c r="D257" s="854">
        <f>E258/1</f>
        <v>1.1102400000000001</v>
      </c>
      <c r="E257" s="854"/>
      <c r="F257" s="854"/>
    </row>
    <row r="258" spans="1:8" x14ac:dyDescent="0.25">
      <c r="A258" s="854"/>
      <c r="B258" s="390" t="s">
        <v>6</v>
      </c>
      <c r="C258" s="869">
        <f>SUM(C259:C275)</f>
        <v>0.99999999999999989</v>
      </c>
      <c r="D258" s="870"/>
      <c r="E258" s="908">
        <f>SUM(E259:E275)</f>
        <v>1.1102400000000001</v>
      </c>
      <c r="F258" s="875"/>
      <c r="G258" s="4"/>
      <c r="H258" s="4"/>
    </row>
    <row r="259" spans="1:8" hidden="1" outlineLevel="1" x14ac:dyDescent="0.25">
      <c r="A259" s="854"/>
      <c r="B259" s="394" t="s">
        <v>20</v>
      </c>
      <c r="C259" s="873">
        <v>0.02</v>
      </c>
      <c r="D259" s="854">
        <v>1</v>
      </c>
      <c r="E259" s="875">
        <f>C259*D259</f>
        <v>0.02</v>
      </c>
      <c r="F259" s="854"/>
    </row>
    <row r="260" spans="1:8" hidden="1" outlineLevel="1" x14ac:dyDescent="0.25">
      <c r="A260" s="854"/>
      <c r="B260" s="394" t="s">
        <v>21</v>
      </c>
      <c r="C260" s="873">
        <v>0.02</v>
      </c>
      <c r="D260" s="854">
        <v>1</v>
      </c>
      <c r="E260" s="875">
        <f>C260*D260</f>
        <v>0.02</v>
      </c>
      <c r="F260" s="854"/>
    </row>
    <row r="261" spans="1:8" hidden="1" outlineLevel="1" x14ac:dyDescent="0.25">
      <c r="A261" s="854"/>
      <c r="B261" s="394" t="s">
        <v>22</v>
      </c>
      <c r="C261" s="873">
        <v>0.06</v>
      </c>
      <c r="D261" s="879" t="s">
        <v>16</v>
      </c>
      <c r="E261" s="875">
        <f>C261*(1+0.3)</f>
        <v>7.8E-2</v>
      </c>
      <c r="F261" s="854"/>
    </row>
    <row r="262" spans="1:8" hidden="1" outlineLevel="1" x14ac:dyDescent="0.25">
      <c r="A262" s="854"/>
      <c r="B262" s="394" t="s">
        <v>23</v>
      </c>
      <c r="C262" s="873">
        <v>0.12</v>
      </c>
      <c r="D262" s="879" t="s">
        <v>16</v>
      </c>
      <c r="E262" s="875">
        <f>C262*(1+0.3)</f>
        <v>0.156</v>
      </c>
      <c r="F262" s="854"/>
    </row>
    <row r="263" spans="1:8" ht="25.5" hidden="1" outlineLevel="1" x14ac:dyDescent="0.25">
      <c r="A263" s="854"/>
      <c r="B263" s="394" t="s">
        <v>343</v>
      </c>
      <c r="C263" s="873"/>
      <c r="D263" s="879"/>
      <c r="E263" s="875"/>
      <c r="F263" s="854"/>
    </row>
    <row r="264" spans="1:8" hidden="1" outlineLevel="1" x14ac:dyDescent="0.25">
      <c r="A264" s="854"/>
      <c r="B264" s="877" t="s">
        <v>37</v>
      </c>
      <c r="C264" s="873">
        <v>0.16</v>
      </c>
      <c r="D264" s="879" t="s">
        <v>16</v>
      </c>
      <c r="E264" s="875">
        <f>C264*(1+0.3)</f>
        <v>0.20800000000000002</v>
      </c>
      <c r="F264" s="854"/>
    </row>
    <row r="265" spans="1:8" hidden="1" outlineLevel="1" x14ac:dyDescent="0.25">
      <c r="A265" s="854"/>
      <c r="B265" s="877" t="s">
        <v>38</v>
      </c>
      <c r="C265" s="873">
        <v>0.02</v>
      </c>
      <c r="D265" s="854">
        <v>1</v>
      </c>
      <c r="E265" s="875">
        <f>C265*D265</f>
        <v>0.02</v>
      </c>
      <c r="F265" s="854"/>
    </row>
    <row r="266" spans="1:8" hidden="1" outlineLevel="1" x14ac:dyDescent="0.25">
      <c r="A266" s="854"/>
      <c r="B266" s="877" t="s">
        <v>39</v>
      </c>
      <c r="C266" s="873">
        <v>0.02</v>
      </c>
      <c r="D266" s="854">
        <v>1</v>
      </c>
      <c r="E266" s="875">
        <f t="shared" ref="E266:E267" si="9">C266*D266</f>
        <v>0.02</v>
      </c>
      <c r="F266" s="854"/>
    </row>
    <row r="267" spans="1:8" hidden="1" outlineLevel="1" x14ac:dyDescent="0.25">
      <c r="A267" s="854"/>
      <c r="B267" s="877" t="s">
        <v>40</v>
      </c>
      <c r="C267" s="873">
        <v>0.1</v>
      </c>
      <c r="D267" s="854">
        <v>1</v>
      </c>
      <c r="E267" s="875">
        <f t="shared" si="9"/>
        <v>0.1</v>
      </c>
      <c r="F267" s="854"/>
    </row>
    <row r="268" spans="1:8" hidden="1" outlineLevel="1" x14ac:dyDescent="0.25">
      <c r="A268" s="854"/>
      <c r="B268" s="877" t="s">
        <v>41</v>
      </c>
      <c r="C268" s="873">
        <v>0.02</v>
      </c>
      <c r="D268" s="879" t="s">
        <v>16</v>
      </c>
      <c r="E268" s="875">
        <f>C268*(1+0.3)</f>
        <v>2.6000000000000002E-2</v>
      </c>
      <c r="F268" s="854"/>
    </row>
    <row r="269" spans="1:8" hidden="1" outlineLevel="1" x14ac:dyDescent="0.25">
      <c r="A269" s="854"/>
      <c r="B269" s="877" t="s">
        <v>42</v>
      </c>
      <c r="C269" s="873">
        <v>0.01</v>
      </c>
      <c r="D269" s="854">
        <v>1</v>
      </c>
      <c r="E269" s="875">
        <f t="shared" ref="E269:E273" si="10">C269*D269</f>
        <v>0.01</v>
      </c>
      <c r="F269" s="854"/>
    </row>
    <row r="270" spans="1:8" hidden="1" outlineLevel="1" x14ac:dyDescent="0.25">
      <c r="A270" s="854"/>
      <c r="B270" s="877" t="s">
        <v>43</v>
      </c>
      <c r="C270" s="873">
        <v>0.18</v>
      </c>
      <c r="D270" s="854">
        <v>1</v>
      </c>
      <c r="E270" s="875">
        <f t="shared" si="10"/>
        <v>0.18</v>
      </c>
      <c r="F270" s="854"/>
    </row>
    <row r="271" spans="1:8" hidden="1" outlineLevel="1" x14ac:dyDescent="0.25">
      <c r="A271" s="854"/>
      <c r="B271" s="394" t="s">
        <v>30</v>
      </c>
      <c r="C271" s="873">
        <v>0.03</v>
      </c>
      <c r="D271" s="854">
        <v>1</v>
      </c>
      <c r="E271" s="875">
        <f t="shared" si="10"/>
        <v>0.03</v>
      </c>
      <c r="F271" s="854"/>
    </row>
    <row r="272" spans="1:8" hidden="1" outlineLevel="1" x14ac:dyDescent="0.25">
      <c r="A272" s="854"/>
      <c r="B272" s="394" t="s">
        <v>44</v>
      </c>
      <c r="C272" s="873">
        <v>0.09</v>
      </c>
      <c r="D272" s="854">
        <v>1</v>
      </c>
      <c r="E272" s="875">
        <f t="shared" si="10"/>
        <v>0.09</v>
      </c>
      <c r="F272" s="854"/>
    </row>
    <row r="273" spans="1:18" hidden="1" outlineLevel="1" x14ac:dyDescent="0.25">
      <c r="A273" s="854"/>
      <c r="B273" s="394" t="s">
        <v>32</v>
      </c>
      <c r="C273" s="873">
        <v>0.06</v>
      </c>
      <c r="D273" s="854">
        <v>1</v>
      </c>
      <c r="E273" s="875">
        <f t="shared" si="10"/>
        <v>0.06</v>
      </c>
      <c r="F273" s="854"/>
    </row>
    <row r="274" spans="1:18" hidden="1" outlineLevel="1" x14ac:dyDescent="0.25">
      <c r="A274" s="854"/>
      <c r="B274" s="394" t="s">
        <v>45</v>
      </c>
      <c r="C274" s="873">
        <v>0.01</v>
      </c>
      <c r="D274" s="854">
        <v>1</v>
      </c>
      <c r="E274" s="875">
        <f>C274*D274</f>
        <v>0.01</v>
      </c>
      <c r="F274" s="854"/>
    </row>
    <row r="275" spans="1:18" hidden="1" outlineLevel="1" x14ac:dyDescent="0.25">
      <c r="A275" s="854"/>
      <c r="B275" s="394" t="s">
        <v>34</v>
      </c>
      <c r="C275" s="873">
        <v>0.08</v>
      </c>
      <c r="D275" s="879"/>
      <c r="E275" s="890">
        <f>SUM(E259:E274)*C275</f>
        <v>8.2240000000000008E-2</v>
      </c>
      <c r="F275" s="890"/>
      <c r="G275" s="14"/>
      <c r="H275" s="14"/>
    </row>
    <row r="276" spans="1:18" s="19" customFormat="1" ht="15.75" collapsed="1" x14ac:dyDescent="0.25">
      <c r="A276" s="862"/>
      <c r="B276" s="862" t="s">
        <v>48</v>
      </c>
      <c r="C276" s="862"/>
      <c r="D276" s="862"/>
      <c r="E276" s="862"/>
      <c r="F276" s="862"/>
    </row>
    <row r="277" spans="1:18" s="19" customFormat="1" ht="15.75" x14ac:dyDescent="0.25">
      <c r="A277" s="862"/>
      <c r="B277" s="862" t="s">
        <v>49</v>
      </c>
      <c r="C277" s="862">
        <v>5.32</v>
      </c>
      <c r="D277" s="880"/>
      <c r="E277" s="862"/>
      <c r="F277" s="862"/>
    </row>
    <row r="278" spans="1:18" s="11" customFormat="1" x14ac:dyDescent="0.25">
      <c r="A278" s="862"/>
      <c r="B278" s="861" t="s">
        <v>859</v>
      </c>
      <c r="C278" s="862"/>
      <c r="D278" s="862">
        <v>1</v>
      </c>
      <c r="E278" s="862" t="s">
        <v>862</v>
      </c>
      <c r="F278" s="862"/>
      <c r="I278" s="13"/>
    </row>
    <row r="279" spans="1:18" s="2" customFormat="1" ht="83.25" customHeight="1" x14ac:dyDescent="0.25">
      <c r="A279" s="854"/>
      <c r="B279" s="394" t="s">
        <v>860</v>
      </c>
      <c r="C279" s="394" t="s">
        <v>861</v>
      </c>
      <c r="D279" s="394" t="s">
        <v>865</v>
      </c>
      <c r="E279" s="854"/>
      <c r="F279" s="855">
        <f>39.55*1*D281*D280*D282*C302*1000</f>
        <v>23360.115744000006</v>
      </c>
      <c r="I279"/>
      <c r="J279"/>
      <c r="K279"/>
      <c r="Q279" s="17"/>
      <c r="R279" s="17"/>
    </row>
    <row r="280" spans="1:18" s="3" customFormat="1" ht="19.5" customHeight="1" x14ac:dyDescent="0.25">
      <c r="A280" s="866"/>
      <c r="B280" s="865" t="s">
        <v>4</v>
      </c>
      <c r="C280" s="865" t="s">
        <v>852</v>
      </c>
      <c r="D280" s="866">
        <v>0.5</v>
      </c>
      <c r="E280" s="866"/>
      <c r="F280" s="866"/>
      <c r="I280"/>
      <c r="J280"/>
      <c r="K280"/>
    </row>
    <row r="281" spans="1:18" s="3" customFormat="1" ht="19.5" customHeight="1" x14ac:dyDescent="0.25">
      <c r="A281" s="866"/>
      <c r="B281" s="865" t="s">
        <v>863</v>
      </c>
      <c r="C281" s="865" t="s">
        <v>864</v>
      </c>
      <c r="D281" s="866">
        <v>0.2</v>
      </c>
      <c r="E281" s="866"/>
      <c r="F281" s="866"/>
      <c r="I281"/>
      <c r="J281"/>
      <c r="K281"/>
    </row>
    <row r="282" spans="1:18" ht="103.5" customHeight="1" x14ac:dyDescent="0.25">
      <c r="A282" s="854"/>
      <c r="B282" s="394" t="s">
        <v>15</v>
      </c>
      <c r="C282" s="394" t="s">
        <v>843</v>
      </c>
      <c r="D282" s="854">
        <f>E283/1</f>
        <v>1.1102400000000001</v>
      </c>
      <c r="E282" s="854"/>
      <c r="F282" s="854"/>
    </row>
    <row r="283" spans="1:18" x14ac:dyDescent="0.25">
      <c r="A283" s="854"/>
      <c r="B283" s="390" t="s">
        <v>6</v>
      </c>
      <c r="C283" s="869">
        <f>SUM(C284:C300)</f>
        <v>0.99999999999999989</v>
      </c>
      <c r="D283" s="870"/>
      <c r="E283" s="908">
        <f>SUM(E284:E300)</f>
        <v>1.1102400000000001</v>
      </c>
      <c r="F283" s="875"/>
      <c r="G283" s="4"/>
      <c r="H283" s="4"/>
    </row>
    <row r="284" spans="1:18" hidden="1" outlineLevel="1" x14ac:dyDescent="0.25">
      <c r="A284" s="854"/>
      <c r="B284" s="394" t="s">
        <v>20</v>
      </c>
      <c r="C284" s="873">
        <v>0.02</v>
      </c>
      <c r="D284" s="854">
        <v>1</v>
      </c>
      <c r="E284" s="875">
        <f>C284*D284</f>
        <v>0.02</v>
      </c>
      <c r="F284" s="854"/>
    </row>
    <row r="285" spans="1:18" hidden="1" outlineLevel="1" x14ac:dyDescent="0.25">
      <c r="A285" s="854"/>
      <c r="B285" s="394" t="s">
        <v>21</v>
      </c>
      <c r="C285" s="873">
        <v>0.02</v>
      </c>
      <c r="D285" s="854">
        <v>1</v>
      </c>
      <c r="E285" s="875">
        <f>C285*D285</f>
        <v>0.02</v>
      </c>
      <c r="F285" s="854"/>
    </row>
    <row r="286" spans="1:18" hidden="1" outlineLevel="1" x14ac:dyDescent="0.25">
      <c r="A286" s="854"/>
      <c r="B286" s="394" t="s">
        <v>22</v>
      </c>
      <c r="C286" s="873">
        <v>0.06</v>
      </c>
      <c r="D286" s="879" t="s">
        <v>16</v>
      </c>
      <c r="E286" s="875">
        <f>C286*(1+0.3)</f>
        <v>7.8E-2</v>
      </c>
      <c r="F286" s="854"/>
    </row>
    <row r="287" spans="1:18" hidden="1" outlineLevel="1" x14ac:dyDescent="0.25">
      <c r="A287" s="854"/>
      <c r="B287" s="394" t="s">
        <v>23</v>
      </c>
      <c r="C287" s="873">
        <v>0.12</v>
      </c>
      <c r="D287" s="879" t="s">
        <v>16</v>
      </c>
      <c r="E287" s="875">
        <f>C287*(1+0.3)</f>
        <v>0.156</v>
      </c>
      <c r="F287" s="854"/>
    </row>
    <row r="288" spans="1:18" ht="25.5" hidden="1" outlineLevel="1" x14ac:dyDescent="0.25">
      <c r="A288" s="854"/>
      <c r="B288" s="394" t="s">
        <v>343</v>
      </c>
      <c r="C288" s="873"/>
      <c r="D288" s="879"/>
      <c r="E288" s="875"/>
      <c r="F288" s="854"/>
    </row>
    <row r="289" spans="1:18" hidden="1" outlineLevel="1" x14ac:dyDescent="0.25">
      <c r="A289" s="854"/>
      <c r="B289" s="877" t="s">
        <v>37</v>
      </c>
      <c r="C289" s="873">
        <v>0.16</v>
      </c>
      <c r="D289" s="879" t="s">
        <v>16</v>
      </c>
      <c r="E289" s="875">
        <f>C289*(1+0.3)</f>
        <v>0.20800000000000002</v>
      </c>
      <c r="F289" s="854"/>
    </row>
    <row r="290" spans="1:18" hidden="1" outlineLevel="1" x14ac:dyDescent="0.25">
      <c r="A290" s="854"/>
      <c r="B290" s="877" t="s">
        <v>38</v>
      </c>
      <c r="C290" s="873">
        <v>0.02</v>
      </c>
      <c r="D290" s="854">
        <v>1</v>
      </c>
      <c r="E290" s="875">
        <f>C290*D290</f>
        <v>0.02</v>
      </c>
      <c r="F290" s="854"/>
    </row>
    <row r="291" spans="1:18" hidden="1" outlineLevel="1" x14ac:dyDescent="0.25">
      <c r="A291" s="854"/>
      <c r="B291" s="877" t="s">
        <v>39</v>
      </c>
      <c r="C291" s="873">
        <v>0.02</v>
      </c>
      <c r="D291" s="854">
        <v>1</v>
      </c>
      <c r="E291" s="875">
        <f t="shared" ref="E291:E292" si="11">C291*D291</f>
        <v>0.02</v>
      </c>
      <c r="F291" s="854"/>
    </row>
    <row r="292" spans="1:18" hidden="1" outlineLevel="1" x14ac:dyDescent="0.25">
      <c r="A292" s="854"/>
      <c r="B292" s="877" t="s">
        <v>40</v>
      </c>
      <c r="C292" s="873">
        <v>0.1</v>
      </c>
      <c r="D292" s="854">
        <v>1</v>
      </c>
      <c r="E292" s="875">
        <f t="shared" si="11"/>
        <v>0.1</v>
      </c>
      <c r="F292" s="854"/>
    </row>
    <row r="293" spans="1:18" hidden="1" outlineLevel="1" x14ac:dyDescent="0.25">
      <c r="A293" s="854"/>
      <c r="B293" s="877" t="s">
        <v>41</v>
      </c>
      <c r="C293" s="873">
        <v>0.02</v>
      </c>
      <c r="D293" s="879" t="s">
        <v>16</v>
      </c>
      <c r="E293" s="875">
        <f>C293*(1+0.3)</f>
        <v>2.6000000000000002E-2</v>
      </c>
      <c r="F293" s="854"/>
    </row>
    <row r="294" spans="1:18" hidden="1" outlineLevel="1" x14ac:dyDescent="0.25">
      <c r="A294" s="854"/>
      <c r="B294" s="877" t="s">
        <v>42</v>
      </c>
      <c r="C294" s="873">
        <v>0.01</v>
      </c>
      <c r="D294" s="854">
        <v>1</v>
      </c>
      <c r="E294" s="875">
        <f t="shared" ref="E294:E298" si="12">C294*D294</f>
        <v>0.01</v>
      </c>
      <c r="F294" s="854"/>
    </row>
    <row r="295" spans="1:18" hidden="1" outlineLevel="1" x14ac:dyDescent="0.25">
      <c r="A295" s="854"/>
      <c r="B295" s="877" t="s">
        <v>43</v>
      </c>
      <c r="C295" s="873">
        <v>0.18</v>
      </c>
      <c r="D295" s="854">
        <v>1</v>
      </c>
      <c r="E295" s="875">
        <f t="shared" si="12"/>
        <v>0.18</v>
      </c>
      <c r="F295" s="854"/>
    </row>
    <row r="296" spans="1:18" hidden="1" outlineLevel="1" x14ac:dyDescent="0.25">
      <c r="A296" s="854"/>
      <c r="B296" s="394" t="s">
        <v>30</v>
      </c>
      <c r="C296" s="873">
        <v>0.03</v>
      </c>
      <c r="D296" s="854">
        <v>1</v>
      </c>
      <c r="E296" s="875">
        <f t="shared" si="12"/>
        <v>0.03</v>
      </c>
      <c r="F296" s="854"/>
    </row>
    <row r="297" spans="1:18" hidden="1" outlineLevel="1" x14ac:dyDescent="0.25">
      <c r="A297" s="854"/>
      <c r="B297" s="394" t="s">
        <v>44</v>
      </c>
      <c r="C297" s="873">
        <v>0.09</v>
      </c>
      <c r="D297" s="854">
        <v>1</v>
      </c>
      <c r="E297" s="875">
        <f t="shared" si="12"/>
        <v>0.09</v>
      </c>
      <c r="F297" s="854"/>
    </row>
    <row r="298" spans="1:18" hidden="1" outlineLevel="1" x14ac:dyDescent="0.25">
      <c r="A298" s="854"/>
      <c r="B298" s="394" t="s">
        <v>32</v>
      </c>
      <c r="C298" s="873">
        <v>0.06</v>
      </c>
      <c r="D298" s="854">
        <v>1</v>
      </c>
      <c r="E298" s="875">
        <f t="shared" si="12"/>
        <v>0.06</v>
      </c>
      <c r="F298" s="854"/>
    </row>
    <row r="299" spans="1:18" hidden="1" outlineLevel="1" x14ac:dyDescent="0.25">
      <c r="A299" s="854"/>
      <c r="B299" s="394" t="s">
        <v>45</v>
      </c>
      <c r="C299" s="873">
        <v>0.01</v>
      </c>
      <c r="D299" s="854">
        <v>1</v>
      </c>
      <c r="E299" s="875">
        <f>C299*D299</f>
        <v>0.01</v>
      </c>
      <c r="F299" s="854"/>
    </row>
    <row r="300" spans="1:18" hidden="1" outlineLevel="1" x14ac:dyDescent="0.25">
      <c r="A300" s="854"/>
      <c r="B300" s="394" t="s">
        <v>34</v>
      </c>
      <c r="C300" s="873">
        <v>0.08</v>
      </c>
      <c r="D300" s="879"/>
      <c r="E300" s="890">
        <f>SUM(E284:E299)*C300</f>
        <v>8.2240000000000008E-2</v>
      </c>
      <c r="F300" s="890"/>
      <c r="G300" s="14"/>
      <c r="H300" s="14"/>
    </row>
    <row r="301" spans="1:18" s="19" customFormat="1" ht="15.75" collapsed="1" x14ac:dyDescent="0.25">
      <c r="A301" s="862"/>
      <c r="B301" s="862" t="s">
        <v>48</v>
      </c>
      <c r="C301" s="862"/>
      <c r="D301" s="862"/>
      <c r="E301" s="862"/>
      <c r="F301" s="862"/>
    </row>
    <row r="302" spans="1:18" s="19" customFormat="1" ht="15.75" x14ac:dyDescent="0.25">
      <c r="A302" s="862"/>
      <c r="B302" s="862" t="s">
        <v>49</v>
      </c>
      <c r="C302" s="862">
        <v>5.32</v>
      </c>
      <c r="D302" s="880"/>
      <c r="E302" s="862"/>
      <c r="F302" s="862"/>
    </row>
    <row r="303" spans="1:18" s="11" customFormat="1" x14ac:dyDescent="0.25">
      <c r="A303" s="862"/>
      <c r="B303" s="861" t="s">
        <v>854</v>
      </c>
      <c r="C303" s="862"/>
      <c r="D303" s="862">
        <v>3</v>
      </c>
      <c r="E303" s="862" t="s">
        <v>855</v>
      </c>
      <c r="F303" s="862"/>
      <c r="I303" s="13"/>
    </row>
    <row r="304" spans="1:18" s="2" customFormat="1" ht="83.25" customHeight="1" x14ac:dyDescent="0.25">
      <c r="A304" s="854"/>
      <c r="B304" s="394" t="s">
        <v>856</v>
      </c>
      <c r="C304" s="394" t="s">
        <v>857</v>
      </c>
      <c r="D304" s="394" t="s">
        <v>858</v>
      </c>
      <c r="E304" s="854"/>
      <c r="F304" s="855">
        <f>2.4*3*D305*D306*C326*1000</f>
        <v>21263.316480000001</v>
      </c>
      <c r="I304"/>
      <c r="J304"/>
      <c r="K304"/>
      <c r="Q304" s="17"/>
      <c r="R304" s="17"/>
    </row>
    <row r="305" spans="1:11" s="3" customFormat="1" ht="19.5" customHeight="1" x14ac:dyDescent="0.25">
      <c r="A305" s="866"/>
      <c r="B305" s="865" t="s">
        <v>4</v>
      </c>
      <c r="C305" s="865" t="s">
        <v>852</v>
      </c>
      <c r="D305" s="866">
        <v>0.5</v>
      </c>
      <c r="E305" s="866"/>
      <c r="F305" s="866"/>
      <c r="I305"/>
      <c r="J305"/>
      <c r="K305"/>
    </row>
    <row r="306" spans="1:11" ht="110.25" customHeight="1" x14ac:dyDescent="0.25">
      <c r="A306" s="854"/>
      <c r="B306" s="394" t="s">
        <v>15</v>
      </c>
      <c r="C306" s="394" t="s">
        <v>843</v>
      </c>
      <c r="D306" s="854">
        <f>E307/1</f>
        <v>1.1102400000000001</v>
      </c>
      <c r="E306" s="854"/>
      <c r="F306" s="854"/>
    </row>
    <row r="307" spans="1:11" x14ac:dyDescent="0.25">
      <c r="A307" s="854"/>
      <c r="B307" s="390" t="s">
        <v>6</v>
      </c>
      <c r="C307" s="869">
        <f>SUM(C308:C324)</f>
        <v>0.99999999999999989</v>
      </c>
      <c r="D307" s="870"/>
      <c r="E307" s="908">
        <f>SUM(E308:E324)</f>
        <v>1.1102400000000001</v>
      </c>
      <c r="F307" s="875"/>
      <c r="G307" s="4"/>
      <c r="H307" s="4"/>
    </row>
    <row r="308" spans="1:11" hidden="1" outlineLevel="1" x14ac:dyDescent="0.25">
      <c r="A308" s="854"/>
      <c r="B308" s="394" t="s">
        <v>20</v>
      </c>
      <c r="C308" s="873">
        <v>0.02</v>
      </c>
      <c r="D308" s="854">
        <v>1</v>
      </c>
      <c r="E308" s="875">
        <f>C308*D308</f>
        <v>0.02</v>
      </c>
      <c r="F308" s="854"/>
    </row>
    <row r="309" spans="1:11" hidden="1" outlineLevel="1" x14ac:dyDescent="0.25">
      <c r="A309" s="854"/>
      <c r="B309" s="394" t="s">
        <v>21</v>
      </c>
      <c r="C309" s="873">
        <v>0.02</v>
      </c>
      <c r="D309" s="854">
        <v>1</v>
      </c>
      <c r="E309" s="875">
        <f>C309*D309</f>
        <v>0.02</v>
      </c>
      <c r="F309" s="854"/>
    </row>
    <row r="310" spans="1:11" hidden="1" outlineLevel="1" x14ac:dyDescent="0.25">
      <c r="A310" s="854"/>
      <c r="B310" s="394" t="s">
        <v>22</v>
      </c>
      <c r="C310" s="873">
        <v>0.06</v>
      </c>
      <c r="D310" s="879" t="s">
        <v>16</v>
      </c>
      <c r="E310" s="875">
        <f>C310*(1+0.3)</f>
        <v>7.8E-2</v>
      </c>
      <c r="F310" s="854"/>
    </row>
    <row r="311" spans="1:11" hidden="1" outlineLevel="1" x14ac:dyDescent="0.25">
      <c r="A311" s="854"/>
      <c r="B311" s="394" t="s">
        <v>23</v>
      </c>
      <c r="C311" s="873">
        <v>0.12</v>
      </c>
      <c r="D311" s="879" t="s">
        <v>16</v>
      </c>
      <c r="E311" s="875">
        <f>C311*(1+0.3)</f>
        <v>0.156</v>
      </c>
      <c r="F311" s="854"/>
    </row>
    <row r="312" spans="1:11" ht="25.5" hidden="1" outlineLevel="1" x14ac:dyDescent="0.25">
      <c r="A312" s="854"/>
      <c r="B312" s="394" t="s">
        <v>343</v>
      </c>
      <c r="C312" s="873"/>
      <c r="D312" s="879"/>
      <c r="E312" s="875"/>
      <c r="F312" s="854"/>
    </row>
    <row r="313" spans="1:11" hidden="1" outlineLevel="1" x14ac:dyDescent="0.25">
      <c r="A313" s="854"/>
      <c r="B313" s="877" t="s">
        <v>37</v>
      </c>
      <c r="C313" s="873">
        <v>0.16</v>
      </c>
      <c r="D313" s="879" t="s">
        <v>16</v>
      </c>
      <c r="E313" s="875">
        <f>C313*(1+0.3)</f>
        <v>0.20800000000000002</v>
      </c>
      <c r="F313" s="854"/>
    </row>
    <row r="314" spans="1:11" hidden="1" outlineLevel="1" x14ac:dyDescent="0.25">
      <c r="A314" s="854"/>
      <c r="B314" s="877" t="s">
        <v>38</v>
      </c>
      <c r="C314" s="873">
        <v>0.02</v>
      </c>
      <c r="D314" s="854">
        <v>1</v>
      </c>
      <c r="E314" s="875">
        <f>C314*D314</f>
        <v>0.02</v>
      </c>
      <c r="F314" s="854"/>
    </row>
    <row r="315" spans="1:11" hidden="1" outlineLevel="1" x14ac:dyDescent="0.25">
      <c r="A315" s="854"/>
      <c r="B315" s="877" t="s">
        <v>39</v>
      </c>
      <c r="C315" s="873">
        <v>0.02</v>
      </c>
      <c r="D315" s="854">
        <v>1</v>
      </c>
      <c r="E315" s="875">
        <f t="shared" ref="E315:E316" si="13">C315*D315</f>
        <v>0.02</v>
      </c>
      <c r="F315" s="854"/>
    </row>
    <row r="316" spans="1:11" hidden="1" outlineLevel="1" x14ac:dyDescent="0.25">
      <c r="A316" s="854"/>
      <c r="B316" s="877" t="s">
        <v>40</v>
      </c>
      <c r="C316" s="873">
        <v>0.1</v>
      </c>
      <c r="D316" s="854">
        <v>1</v>
      </c>
      <c r="E316" s="875">
        <f t="shared" si="13"/>
        <v>0.1</v>
      </c>
      <c r="F316" s="854"/>
    </row>
    <row r="317" spans="1:11" hidden="1" outlineLevel="1" x14ac:dyDescent="0.25">
      <c r="A317" s="854"/>
      <c r="B317" s="877" t="s">
        <v>41</v>
      </c>
      <c r="C317" s="873">
        <v>0.02</v>
      </c>
      <c r="D317" s="879" t="s">
        <v>16</v>
      </c>
      <c r="E317" s="875">
        <f>C317*(1+0.3)</f>
        <v>2.6000000000000002E-2</v>
      </c>
      <c r="F317" s="854"/>
    </row>
    <row r="318" spans="1:11" hidden="1" outlineLevel="1" x14ac:dyDescent="0.25">
      <c r="A318" s="854"/>
      <c r="B318" s="877" t="s">
        <v>42</v>
      </c>
      <c r="C318" s="873">
        <v>0.01</v>
      </c>
      <c r="D318" s="854">
        <v>1</v>
      </c>
      <c r="E318" s="875">
        <f t="shared" ref="E318:E322" si="14">C318*D318</f>
        <v>0.01</v>
      </c>
      <c r="F318" s="854"/>
    </row>
    <row r="319" spans="1:11" hidden="1" outlineLevel="1" x14ac:dyDescent="0.25">
      <c r="A319" s="854"/>
      <c r="B319" s="877" t="s">
        <v>43</v>
      </c>
      <c r="C319" s="873">
        <v>0.18</v>
      </c>
      <c r="D319" s="854">
        <v>1</v>
      </c>
      <c r="E319" s="875">
        <f t="shared" si="14"/>
        <v>0.18</v>
      </c>
      <c r="F319" s="854"/>
    </row>
    <row r="320" spans="1:11" hidden="1" outlineLevel="1" x14ac:dyDescent="0.25">
      <c r="A320" s="854"/>
      <c r="B320" s="394" t="s">
        <v>30</v>
      </c>
      <c r="C320" s="873">
        <v>0.03</v>
      </c>
      <c r="D320" s="854">
        <v>1</v>
      </c>
      <c r="E320" s="875">
        <f t="shared" si="14"/>
        <v>0.03</v>
      </c>
      <c r="F320" s="854"/>
    </row>
    <row r="321" spans="1:18" hidden="1" outlineLevel="1" x14ac:dyDescent="0.25">
      <c r="A321" s="854"/>
      <c r="B321" s="394" t="s">
        <v>44</v>
      </c>
      <c r="C321" s="873">
        <v>0.09</v>
      </c>
      <c r="D321" s="854">
        <v>1</v>
      </c>
      <c r="E321" s="875">
        <f t="shared" si="14"/>
        <v>0.09</v>
      </c>
      <c r="F321" s="854"/>
    </row>
    <row r="322" spans="1:18" hidden="1" outlineLevel="1" x14ac:dyDescent="0.25">
      <c r="A322" s="854"/>
      <c r="B322" s="394" t="s">
        <v>32</v>
      </c>
      <c r="C322" s="873">
        <v>0.06</v>
      </c>
      <c r="D322" s="854">
        <v>1</v>
      </c>
      <c r="E322" s="875">
        <f t="shared" si="14"/>
        <v>0.06</v>
      </c>
      <c r="F322" s="854"/>
    </row>
    <row r="323" spans="1:18" hidden="1" outlineLevel="1" x14ac:dyDescent="0.25">
      <c r="A323" s="854"/>
      <c r="B323" s="394" t="s">
        <v>45</v>
      </c>
      <c r="C323" s="873">
        <v>0.01</v>
      </c>
      <c r="D323" s="854">
        <v>1</v>
      </c>
      <c r="E323" s="875">
        <f>C323*D323</f>
        <v>0.01</v>
      </c>
      <c r="F323" s="854"/>
    </row>
    <row r="324" spans="1:18" hidden="1" outlineLevel="1" x14ac:dyDescent="0.25">
      <c r="A324" s="854"/>
      <c r="B324" s="394" t="s">
        <v>34</v>
      </c>
      <c r="C324" s="873">
        <v>0.08</v>
      </c>
      <c r="D324" s="879"/>
      <c r="E324" s="890">
        <f>SUM(E308:E323)*C324</f>
        <v>8.2240000000000008E-2</v>
      </c>
      <c r="F324" s="890"/>
      <c r="G324" s="14"/>
      <c r="H324" s="14"/>
    </row>
    <row r="325" spans="1:18" s="19" customFormat="1" ht="15.75" collapsed="1" x14ac:dyDescent="0.25">
      <c r="A325" s="862"/>
      <c r="B325" s="862" t="s">
        <v>48</v>
      </c>
      <c r="C325" s="862"/>
      <c r="D325" s="862"/>
      <c r="E325" s="862"/>
      <c r="F325" s="862"/>
    </row>
    <row r="326" spans="1:18" s="19" customFormat="1" ht="15.75" x14ac:dyDescent="0.25">
      <c r="A326" s="862"/>
      <c r="B326" s="862" t="s">
        <v>49</v>
      </c>
      <c r="C326" s="862">
        <v>5.32</v>
      </c>
      <c r="D326" s="880"/>
      <c r="E326" s="862"/>
      <c r="F326" s="862"/>
    </row>
    <row r="327" spans="1:18" s="11" customFormat="1" x14ac:dyDescent="0.25">
      <c r="A327" s="862"/>
      <c r="B327" s="861" t="str">
        <f>B19</f>
        <v>СЭС (сервер в составе МФЦ)</v>
      </c>
      <c r="C327" s="862"/>
      <c r="D327" s="862">
        <v>1</v>
      </c>
      <c r="E327" s="862" t="s">
        <v>866</v>
      </c>
      <c r="F327" s="862"/>
      <c r="I327" s="13"/>
    </row>
    <row r="328" spans="1:18" s="2" customFormat="1" ht="83.25" customHeight="1" x14ac:dyDescent="0.25">
      <c r="A328" s="854"/>
      <c r="B328" s="394" t="s">
        <v>860</v>
      </c>
      <c r="C328" s="394" t="s">
        <v>861</v>
      </c>
      <c r="D328" s="394" t="s">
        <v>865</v>
      </c>
      <c r="E328" s="854"/>
      <c r="F328" s="855">
        <f>39.55*1*D330*D329*D331*C351*1000</f>
        <v>23360.115744000006</v>
      </c>
      <c r="I328"/>
      <c r="J328"/>
      <c r="K328"/>
      <c r="Q328" s="17"/>
      <c r="R328" s="17"/>
    </row>
    <row r="329" spans="1:18" s="3" customFormat="1" ht="19.5" customHeight="1" x14ac:dyDescent="0.25">
      <c r="A329" s="866"/>
      <c r="B329" s="865" t="s">
        <v>4</v>
      </c>
      <c r="C329" s="865" t="s">
        <v>852</v>
      </c>
      <c r="D329" s="866">
        <v>0.5</v>
      </c>
      <c r="E329" s="866"/>
      <c r="F329" s="866"/>
      <c r="I329"/>
      <c r="J329"/>
      <c r="K329"/>
    </row>
    <row r="330" spans="1:18" s="3" customFormat="1" ht="19.5" customHeight="1" x14ac:dyDescent="0.25">
      <c r="A330" s="866"/>
      <c r="B330" s="865" t="s">
        <v>863</v>
      </c>
      <c r="C330" s="865" t="s">
        <v>864</v>
      </c>
      <c r="D330" s="866">
        <v>0.2</v>
      </c>
      <c r="E330" s="866"/>
      <c r="F330" s="866"/>
      <c r="I330"/>
      <c r="J330"/>
      <c r="K330"/>
    </row>
    <row r="331" spans="1:18" ht="103.5" customHeight="1" x14ac:dyDescent="0.25">
      <c r="A331" s="854"/>
      <c r="B331" s="394" t="s">
        <v>15</v>
      </c>
      <c r="C331" s="394" t="s">
        <v>843</v>
      </c>
      <c r="D331" s="854">
        <f>E332/1</f>
        <v>1.1102400000000001</v>
      </c>
      <c r="E331" s="854"/>
      <c r="F331" s="854"/>
    </row>
    <row r="332" spans="1:18" x14ac:dyDescent="0.25">
      <c r="A332" s="854"/>
      <c r="B332" s="390" t="s">
        <v>6</v>
      </c>
      <c r="C332" s="869">
        <f>SUM(C333:C349)</f>
        <v>0.99999999999999989</v>
      </c>
      <c r="D332" s="870"/>
      <c r="E332" s="908">
        <f>SUM(E333:E349)</f>
        <v>1.1102400000000001</v>
      </c>
      <c r="F332" s="875"/>
      <c r="G332" s="4"/>
      <c r="H332" s="4"/>
    </row>
    <row r="333" spans="1:18" hidden="1" outlineLevel="1" x14ac:dyDescent="0.25">
      <c r="A333" s="854"/>
      <c r="B333" s="394" t="s">
        <v>20</v>
      </c>
      <c r="C333" s="873">
        <v>0.02</v>
      </c>
      <c r="D333" s="854">
        <v>1</v>
      </c>
      <c r="E333" s="875">
        <f>C333*D333</f>
        <v>0.02</v>
      </c>
      <c r="F333" s="854"/>
    </row>
    <row r="334" spans="1:18" hidden="1" outlineLevel="1" x14ac:dyDescent="0.25">
      <c r="A334" s="854"/>
      <c r="B334" s="394" t="s">
        <v>21</v>
      </c>
      <c r="C334" s="873">
        <v>0.02</v>
      </c>
      <c r="D334" s="854">
        <v>1</v>
      </c>
      <c r="E334" s="875">
        <f>C334*D334</f>
        <v>0.02</v>
      </c>
      <c r="F334" s="854"/>
    </row>
    <row r="335" spans="1:18" hidden="1" outlineLevel="1" x14ac:dyDescent="0.25">
      <c r="A335" s="854"/>
      <c r="B335" s="394" t="s">
        <v>22</v>
      </c>
      <c r="C335" s="873">
        <v>0.06</v>
      </c>
      <c r="D335" s="879" t="s">
        <v>16</v>
      </c>
      <c r="E335" s="875">
        <f>C335*(1+0.3)</f>
        <v>7.8E-2</v>
      </c>
      <c r="F335" s="854"/>
    </row>
    <row r="336" spans="1:18" hidden="1" outlineLevel="1" x14ac:dyDescent="0.25">
      <c r="A336" s="854"/>
      <c r="B336" s="394" t="s">
        <v>23</v>
      </c>
      <c r="C336" s="873">
        <v>0.12</v>
      </c>
      <c r="D336" s="879" t="s">
        <v>16</v>
      </c>
      <c r="E336" s="875">
        <f>C336*(1+0.3)</f>
        <v>0.156</v>
      </c>
      <c r="F336" s="854"/>
    </row>
    <row r="337" spans="1:9" ht="25.5" hidden="1" outlineLevel="1" x14ac:dyDescent="0.25">
      <c r="A337" s="854"/>
      <c r="B337" s="394" t="s">
        <v>343</v>
      </c>
      <c r="C337" s="873"/>
      <c r="D337" s="879"/>
      <c r="E337" s="875"/>
      <c r="F337" s="854"/>
    </row>
    <row r="338" spans="1:9" hidden="1" outlineLevel="1" x14ac:dyDescent="0.25">
      <c r="A338" s="854"/>
      <c r="B338" s="877" t="s">
        <v>37</v>
      </c>
      <c r="C338" s="873">
        <v>0.16</v>
      </c>
      <c r="D338" s="879" t="s">
        <v>16</v>
      </c>
      <c r="E338" s="875">
        <f>C338*(1+0.3)</f>
        <v>0.20800000000000002</v>
      </c>
      <c r="F338" s="854"/>
    </row>
    <row r="339" spans="1:9" hidden="1" outlineLevel="1" x14ac:dyDescent="0.25">
      <c r="A339" s="854"/>
      <c r="B339" s="877" t="s">
        <v>38</v>
      </c>
      <c r="C339" s="873">
        <v>0.02</v>
      </c>
      <c r="D339" s="854">
        <v>1</v>
      </c>
      <c r="E339" s="875">
        <f>C339*D339</f>
        <v>0.02</v>
      </c>
      <c r="F339" s="854"/>
    </row>
    <row r="340" spans="1:9" hidden="1" outlineLevel="1" x14ac:dyDescent="0.25">
      <c r="A340" s="854"/>
      <c r="B340" s="877" t="s">
        <v>39</v>
      </c>
      <c r="C340" s="873">
        <v>0.02</v>
      </c>
      <c r="D340" s="854">
        <v>1</v>
      </c>
      <c r="E340" s="875">
        <f t="shared" ref="E340:E341" si="15">C340*D340</f>
        <v>0.02</v>
      </c>
      <c r="F340" s="854"/>
    </row>
    <row r="341" spans="1:9" hidden="1" outlineLevel="1" x14ac:dyDescent="0.25">
      <c r="A341" s="854"/>
      <c r="B341" s="877" t="s">
        <v>40</v>
      </c>
      <c r="C341" s="873">
        <v>0.1</v>
      </c>
      <c r="D341" s="854">
        <v>1</v>
      </c>
      <c r="E341" s="875">
        <f t="shared" si="15"/>
        <v>0.1</v>
      </c>
      <c r="F341" s="854"/>
    </row>
    <row r="342" spans="1:9" hidden="1" outlineLevel="1" x14ac:dyDescent="0.25">
      <c r="A342" s="854"/>
      <c r="B342" s="877" t="s">
        <v>41</v>
      </c>
      <c r="C342" s="873">
        <v>0.02</v>
      </c>
      <c r="D342" s="879" t="s">
        <v>16</v>
      </c>
      <c r="E342" s="875">
        <f>C342*(1+0.3)</f>
        <v>2.6000000000000002E-2</v>
      </c>
      <c r="F342" s="854"/>
    </row>
    <row r="343" spans="1:9" hidden="1" outlineLevel="1" x14ac:dyDescent="0.25">
      <c r="A343" s="854"/>
      <c r="B343" s="877" t="s">
        <v>42</v>
      </c>
      <c r="C343" s="873">
        <v>0.01</v>
      </c>
      <c r="D343" s="854">
        <v>1</v>
      </c>
      <c r="E343" s="875">
        <f t="shared" ref="E343:E347" si="16">C343*D343</f>
        <v>0.01</v>
      </c>
      <c r="F343" s="854"/>
    </row>
    <row r="344" spans="1:9" hidden="1" outlineLevel="1" x14ac:dyDescent="0.25">
      <c r="A344" s="854"/>
      <c r="B344" s="877" t="s">
        <v>43</v>
      </c>
      <c r="C344" s="873">
        <v>0.18</v>
      </c>
      <c r="D344" s="854">
        <v>1</v>
      </c>
      <c r="E344" s="875">
        <f t="shared" si="16"/>
        <v>0.18</v>
      </c>
      <c r="F344" s="854"/>
    </row>
    <row r="345" spans="1:9" hidden="1" outlineLevel="1" x14ac:dyDescent="0.25">
      <c r="A345" s="854"/>
      <c r="B345" s="394" t="s">
        <v>30</v>
      </c>
      <c r="C345" s="873">
        <v>0.03</v>
      </c>
      <c r="D345" s="854">
        <v>1</v>
      </c>
      <c r="E345" s="875">
        <f t="shared" si="16"/>
        <v>0.03</v>
      </c>
      <c r="F345" s="854"/>
    </row>
    <row r="346" spans="1:9" hidden="1" outlineLevel="1" x14ac:dyDescent="0.25">
      <c r="A346" s="854"/>
      <c r="B346" s="394" t="s">
        <v>44</v>
      </c>
      <c r="C346" s="873">
        <v>0.09</v>
      </c>
      <c r="D346" s="854">
        <v>1</v>
      </c>
      <c r="E346" s="875">
        <f t="shared" si="16"/>
        <v>0.09</v>
      </c>
      <c r="F346" s="854"/>
    </row>
    <row r="347" spans="1:9" hidden="1" outlineLevel="1" x14ac:dyDescent="0.25">
      <c r="A347" s="854"/>
      <c r="B347" s="394" t="s">
        <v>32</v>
      </c>
      <c r="C347" s="873">
        <v>0.06</v>
      </c>
      <c r="D347" s="854">
        <v>1</v>
      </c>
      <c r="E347" s="875">
        <f t="shared" si="16"/>
        <v>0.06</v>
      </c>
      <c r="F347" s="854"/>
    </row>
    <row r="348" spans="1:9" hidden="1" outlineLevel="1" x14ac:dyDescent="0.25">
      <c r="A348" s="854"/>
      <c r="B348" s="394" t="s">
        <v>45</v>
      </c>
      <c r="C348" s="873">
        <v>0.01</v>
      </c>
      <c r="D348" s="854">
        <v>1</v>
      </c>
      <c r="E348" s="875">
        <f>C348*D348</f>
        <v>0.01</v>
      </c>
      <c r="F348" s="854"/>
    </row>
    <row r="349" spans="1:9" hidden="1" outlineLevel="1" x14ac:dyDescent="0.25">
      <c r="A349" s="854"/>
      <c r="B349" s="394" t="s">
        <v>34</v>
      </c>
      <c r="C349" s="873">
        <v>0.08</v>
      </c>
      <c r="D349" s="879"/>
      <c r="E349" s="890">
        <f>SUM(E333:E348)*C349</f>
        <v>8.2240000000000008E-2</v>
      </c>
      <c r="F349" s="890"/>
      <c r="G349" s="14"/>
      <c r="H349" s="14"/>
    </row>
    <row r="350" spans="1:9" s="19" customFormat="1" ht="15.75" collapsed="1" x14ac:dyDescent="0.25">
      <c r="A350" s="862"/>
      <c r="B350" s="862" t="s">
        <v>48</v>
      </c>
      <c r="C350" s="862"/>
      <c r="D350" s="862"/>
      <c r="E350" s="862"/>
      <c r="F350" s="862"/>
    </row>
    <row r="351" spans="1:9" s="19" customFormat="1" ht="15.75" x14ac:dyDescent="0.25">
      <c r="A351" s="862"/>
      <c r="B351" s="862" t="s">
        <v>49</v>
      </c>
      <c r="C351" s="862">
        <v>5.32</v>
      </c>
      <c r="D351" s="880"/>
      <c r="E351" s="862"/>
      <c r="F351" s="862"/>
    </row>
    <row r="352" spans="1:9" s="11" customFormat="1" x14ac:dyDescent="0.25">
      <c r="A352" s="862"/>
      <c r="B352" s="861" t="str">
        <f>B20</f>
        <v>СПД-СБ</v>
      </c>
      <c r="C352" s="862"/>
      <c r="D352" s="862">
        <f>D150</f>
        <v>1</v>
      </c>
      <c r="E352" s="862" t="s">
        <v>696</v>
      </c>
      <c r="F352" s="862"/>
      <c r="I352" s="13"/>
    </row>
    <row r="353" spans="1:18" s="2" customFormat="1" ht="83.25" customHeight="1" x14ac:dyDescent="0.25">
      <c r="A353" s="854"/>
      <c r="B353" s="394" t="s">
        <v>841</v>
      </c>
      <c r="C353" s="394" t="s">
        <v>842</v>
      </c>
      <c r="D353" s="394" t="s">
        <v>845</v>
      </c>
      <c r="E353" s="854"/>
      <c r="F353" s="855">
        <f>(25.98+4.623*10)*1*D354*D355*C375*1000</f>
        <v>179132.80968576003</v>
      </c>
      <c r="I353"/>
      <c r="J353"/>
      <c r="K353"/>
      <c r="Q353" s="17"/>
      <c r="R353" s="17"/>
    </row>
    <row r="354" spans="1:18" s="3" customFormat="1" ht="19.5" customHeight="1" x14ac:dyDescent="0.25">
      <c r="A354" s="866"/>
      <c r="B354" s="865" t="s">
        <v>4</v>
      </c>
      <c r="C354" s="865" t="s">
        <v>844</v>
      </c>
      <c r="D354" s="866">
        <v>0.42</v>
      </c>
      <c r="E354" s="866"/>
      <c r="F354" s="866"/>
      <c r="I354"/>
      <c r="J354"/>
      <c r="K354"/>
    </row>
    <row r="355" spans="1:18" ht="103.5" customHeight="1" x14ac:dyDescent="0.25">
      <c r="A355" s="854"/>
      <c r="B355" s="394" t="s">
        <v>15</v>
      </c>
      <c r="C355" s="394" t="s">
        <v>843</v>
      </c>
      <c r="D355" s="854">
        <f>E356/1</f>
        <v>1.1102400000000001</v>
      </c>
      <c r="E355" s="854"/>
      <c r="F355" s="854"/>
    </row>
    <row r="356" spans="1:18" x14ac:dyDescent="0.25">
      <c r="A356" s="854"/>
      <c r="B356" s="390" t="s">
        <v>6</v>
      </c>
      <c r="C356" s="869">
        <f>SUM(C357:C373)</f>
        <v>0.99999999999999989</v>
      </c>
      <c r="D356" s="870"/>
      <c r="E356" s="908">
        <f>SUM(E357:E373)</f>
        <v>1.1102400000000001</v>
      </c>
      <c r="F356" s="875"/>
      <c r="G356" s="4"/>
      <c r="H356" s="4"/>
    </row>
    <row r="357" spans="1:18" hidden="1" outlineLevel="1" x14ac:dyDescent="0.25">
      <c r="A357" s="854"/>
      <c r="B357" s="394" t="s">
        <v>20</v>
      </c>
      <c r="C357" s="873">
        <v>0.02</v>
      </c>
      <c r="D357" s="854">
        <v>1</v>
      </c>
      <c r="E357" s="875">
        <f>C357*D357</f>
        <v>0.02</v>
      </c>
      <c r="F357" s="854"/>
    </row>
    <row r="358" spans="1:18" hidden="1" outlineLevel="1" x14ac:dyDescent="0.25">
      <c r="A358" s="854"/>
      <c r="B358" s="394" t="s">
        <v>21</v>
      </c>
      <c r="C358" s="873">
        <v>0.02</v>
      </c>
      <c r="D358" s="854">
        <v>1</v>
      </c>
      <c r="E358" s="875">
        <f>C358*D358</f>
        <v>0.02</v>
      </c>
      <c r="F358" s="854"/>
    </row>
    <row r="359" spans="1:18" hidden="1" outlineLevel="1" x14ac:dyDescent="0.25">
      <c r="A359" s="854"/>
      <c r="B359" s="394" t="s">
        <v>22</v>
      </c>
      <c r="C359" s="873">
        <v>0.06</v>
      </c>
      <c r="D359" s="879" t="s">
        <v>16</v>
      </c>
      <c r="E359" s="875">
        <f>C359*(1+0.3)</f>
        <v>7.8E-2</v>
      </c>
      <c r="F359" s="854"/>
    </row>
    <row r="360" spans="1:18" hidden="1" outlineLevel="1" x14ac:dyDescent="0.25">
      <c r="A360" s="854"/>
      <c r="B360" s="394" t="s">
        <v>23</v>
      </c>
      <c r="C360" s="873">
        <v>0.12</v>
      </c>
      <c r="D360" s="879" t="s">
        <v>16</v>
      </c>
      <c r="E360" s="875">
        <f>C360*(1+0.3)</f>
        <v>0.156</v>
      </c>
      <c r="F360" s="854"/>
    </row>
    <row r="361" spans="1:18" ht="25.5" hidden="1" outlineLevel="1" x14ac:dyDescent="0.25">
      <c r="A361" s="854"/>
      <c r="B361" s="394" t="s">
        <v>343</v>
      </c>
      <c r="C361" s="873"/>
      <c r="D361" s="879"/>
      <c r="E361" s="875"/>
      <c r="F361" s="854"/>
    </row>
    <row r="362" spans="1:18" hidden="1" outlineLevel="1" x14ac:dyDescent="0.25">
      <c r="A362" s="854"/>
      <c r="B362" s="877" t="s">
        <v>37</v>
      </c>
      <c r="C362" s="873">
        <v>0.16</v>
      </c>
      <c r="D362" s="879" t="s">
        <v>16</v>
      </c>
      <c r="E362" s="875">
        <f>C362*(1+0.3)</f>
        <v>0.20800000000000002</v>
      </c>
      <c r="F362" s="854"/>
    </row>
    <row r="363" spans="1:18" hidden="1" outlineLevel="1" x14ac:dyDescent="0.25">
      <c r="A363" s="854"/>
      <c r="B363" s="877" t="s">
        <v>38</v>
      </c>
      <c r="C363" s="873">
        <v>0.02</v>
      </c>
      <c r="D363" s="854">
        <v>1</v>
      </c>
      <c r="E363" s="875">
        <f>C363*D363</f>
        <v>0.02</v>
      </c>
      <c r="F363" s="854"/>
    </row>
    <row r="364" spans="1:18" hidden="1" outlineLevel="1" x14ac:dyDescent="0.25">
      <c r="A364" s="854"/>
      <c r="B364" s="877" t="s">
        <v>39</v>
      </c>
      <c r="C364" s="873">
        <v>0.02</v>
      </c>
      <c r="D364" s="854">
        <v>1</v>
      </c>
      <c r="E364" s="875">
        <f t="shared" ref="E364:E365" si="17">C364*D364</f>
        <v>0.02</v>
      </c>
      <c r="F364" s="854"/>
    </row>
    <row r="365" spans="1:18" hidden="1" outlineLevel="1" x14ac:dyDescent="0.25">
      <c r="A365" s="854"/>
      <c r="B365" s="877" t="s">
        <v>40</v>
      </c>
      <c r="C365" s="873">
        <v>0.1</v>
      </c>
      <c r="D365" s="854">
        <v>1</v>
      </c>
      <c r="E365" s="875">
        <f t="shared" si="17"/>
        <v>0.1</v>
      </c>
      <c r="F365" s="854"/>
    </row>
    <row r="366" spans="1:18" hidden="1" outlineLevel="1" x14ac:dyDescent="0.25">
      <c r="A366" s="854"/>
      <c r="B366" s="877" t="s">
        <v>41</v>
      </c>
      <c r="C366" s="873">
        <v>0.02</v>
      </c>
      <c r="D366" s="879" t="s">
        <v>16</v>
      </c>
      <c r="E366" s="875">
        <f>C366*(1+0.3)</f>
        <v>2.6000000000000002E-2</v>
      </c>
      <c r="F366" s="854"/>
    </row>
    <row r="367" spans="1:18" hidden="1" outlineLevel="1" x14ac:dyDescent="0.25">
      <c r="A367" s="854"/>
      <c r="B367" s="877" t="s">
        <v>42</v>
      </c>
      <c r="C367" s="873">
        <v>0.01</v>
      </c>
      <c r="D367" s="854">
        <v>1</v>
      </c>
      <c r="E367" s="875">
        <f t="shared" ref="E367:E371" si="18">C367*D367</f>
        <v>0.01</v>
      </c>
      <c r="F367" s="854"/>
    </row>
    <row r="368" spans="1:18" hidden="1" outlineLevel="1" x14ac:dyDescent="0.25">
      <c r="A368" s="854"/>
      <c r="B368" s="877" t="s">
        <v>43</v>
      </c>
      <c r="C368" s="873">
        <v>0.18</v>
      </c>
      <c r="D368" s="854">
        <v>1</v>
      </c>
      <c r="E368" s="875">
        <f t="shared" si="18"/>
        <v>0.18</v>
      </c>
      <c r="F368" s="854"/>
    </row>
    <row r="369" spans="1:10" hidden="1" outlineLevel="1" x14ac:dyDescent="0.25">
      <c r="A369" s="854"/>
      <c r="B369" s="394" t="s">
        <v>30</v>
      </c>
      <c r="C369" s="873">
        <v>0.03</v>
      </c>
      <c r="D369" s="854">
        <v>1</v>
      </c>
      <c r="E369" s="875">
        <f t="shared" si="18"/>
        <v>0.03</v>
      </c>
      <c r="F369" s="854"/>
    </row>
    <row r="370" spans="1:10" hidden="1" outlineLevel="1" x14ac:dyDescent="0.25">
      <c r="A370" s="854"/>
      <c r="B370" s="394" t="s">
        <v>44</v>
      </c>
      <c r="C370" s="873">
        <v>0.09</v>
      </c>
      <c r="D370" s="854">
        <v>1</v>
      </c>
      <c r="E370" s="875">
        <f t="shared" si="18"/>
        <v>0.09</v>
      </c>
      <c r="F370" s="854"/>
    </row>
    <row r="371" spans="1:10" hidden="1" outlineLevel="1" x14ac:dyDescent="0.25">
      <c r="A371" s="854"/>
      <c r="B371" s="394" t="s">
        <v>32</v>
      </c>
      <c r="C371" s="873">
        <v>0.06</v>
      </c>
      <c r="D371" s="854">
        <v>1</v>
      </c>
      <c r="E371" s="875">
        <f t="shared" si="18"/>
        <v>0.06</v>
      </c>
      <c r="F371" s="854"/>
    </row>
    <row r="372" spans="1:10" hidden="1" outlineLevel="1" x14ac:dyDescent="0.25">
      <c r="A372" s="854"/>
      <c r="B372" s="394" t="s">
        <v>45</v>
      </c>
      <c r="C372" s="873">
        <v>0.01</v>
      </c>
      <c r="D372" s="854">
        <v>1</v>
      </c>
      <c r="E372" s="875">
        <f>C372*D372</f>
        <v>0.01</v>
      </c>
      <c r="F372" s="854"/>
    </row>
    <row r="373" spans="1:10" hidden="1" outlineLevel="1" x14ac:dyDescent="0.25">
      <c r="A373" s="854"/>
      <c r="B373" s="394" t="s">
        <v>34</v>
      </c>
      <c r="C373" s="873">
        <v>0.08</v>
      </c>
      <c r="D373" s="879"/>
      <c r="E373" s="890">
        <f>SUM(E357:E372)*C373</f>
        <v>8.2240000000000008E-2</v>
      </c>
      <c r="F373" s="890"/>
      <c r="G373" s="14"/>
      <c r="H373" s="14"/>
    </row>
    <row r="374" spans="1:10" s="19" customFormat="1" ht="15.75" collapsed="1" x14ac:dyDescent="0.25">
      <c r="A374" s="862"/>
      <c r="B374" s="862" t="s">
        <v>48</v>
      </c>
      <c r="C374" s="862"/>
      <c r="D374" s="862"/>
      <c r="E374" s="862"/>
      <c r="F374" s="862"/>
    </row>
    <row r="375" spans="1:10" s="19" customFormat="1" ht="15.75" x14ac:dyDescent="0.25">
      <c r="A375" s="862"/>
      <c r="B375" s="862" t="s">
        <v>49</v>
      </c>
      <c r="C375" s="862">
        <v>5.32</v>
      </c>
      <c r="D375" s="880"/>
      <c r="E375" s="862"/>
      <c r="F375" s="862"/>
    </row>
    <row r="376" spans="1:10" s="36" customFormat="1" ht="94.5" customHeight="1" x14ac:dyDescent="0.2">
      <c r="A376" s="894"/>
      <c r="B376" s="891" t="s">
        <v>867</v>
      </c>
      <c r="C376" s="892">
        <v>0.04</v>
      </c>
      <c r="D376" s="893"/>
      <c r="E376" s="894"/>
      <c r="F376" s="855">
        <f>SUM(F44:F374)*C376</f>
        <v>67183.533841727534</v>
      </c>
      <c r="G376" s="34"/>
      <c r="H376" s="34"/>
      <c r="I376" s="33"/>
      <c r="J376" s="35"/>
    </row>
    <row r="377" spans="1:10" ht="15.75" x14ac:dyDescent="0.25">
      <c r="A377" s="854"/>
      <c r="B377" s="390" t="s">
        <v>50</v>
      </c>
      <c r="C377" s="854"/>
      <c r="D377" s="854"/>
      <c r="E377" s="854"/>
      <c r="F377" s="859">
        <f>SUM(F38:F376)</f>
        <v>1970211.8798849157</v>
      </c>
    </row>
    <row r="378" spans="1:10" x14ac:dyDescent="0.25">
      <c r="A378" s="854"/>
      <c r="B378" s="390" t="s">
        <v>51</v>
      </c>
      <c r="C378" s="854"/>
      <c r="D378" s="854"/>
      <c r="E378" s="854"/>
      <c r="F378" s="906">
        <f>F377*0.2</f>
        <v>394042.37597698317</v>
      </c>
    </row>
    <row r="379" spans="1:10" ht="15.75" x14ac:dyDescent="0.25">
      <c r="A379" s="854"/>
      <c r="B379" s="390" t="s">
        <v>52</v>
      </c>
      <c r="C379" s="854"/>
      <c r="D379" s="854"/>
      <c r="E379" s="854"/>
      <c r="F379" s="859">
        <f>SUM(F377:F378)</f>
        <v>2364254.2558618989</v>
      </c>
    </row>
    <row r="380" spans="1:10" x14ac:dyDescent="0.25">
      <c r="A380" s="374"/>
      <c r="B380" s="374"/>
      <c r="C380" s="374"/>
      <c r="D380" s="374"/>
      <c r="E380" s="374"/>
      <c r="F380" s="374"/>
    </row>
    <row r="381" spans="1:10" x14ac:dyDescent="0.25">
      <c r="A381" s="374"/>
      <c r="B381" s="374"/>
      <c r="C381" s="374"/>
      <c r="D381" s="374"/>
      <c r="E381" s="374"/>
      <c r="F381" s="374"/>
    </row>
    <row r="382" spans="1:10" x14ac:dyDescent="0.25">
      <c r="A382" s="374"/>
      <c r="B382" s="374"/>
      <c r="C382" s="374"/>
      <c r="D382" s="374"/>
      <c r="E382" s="374"/>
      <c r="F382" s="374"/>
    </row>
    <row r="383" spans="1:10" x14ac:dyDescent="0.25">
      <c r="A383" s="374"/>
      <c r="B383" s="374"/>
      <c r="C383" s="374"/>
      <c r="D383" s="374"/>
      <c r="E383" s="374"/>
      <c r="F383" s="374"/>
    </row>
    <row r="384" spans="1:10" x14ac:dyDescent="0.25">
      <c r="A384" s="374"/>
      <c r="B384" s="374"/>
      <c r="C384" s="374"/>
      <c r="D384" s="374"/>
      <c r="E384" s="374"/>
      <c r="F384" s="374"/>
    </row>
    <row r="385" spans="1:6" x14ac:dyDescent="0.25">
      <c r="A385" s="374"/>
      <c r="B385" s="374"/>
      <c r="C385" s="374"/>
      <c r="D385" s="374"/>
      <c r="E385" s="374"/>
      <c r="F385" s="374"/>
    </row>
  </sheetData>
  <mergeCells count="8">
    <mergeCell ref="A31:B31"/>
    <mergeCell ref="A33:B33"/>
    <mergeCell ref="B1:E1"/>
    <mergeCell ref="A23:C23"/>
    <mergeCell ref="A26:F26"/>
    <mergeCell ref="A27:F27"/>
    <mergeCell ref="C29:F29"/>
    <mergeCell ref="A29:B29"/>
  </mergeCells>
  <pageMargins left="0.7" right="0.7" top="0.75" bottom="0.75" header="0.3" footer="0.3"/>
  <pageSetup paperSize="9" scale="5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4"/>
  <sheetViews>
    <sheetView view="pageBreakPreview" topLeftCell="A440" zoomScaleNormal="100" zoomScaleSheetLayoutView="100" workbookViewId="0">
      <selection activeCell="H43" sqref="H43:H44"/>
    </sheetView>
  </sheetViews>
  <sheetFormatPr defaultRowHeight="15" outlineLevelRow="1" x14ac:dyDescent="0.25"/>
  <cols>
    <col min="1" max="1" width="6.28515625" customWidth="1"/>
    <col min="2" max="2" width="48.28515625" customWidth="1"/>
    <col min="3" max="3" width="43" customWidth="1"/>
    <col min="4" max="4" width="28.28515625" customWidth="1"/>
    <col min="5" max="5" width="11.140625" customWidth="1"/>
    <col min="6" max="6" width="16.85546875" customWidth="1"/>
    <col min="7" max="7" width="18.85546875" customWidth="1"/>
  </cols>
  <sheetData>
    <row r="1" spans="1:7" ht="15.75" hidden="1" x14ac:dyDescent="0.25">
      <c r="A1" s="307"/>
      <c r="B1" s="1237" t="s">
        <v>83</v>
      </c>
      <c r="C1" s="1237"/>
      <c r="D1" s="1237"/>
      <c r="E1" s="1238"/>
      <c r="F1" s="308"/>
    </row>
    <row r="2" spans="1:7" ht="16.5" hidden="1" thickBot="1" x14ac:dyDescent="0.3">
      <c r="A2" s="344" t="s">
        <v>84</v>
      </c>
      <c r="B2" s="302" t="s">
        <v>65</v>
      </c>
      <c r="C2" s="345" t="s">
        <v>0</v>
      </c>
      <c r="D2" s="341">
        <v>0.5</v>
      </c>
      <c r="E2" s="347"/>
      <c r="F2" s="40"/>
    </row>
    <row r="3" spans="1:7" ht="16.5" hidden="1" thickBot="1" x14ac:dyDescent="0.3">
      <c r="A3" s="344" t="s">
        <v>85</v>
      </c>
      <c r="B3" s="302" t="s">
        <v>86</v>
      </c>
      <c r="C3" s="345" t="s">
        <v>211</v>
      </c>
      <c r="D3" s="346">
        <v>1</v>
      </c>
      <c r="E3" s="347"/>
      <c r="F3" s="348"/>
    </row>
    <row r="4" spans="1:7" ht="31.5" hidden="1" x14ac:dyDescent="0.25">
      <c r="A4" s="344" t="s">
        <v>87</v>
      </c>
      <c r="B4" s="302" t="s">
        <v>88</v>
      </c>
      <c r="C4" s="345" t="s">
        <v>183</v>
      </c>
      <c r="D4" s="346">
        <v>2500</v>
      </c>
      <c r="E4" s="305" t="s">
        <v>623</v>
      </c>
      <c r="F4" s="342" t="s">
        <v>761</v>
      </c>
      <c r="G4" s="343" t="s">
        <v>659</v>
      </c>
    </row>
    <row r="5" spans="1:7" ht="48" hidden="1" thickBot="1" x14ac:dyDescent="0.3">
      <c r="A5" s="344" t="s">
        <v>89</v>
      </c>
      <c r="B5" s="302" t="s">
        <v>90</v>
      </c>
      <c r="C5" s="345" t="s">
        <v>211</v>
      </c>
      <c r="D5" s="346">
        <v>1</v>
      </c>
      <c r="E5" s="318" t="s">
        <v>762</v>
      </c>
      <c r="F5" s="40" t="s">
        <v>258</v>
      </c>
    </row>
    <row r="6" spans="1:7" ht="15.75" hidden="1" x14ac:dyDescent="0.25">
      <c r="A6" s="1243" t="s">
        <v>91</v>
      </c>
      <c r="B6" s="302" t="s">
        <v>92</v>
      </c>
      <c r="C6" s="1246" t="s">
        <v>211</v>
      </c>
      <c r="D6" s="1244">
        <v>1</v>
      </c>
      <c r="E6" s="1245"/>
      <c r="F6" s="1233" t="s">
        <v>257</v>
      </c>
    </row>
    <row r="7" spans="1:7" ht="16.5" hidden="1" thickBot="1" x14ac:dyDescent="0.3">
      <c r="A7" s="1243"/>
      <c r="B7" s="302" t="s">
        <v>93</v>
      </c>
      <c r="C7" s="1246"/>
      <c r="D7" s="1244"/>
      <c r="E7" s="1245"/>
      <c r="F7" s="1234"/>
    </row>
    <row r="8" spans="1:7" ht="79.5" hidden="1" thickBot="1" x14ac:dyDescent="0.3">
      <c r="A8" s="344" t="s">
        <v>94</v>
      </c>
      <c r="B8" s="302" t="s">
        <v>763</v>
      </c>
      <c r="C8" s="345" t="s">
        <v>211</v>
      </c>
      <c r="D8" s="346">
        <v>2</v>
      </c>
      <c r="E8" s="318" t="s">
        <v>764</v>
      </c>
      <c r="F8" s="40" t="s">
        <v>280</v>
      </c>
      <c r="G8" t="s">
        <v>765</v>
      </c>
    </row>
    <row r="9" spans="1:7" ht="48" hidden="1" thickBot="1" x14ac:dyDescent="0.3">
      <c r="A9" s="344" t="s">
        <v>95</v>
      </c>
      <c r="B9" s="302" t="s">
        <v>73</v>
      </c>
      <c r="C9" s="345" t="s">
        <v>620</v>
      </c>
      <c r="D9" s="346">
        <v>250</v>
      </c>
      <c r="E9" s="305" t="s">
        <v>641</v>
      </c>
      <c r="F9" s="40" t="s">
        <v>262</v>
      </c>
      <c r="G9" t="s">
        <v>672</v>
      </c>
    </row>
    <row r="10" spans="1:7" ht="95.25" hidden="1" thickBot="1" x14ac:dyDescent="0.3">
      <c r="A10" s="344" t="s">
        <v>96</v>
      </c>
      <c r="B10" s="302" t="s">
        <v>71</v>
      </c>
      <c r="C10" s="345"/>
      <c r="D10" s="346"/>
      <c r="E10" s="305" t="s">
        <v>625</v>
      </c>
      <c r="F10" s="40" t="s">
        <v>256</v>
      </c>
      <c r="G10" t="s">
        <v>626</v>
      </c>
    </row>
    <row r="11" spans="1:7" ht="16.5" hidden="1" thickBot="1" x14ac:dyDescent="0.3">
      <c r="A11" s="344" t="s">
        <v>766</v>
      </c>
      <c r="B11" s="302" t="s">
        <v>628</v>
      </c>
      <c r="C11" s="345" t="s">
        <v>211</v>
      </c>
      <c r="D11" s="346">
        <v>6</v>
      </c>
      <c r="E11" s="305"/>
      <c r="F11" s="40"/>
    </row>
    <row r="12" spans="1:7" ht="32.25" hidden="1" thickBot="1" x14ac:dyDescent="0.3">
      <c r="A12" s="344" t="s">
        <v>767</v>
      </c>
      <c r="B12" s="302" t="s">
        <v>630</v>
      </c>
      <c r="C12" s="345" t="s">
        <v>211</v>
      </c>
      <c r="D12" s="346">
        <v>6</v>
      </c>
      <c r="E12" s="305"/>
      <c r="F12" s="40"/>
    </row>
    <row r="13" spans="1:7" ht="63.75" hidden="1" thickBot="1" x14ac:dyDescent="0.3">
      <c r="A13" s="344" t="s">
        <v>97</v>
      </c>
      <c r="B13" s="302" t="s">
        <v>98</v>
      </c>
      <c r="C13" s="345" t="s">
        <v>620</v>
      </c>
      <c r="D13" s="346">
        <v>3000</v>
      </c>
      <c r="E13" s="305" t="s">
        <v>625</v>
      </c>
      <c r="F13" s="40" t="s">
        <v>261</v>
      </c>
    </row>
    <row r="14" spans="1:7" ht="16.5" hidden="1" thickBot="1" x14ac:dyDescent="0.3">
      <c r="A14" s="344" t="s">
        <v>99</v>
      </c>
      <c r="B14" s="302" t="s">
        <v>79</v>
      </c>
      <c r="C14" s="345" t="s">
        <v>211</v>
      </c>
      <c r="D14" s="346">
        <v>25</v>
      </c>
      <c r="E14" s="305" t="s">
        <v>635</v>
      </c>
      <c r="F14" s="40" t="s">
        <v>254</v>
      </c>
    </row>
    <row r="15" spans="1:7" ht="79.5" hidden="1" thickBot="1" x14ac:dyDescent="0.3">
      <c r="A15" s="344" t="s">
        <v>100</v>
      </c>
      <c r="B15" s="302" t="s">
        <v>101</v>
      </c>
      <c r="C15" s="345" t="s">
        <v>648</v>
      </c>
      <c r="D15" s="346">
        <v>1</v>
      </c>
      <c r="E15" s="305" t="s">
        <v>768</v>
      </c>
      <c r="F15" s="40" t="s">
        <v>260</v>
      </c>
    </row>
    <row r="16" spans="1:7" ht="16.5" hidden="1" thickBot="1" x14ac:dyDescent="0.3">
      <c r="A16" s="320" t="s">
        <v>102</v>
      </c>
      <c r="B16" s="321" t="s">
        <v>82</v>
      </c>
      <c r="C16" s="322" t="s">
        <v>668</v>
      </c>
      <c r="D16" s="323" t="s">
        <v>769</v>
      </c>
      <c r="E16" s="305" t="s">
        <v>635</v>
      </c>
      <c r="F16" s="40" t="s">
        <v>254</v>
      </c>
    </row>
    <row r="17" spans="1:9" ht="48" hidden="1" thickBot="1" x14ac:dyDescent="0.3">
      <c r="A17" s="344" t="s">
        <v>103</v>
      </c>
      <c r="B17" s="302" t="s">
        <v>104</v>
      </c>
      <c r="C17" s="345" t="s">
        <v>721</v>
      </c>
      <c r="D17" s="346">
        <v>500</v>
      </c>
      <c r="E17" s="305" t="s">
        <v>641</v>
      </c>
      <c r="F17" s="40" t="s">
        <v>259</v>
      </c>
      <c r="G17" t="s">
        <v>638</v>
      </c>
    </row>
    <row r="18" spans="1:9" ht="15.75" hidden="1" x14ac:dyDescent="0.25">
      <c r="A18" s="344" t="s">
        <v>770</v>
      </c>
      <c r="B18" s="302" t="s">
        <v>679</v>
      </c>
      <c r="C18" s="345"/>
      <c r="D18" s="346"/>
      <c r="E18" s="305"/>
      <c r="F18" s="306"/>
    </row>
    <row r="19" spans="1:9" ht="15.75" hidden="1" x14ac:dyDescent="0.25">
      <c r="A19" s="344" t="s">
        <v>771</v>
      </c>
      <c r="B19" s="329" t="s">
        <v>681</v>
      </c>
      <c r="C19" s="302" t="s">
        <v>660</v>
      </c>
      <c r="D19" s="346">
        <v>150</v>
      </c>
      <c r="E19" s="340"/>
      <c r="F19" s="306"/>
    </row>
    <row r="20" spans="1:9" ht="15.75" hidden="1" x14ac:dyDescent="0.25">
      <c r="A20" s="344" t="s">
        <v>772</v>
      </c>
      <c r="B20" s="329" t="s">
        <v>683</v>
      </c>
      <c r="C20" s="302" t="s">
        <v>660</v>
      </c>
      <c r="D20" s="346">
        <v>200</v>
      </c>
      <c r="E20" s="340"/>
      <c r="F20" s="306"/>
    </row>
    <row r="21" spans="1:9" ht="15.75" hidden="1" x14ac:dyDescent="0.25">
      <c r="A21" s="344" t="s">
        <v>773</v>
      </c>
      <c r="B21" s="349" t="s">
        <v>689</v>
      </c>
      <c r="C21" s="350"/>
      <c r="D21" s="351"/>
      <c r="E21" s="305"/>
      <c r="F21" s="306"/>
    </row>
    <row r="22" spans="1:9" ht="63" hidden="1" x14ac:dyDescent="0.25">
      <c r="A22" s="344" t="s">
        <v>774</v>
      </c>
      <c r="B22" s="302" t="s">
        <v>691</v>
      </c>
      <c r="C22" s="302" t="s">
        <v>692</v>
      </c>
      <c r="D22" s="345" t="s">
        <v>775</v>
      </c>
      <c r="E22" s="340"/>
      <c r="F22" s="306"/>
    </row>
    <row r="23" spans="1:9" ht="15.75" hidden="1" x14ac:dyDescent="0.25">
      <c r="A23" s="344" t="s">
        <v>776</v>
      </c>
      <c r="B23" s="329" t="s">
        <v>695</v>
      </c>
      <c r="C23" s="302" t="s">
        <v>696</v>
      </c>
      <c r="D23" s="346">
        <v>16</v>
      </c>
      <c r="E23" s="340"/>
      <c r="F23" s="306"/>
    </row>
    <row r="24" spans="1:9" ht="15.75" hidden="1" x14ac:dyDescent="0.25">
      <c r="A24" s="344" t="s">
        <v>777</v>
      </c>
      <c r="B24" s="302" t="s">
        <v>698</v>
      </c>
      <c r="C24" s="302" t="s">
        <v>704</v>
      </c>
      <c r="D24" s="346">
        <v>1</v>
      </c>
      <c r="E24" s="340"/>
      <c r="F24" s="306"/>
    </row>
    <row r="25" spans="1:9" ht="31.5" hidden="1" x14ac:dyDescent="0.25">
      <c r="A25" s="344" t="s">
        <v>778</v>
      </c>
      <c r="B25" s="302" t="s">
        <v>700</v>
      </c>
      <c r="C25" s="302" t="s">
        <v>701</v>
      </c>
      <c r="D25" s="346">
        <v>8</v>
      </c>
      <c r="E25" s="340"/>
      <c r="F25" s="306"/>
    </row>
    <row r="26" spans="1:9" hidden="1" x14ac:dyDescent="0.25"/>
    <row r="27" spans="1:9" hidden="1" x14ac:dyDescent="0.25"/>
    <row r="28" spans="1:9" hidden="1" x14ac:dyDescent="0.25"/>
    <row r="29" spans="1:9" s="828" customFormat="1" ht="27" customHeight="1" x14ac:dyDescent="0.25">
      <c r="A29" s="1254" t="s">
        <v>2397</v>
      </c>
      <c r="B29" s="1254"/>
      <c r="C29" s="1254"/>
      <c r="E29" s="835"/>
      <c r="F29" s="835" t="s">
        <v>2398</v>
      </c>
      <c r="G29" s="835"/>
      <c r="H29" s="835"/>
      <c r="I29" s="835"/>
    </row>
    <row r="30" spans="1:9" s="831" customFormat="1" x14ac:dyDescent="0.25">
      <c r="A30" s="829"/>
      <c r="B30" s="829"/>
      <c r="C30" s="829"/>
      <c r="D30" s="830"/>
      <c r="E30" s="830"/>
      <c r="F30" s="830"/>
      <c r="G30" s="830"/>
      <c r="H30" s="830"/>
      <c r="I30" s="830"/>
    </row>
    <row r="31" spans="1:9" s="831" customFormat="1" x14ac:dyDescent="0.25">
      <c r="A31" s="829"/>
      <c r="B31" s="829"/>
      <c r="C31" s="829"/>
      <c r="D31" s="830"/>
      <c r="E31" s="830"/>
      <c r="F31" s="830"/>
      <c r="G31" s="830"/>
      <c r="H31" s="830"/>
      <c r="I31" s="830"/>
    </row>
    <row r="32" spans="1:9" s="828" customFormat="1" ht="28.5" customHeight="1" x14ac:dyDescent="0.25">
      <c r="A32" s="1255" t="s">
        <v>2404</v>
      </c>
      <c r="B32" s="1255"/>
      <c r="C32" s="1255"/>
      <c r="D32" s="1255"/>
      <c r="E32" s="1255"/>
      <c r="F32" s="1255"/>
      <c r="G32" s="836"/>
      <c r="H32" s="836"/>
      <c r="I32" s="836"/>
    </row>
    <row r="33" spans="1:11" s="839" customFormat="1" ht="15.75" x14ac:dyDescent="0.25">
      <c r="A33" s="1256" t="s">
        <v>1112</v>
      </c>
      <c r="B33" s="1256"/>
      <c r="C33" s="1256"/>
      <c r="D33" s="1256"/>
      <c r="E33" s="1256"/>
      <c r="F33" s="1256"/>
      <c r="G33" s="838"/>
      <c r="H33" s="838"/>
      <c r="I33" s="838"/>
    </row>
    <row r="34" spans="1:11" s="828" customFormat="1" ht="15.75" x14ac:dyDescent="0.25">
      <c r="A34" s="840"/>
      <c r="B34" s="840"/>
      <c r="C34" s="840"/>
      <c r="D34" s="841"/>
      <c r="E34" s="841"/>
      <c r="F34" s="841"/>
      <c r="G34" s="829"/>
      <c r="H34" s="832"/>
      <c r="I34" s="832"/>
    </row>
    <row r="35" spans="1:11" s="828" customFormat="1" ht="81" customHeight="1" x14ac:dyDescent="0.25">
      <c r="A35" s="1258" t="s">
        <v>2399</v>
      </c>
      <c r="B35" s="1258"/>
      <c r="C35" s="1257" t="s">
        <v>2405</v>
      </c>
      <c r="D35" s="1257"/>
      <c r="E35" s="1257"/>
      <c r="F35" s="1257"/>
      <c r="G35" s="837"/>
      <c r="H35" s="837"/>
      <c r="I35" s="837"/>
    </row>
    <row r="36" spans="1:11" s="828" customFormat="1" ht="15.75" x14ac:dyDescent="0.25">
      <c r="A36" s="842"/>
      <c r="B36" s="842"/>
      <c r="C36" s="842"/>
      <c r="D36" s="840"/>
      <c r="E36" s="840"/>
      <c r="F36" s="840"/>
      <c r="G36" s="832"/>
      <c r="H36" s="832"/>
      <c r="I36" s="832"/>
    </row>
    <row r="37" spans="1:11" s="828" customFormat="1" ht="41.25" customHeight="1" x14ac:dyDescent="0.25">
      <c r="A37" s="1253" t="s">
        <v>1203</v>
      </c>
      <c r="B37" s="1253"/>
      <c r="C37" s="843"/>
      <c r="D37" s="843"/>
      <c r="E37" s="843"/>
      <c r="F37" s="843"/>
      <c r="G37" s="833"/>
      <c r="H37" s="833"/>
      <c r="I37" s="833"/>
    </row>
    <row r="38" spans="1:11" s="828" customFormat="1" ht="15.75" x14ac:dyDescent="0.25">
      <c r="A38" s="840"/>
      <c r="B38" s="840"/>
      <c r="C38" s="840"/>
      <c r="D38" s="840"/>
      <c r="E38" s="840"/>
      <c r="F38" s="840"/>
      <c r="G38" s="832"/>
      <c r="H38" s="832"/>
      <c r="I38" s="832"/>
    </row>
    <row r="39" spans="1:11" s="828" customFormat="1" ht="30" customHeight="1" x14ac:dyDescent="0.25">
      <c r="A39" s="1253" t="s">
        <v>2400</v>
      </c>
      <c r="B39" s="1253"/>
      <c r="C39" s="843" t="s">
        <v>2403</v>
      </c>
      <c r="D39" s="843"/>
      <c r="E39" s="843"/>
      <c r="F39" s="843"/>
      <c r="G39" s="833"/>
      <c r="H39" s="833"/>
      <c r="I39" s="833"/>
    </row>
    <row r="40" spans="1:11" s="294" customFormat="1" ht="25.5" x14ac:dyDescent="0.25">
      <c r="A40" s="298" t="s">
        <v>529</v>
      </c>
      <c r="B40" s="298" t="s">
        <v>528</v>
      </c>
      <c r="C40" s="298" t="s">
        <v>527</v>
      </c>
      <c r="D40" s="271" t="s">
        <v>526</v>
      </c>
      <c r="E40" s="377"/>
      <c r="F40" s="298" t="s">
        <v>525</v>
      </c>
    </row>
    <row r="41" spans="1:11" s="268" customFormat="1" ht="12.75" x14ac:dyDescent="0.2">
      <c r="A41" s="298">
        <v>1</v>
      </c>
      <c r="B41" s="298">
        <v>2</v>
      </c>
      <c r="C41" s="298">
        <v>3</v>
      </c>
      <c r="D41" s="298">
        <v>4</v>
      </c>
      <c r="E41" s="298"/>
      <c r="F41" s="298">
        <v>5</v>
      </c>
      <c r="G41" s="295"/>
    </row>
    <row r="42" spans="1:11" x14ac:dyDescent="0.25">
      <c r="A42" s="854"/>
      <c r="B42" s="861" t="s">
        <v>86</v>
      </c>
      <c r="C42" s="862">
        <v>100</v>
      </c>
      <c r="D42" s="862" t="s">
        <v>333</v>
      </c>
      <c r="E42" s="854"/>
      <c r="F42" s="854"/>
    </row>
    <row r="43" spans="1:11" s="2" customFormat="1" ht="51" x14ac:dyDescent="0.25">
      <c r="A43" s="854"/>
      <c r="B43" s="854" t="s">
        <v>86</v>
      </c>
      <c r="C43" s="394" t="s">
        <v>330</v>
      </c>
      <c r="D43" s="394" t="s">
        <v>868</v>
      </c>
      <c r="E43" s="854"/>
      <c r="F43" s="855">
        <f>(118.81+0.3*100)*D44*D45*D46*C66*1000</f>
        <v>390235.59874992026</v>
      </c>
      <c r="G43" s="37"/>
      <c r="H43" s="37"/>
      <c r="I43"/>
      <c r="J43"/>
      <c r="K43"/>
    </row>
    <row r="44" spans="1:11" s="3" customFormat="1" x14ac:dyDescent="0.25">
      <c r="A44" s="866"/>
      <c r="B44" s="865" t="s">
        <v>4</v>
      </c>
      <c r="C44" s="865" t="s">
        <v>5</v>
      </c>
      <c r="D44" s="866">
        <v>0.4</v>
      </c>
      <c r="E44" s="866"/>
      <c r="F44" s="866"/>
      <c r="I44"/>
      <c r="J44"/>
      <c r="K44"/>
    </row>
    <row r="45" spans="1:11" ht="89.25" x14ac:dyDescent="0.25">
      <c r="A45" s="854"/>
      <c r="B45" s="394" t="s">
        <v>331</v>
      </c>
      <c r="C45" s="394" t="s">
        <v>332</v>
      </c>
      <c r="D45" s="854">
        <v>1.1000000000000001</v>
      </c>
      <c r="E45" s="854"/>
      <c r="F45" s="854"/>
    </row>
    <row r="46" spans="1:11" ht="89.25" x14ac:dyDescent="0.25">
      <c r="A46" s="854"/>
      <c r="B46" s="394" t="s">
        <v>15</v>
      </c>
      <c r="C46" s="394" t="s">
        <v>215</v>
      </c>
      <c r="D46" s="854">
        <f>E47/1</f>
        <v>1.1202900000000005</v>
      </c>
      <c r="E46" s="854"/>
      <c r="F46" s="854"/>
    </row>
    <row r="47" spans="1:11" x14ac:dyDescent="0.25">
      <c r="A47" s="854"/>
      <c r="B47" s="390" t="s">
        <v>6</v>
      </c>
      <c r="C47" s="869">
        <f>SUM(C48:C64)</f>
        <v>1.0000000000000002</v>
      </c>
      <c r="D47" s="870"/>
      <c r="E47" s="871">
        <f>SUM(E48:E64)</f>
        <v>1.1202900000000005</v>
      </c>
      <c r="F47" s="872"/>
      <c r="G47" s="9"/>
      <c r="H47" s="9"/>
    </row>
    <row r="48" spans="1:11" hidden="1" outlineLevel="1" x14ac:dyDescent="0.25">
      <c r="A48" s="854"/>
      <c r="B48" s="394" t="s">
        <v>20</v>
      </c>
      <c r="C48" s="873">
        <v>0.02</v>
      </c>
      <c r="D48" s="879">
        <v>1</v>
      </c>
      <c r="E48" s="875">
        <f>C48*D48</f>
        <v>0.02</v>
      </c>
      <c r="F48" s="870"/>
      <c r="G48" s="6"/>
      <c r="H48" s="6"/>
    </row>
    <row r="49" spans="1:9" ht="25.5" hidden="1" outlineLevel="1" x14ac:dyDescent="0.25">
      <c r="A49" s="854"/>
      <c r="B49" s="394" t="s">
        <v>21</v>
      </c>
      <c r="C49" s="873">
        <v>0.04</v>
      </c>
      <c r="D49" s="854">
        <v>1</v>
      </c>
      <c r="E49" s="875">
        <f>C49*D49</f>
        <v>0.04</v>
      </c>
      <c r="F49" s="854"/>
    </row>
    <row r="50" spans="1:9" hidden="1" outlineLevel="1" x14ac:dyDescent="0.25">
      <c r="A50" s="854"/>
      <c r="B50" s="394" t="s">
        <v>22</v>
      </c>
      <c r="C50" s="873">
        <v>0.14000000000000001</v>
      </c>
      <c r="D50" s="879" t="s">
        <v>16</v>
      </c>
      <c r="E50" s="875">
        <f>C50*(1+0.3)</f>
        <v>0.18200000000000002</v>
      </c>
      <c r="F50" s="854"/>
    </row>
    <row r="51" spans="1:9" hidden="1" outlineLevel="1" x14ac:dyDescent="0.25">
      <c r="A51" s="854"/>
      <c r="B51" s="394" t="s">
        <v>23</v>
      </c>
      <c r="C51" s="873">
        <v>0.15</v>
      </c>
      <c r="D51" s="879" t="s">
        <v>16</v>
      </c>
      <c r="E51" s="875">
        <f>C51*(1+0.3)</f>
        <v>0.19500000000000001</v>
      </c>
      <c r="F51" s="854"/>
    </row>
    <row r="52" spans="1:9" ht="25.5" hidden="1" outlineLevel="1" x14ac:dyDescent="0.25">
      <c r="A52" s="854"/>
      <c r="B52" s="394" t="s">
        <v>36</v>
      </c>
      <c r="C52" s="873"/>
      <c r="D52" s="879"/>
      <c r="E52" s="875">
        <f>C52*(1+0.3)</f>
        <v>0</v>
      </c>
      <c r="F52" s="870"/>
      <c r="G52" s="6"/>
      <c r="H52" s="6"/>
    </row>
    <row r="53" spans="1:9" hidden="1" outlineLevel="1" x14ac:dyDescent="0.25">
      <c r="A53" s="854"/>
      <c r="B53" s="877" t="s">
        <v>37</v>
      </c>
      <c r="C53" s="873">
        <v>7.0000000000000007E-2</v>
      </c>
      <c r="D53" s="879" t="s">
        <v>16</v>
      </c>
      <c r="E53" s="875">
        <f>C53*(1+0.3)</f>
        <v>9.1000000000000011E-2</v>
      </c>
      <c r="F53" s="870"/>
      <c r="G53" s="6"/>
      <c r="H53" s="6"/>
    </row>
    <row r="54" spans="1:9" hidden="1" outlineLevel="1" x14ac:dyDescent="0.25">
      <c r="A54" s="854"/>
      <c r="B54" s="877" t="s">
        <v>38</v>
      </c>
      <c r="C54" s="873">
        <v>0.04</v>
      </c>
      <c r="D54" s="879">
        <v>1</v>
      </c>
      <c r="E54" s="875">
        <f>C54*D54</f>
        <v>0.04</v>
      </c>
      <c r="F54" s="870"/>
      <c r="G54" s="6"/>
      <c r="H54" s="6"/>
    </row>
    <row r="55" spans="1:9" hidden="1" outlineLevel="1" x14ac:dyDescent="0.25">
      <c r="A55" s="854"/>
      <c r="B55" s="877" t="s">
        <v>39</v>
      </c>
      <c r="C55" s="873">
        <v>0.04</v>
      </c>
      <c r="D55" s="879">
        <v>1</v>
      </c>
      <c r="E55" s="875">
        <f>C55*D55</f>
        <v>0.04</v>
      </c>
      <c r="F55" s="882"/>
      <c r="G55" s="7"/>
      <c r="H55" s="7"/>
      <c r="I55" s="8"/>
    </row>
    <row r="56" spans="1:9" hidden="1" outlineLevel="1" x14ac:dyDescent="0.25">
      <c r="A56" s="854"/>
      <c r="B56" s="877" t="s">
        <v>40</v>
      </c>
      <c r="C56" s="873">
        <v>0.12</v>
      </c>
      <c r="D56" s="879">
        <v>1</v>
      </c>
      <c r="E56" s="875">
        <f>C56*D56</f>
        <v>0.12</v>
      </c>
      <c r="F56" s="870"/>
      <c r="G56" s="6"/>
      <c r="H56" s="6"/>
    </row>
    <row r="57" spans="1:9" hidden="1" outlineLevel="1" x14ac:dyDescent="0.25">
      <c r="A57" s="854"/>
      <c r="B57" s="877" t="s">
        <v>41</v>
      </c>
      <c r="C57" s="873">
        <v>0.03</v>
      </c>
      <c r="D57" s="879" t="s">
        <v>16</v>
      </c>
      <c r="E57" s="875">
        <f>C57*(1+0.3)</f>
        <v>3.9E-2</v>
      </c>
      <c r="F57" s="854"/>
    </row>
    <row r="58" spans="1:9" hidden="1" outlineLevel="1" x14ac:dyDescent="0.25">
      <c r="A58" s="854"/>
      <c r="B58" s="877" t="s">
        <v>42</v>
      </c>
      <c r="C58" s="873">
        <v>0.02</v>
      </c>
      <c r="D58" s="879">
        <v>1</v>
      </c>
      <c r="E58" s="875">
        <f t="shared" ref="E58:E63" si="0">C58*D58</f>
        <v>0.02</v>
      </c>
      <c r="F58" s="854"/>
    </row>
    <row r="59" spans="1:9" hidden="1" outlineLevel="1" x14ac:dyDescent="0.25">
      <c r="A59" s="854"/>
      <c r="B59" s="877" t="s">
        <v>43</v>
      </c>
      <c r="C59" s="873">
        <v>0.05</v>
      </c>
      <c r="D59" s="879">
        <v>1</v>
      </c>
      <c r="E59" s="875">
        <f t="shared" si="0"/>
        <v>0.05</v>
      </c>
      <c r="F59" s="854"/>
    </row>
    <row r="60" spans="1:9" hidden="1" outlineLevel="1" x14ac:dyDescent="0.25">
      <c r="A60" s="854"/>
      <c r="B60" s="394" t="s">
        <v>30</v>
      </c>
      <c r="C60" s="873">
        <v>0.06</v>
      </c>
      <c r="D60" s="879">
        <v>1</v>
      </c>
      <c r="E60" s="875">
        <f t="shared" si="0"/>
        <v>0.06</v>
      </c>
      <c r="F60" s="870"/>
      <c r="G60" s="6"/>
      <c r="H60" s="6"/>
    </row>
    <row r="61" spans="1:9" hidden="1" outlineLevel="1" x14ac:dyDescent="0.25">
      <c r="A61" s="854"/>
      <c r="B61" s="394" t="s">
        <v>44</v>
      </c>
      <c r="C61" s="873">
        <v>7.0000000000000007E-2</v>
      </c>
      <c r="D61" s="879">
        <v>1</v>
      </c>
      <c r="E61" s="875">
        <f t="shared" si="0"/>
        <v>7.0000000000000007E-2</v>
      </c>
      <c r="F61" s="882"/>
      <c r="G61" s="7"/>
      <c r="H61" s="7"/>
      <c r="I61" s="8"/>
    </row>
    <row r="62" spans="1:9" ht="25.5" hidden="1" outlineLevel="1" x14ac:dyDescent="0.25">
      <c r="A62" s="854"/>
      <c r="B62" s="394" t="s">
        <v>32</v>
      </c>
      <c r="C62" s="873">
        <v>0.06</v>
      </c>
      <c r="D62" s="879">
        <v>1</v>
      </c>
      <c r="E62" s="875">
        <f t="shared" si="0"/>
        <v>0.06</v>
      </c>
      <c r="F62" s="870"/>
      <c r="G62" s="6"/>
      <c r="H62" s="6"/>
    </row>
    <row r="63" spans="1:9" hidden="1" outlineLevel="1" x14ac:dyDescent="0.25">
      <c r="A63" s="854"/>
      <c r="B63" s="394" t="s">
        <v>45</v>
      </c>
      <c r="C63" s="873">
        <v>0.02</v>
      </c>
      <c r="D63" s="879">
        <v>1</v>
      </c>
      <c r="E63" s="875">
        <f t="shared" si="0"/>
        <v>0.02</v>
      </c>
      <c r="F63" s="854"/>
    </row>
    <row r="64" spans="1:9" hidden="1" outlineLevel="1" x14ac:dyDescent="0.25">
      <c r="A64" s="854"/>
      <c r="B64" s="854" t="s">
        <v>13</v>
      </c>
      <c r="C64" s="873">
        <v>7.0000000000000007E-2</v>
      </c>
      <c r="D64" s="854"/>
      <c r="E64" s="881">
        <f>SUM(E48:E63)*C64</f>
        <v>7.3290000000000036E-2</v>
      </c>
      <c r="F64" s="882"/>
      <c r="G64" s="7"/>
      <c r="H64" s="7"/>
      <c r="I64" s="8"/>
    </row>
    <row r="65" spans="1:11" s="19" customFormat="1" ht="15.75" collapsed="1" x14ac:dyDescent="0.25">
      <c r="A65" s="862"/>
      <c r="B65" s="862" t="s">
        <v>48</v>
      </c>
      <c r="C65" s="862"/>
      <c r="D65" s="862"/>
      <c r="E65" s="862"/>
      <c r="F65" s="862"/>
    </row>
    <row r="66" spans="1:11" s="19" customFormat="1" ht="15.75" x14ac:dyDescent="0.25">
      <c r="A66" s="862"/>
      <c r="B66" s="862" t="s">
        <v>49</v>
      </c>
      <c r="C66" s="862">
        <v>5.32</v>
      </c>
      <c r="D66" s="880"/>
      <c r="E66" s="862"/>
      <c r="F66" s="862"/>
    </row>
    <row r="67" spans="1:11" x14ac:dyDescent="0.25">
      <c r="A67" s="854"/>
      <c r="B67" s="861" t="s">
        <v>88</v>
      </c>
      <c r="C67" s="862">
        <v>1</v>
      </c>
      <c r="D67" s="862" t="s">
        <v>225</v>
      </c>
      <c r="E67" s="854"/>
      <c r="F67" s="854"/>
    </row>
    <row r="68" spans="1:11" s="2" customFormat="1" ht="63.75" x14ac:dyDescent="0.25">
      <c r="A68" s="854"/>
      <c r="B68" s="854" t="s">
        <v>872</v>
      </c>
      <c r="C68" s="394" t="s">
        <v>226</v>
      </c>
      <c r="D68" s="394" t="s">
        <v>873</v>
      </c>
      <c r="E68" s="854"/>
      <c r="F68" s="855">
        <f>160*C67*D70*D69*D71*C79*1000</f>
        <v>434663.84998399997</v>
      </c>
      <c r="I68"/>
      <c r="J68"/>
      <c r="K68"/>
    </row>
    <row r="69" spans="1:11" s="3" customFormat="1" x14ac:dyDescent="0.25">
      <c r="A69" s="866"/>
      <c r="B69" s="865" t="s">
        <v>4</v>
      </c>
      <c r="C69" s="865" t="s">
        <v>5</v>
      </c>
      <c r="D69" s="866">
        <v>0.4</v>
      </c>
      <c r="E69" s="866"/>
      <c r="F69" s="866"/>
      <c r="I69"/>
      <c r="J69"/>
      <c r="K69"/>
    </row>
    <row r="70" spans="1:11" s="2" customFormat="1" ht="63.75" x14ac:dyDescent="0.25">
      <c r="A70" s="854"/>
      <c r="B70" s="394" t="s">
        <v>223</v>
      </c>
      <c r="C70" s="394" t="s">
        <v>224</v>
      </c>
      <c r="D70" s="854">
        <v>1.04</v>
      </c>
      <c r="E70" s="854"/>
      <c r="F70" s="854"/>
    </row>
    <row r="71" spans="1:11" ht="89.25" x14ac:dyDescent="0.25">
      <c r="A71" s="854"/>
      <c r="B71" s="394" t="s">
        <v>15</v>
      </c>
      <c r="C71" s="394" t="s">
        <v>246</v>
      </c>
      <c r="D71" s="854">
        <f>E72/1</f>
        <v>1.2275199999999999</v>
      </c>
      <c r="E71" s="854"/>
      <c r="F71" s="854"/>
    </row>
    <row r="72" spans="1:11" x14ac:dyDescent="0.25">
      <c r="A72" s="854"/>
      <c r="B72" s="390" t="s">
        <v>6</v>
      </c>
      <c r="C72" s="869">
        <f>SUM(C73:C77)</f>
        <v>1</v>
      </c>
      <c r="D72" s="870"/>
      <c r="E72" s="871">
        <f>SUM(E73:E77)</f>
        <v>1.2275199999999999</v>
      </c>
      <c r="F72" s="872"/>
      <c r="G72" s="9"/>
      <c r="H72" s="9"/>
    </row>
    <row r="73" spans="1:11" hidden="1" outlineLevel="1" x14ac:dyDescent="0.25">
      <c r="A73" s="854"/>
      <c r="B73" s="394" t="s">
        <v>227</v>
      </c>
      <c r="C73" s="892">
        <v>0.52</v>
      </c>
      <c r="D73" s="879" t="s">
        <v>16</v>
      </c>
      <c r="E73" s="875">
        <f>C73*(1+0.3)</f>
        <v>0.67600000000000005</v>
      </c>
      <c r="F73" s="870"/>
      <c r="G73" s="6"/>
      <c r="H73" s="6"/>
    </row>
    <row r="74" spans="1:11" hidden="1" outlineLevel="1" x14ac:dyDescent="0.25">
      <c r="A74" s="854"/>
      <c r="B74" s="394" t="s">
        <v>228</v>
      </c>
      <c r="C74" s="892">
        <v>0.09</v>
      </c>
      <c r="D74" s="854">
        <v>1</v>
      </c>
      <c r="E74" s="875">
        <f>C74*(1+0.3)</f>
        <v>0.11699999999999999</v>
      </c>
      <c r="F74" s="854"/>
    </row>
    <row r="75" spans="1:11" hidden="1" outlineLevel="1" x14ac:dyDescent="0.25">
      <c r="A75" s="854"/>
      <c r="B75" s="394" t="s">
        <v>229</v>
      </c>
      <c r="C75" s="892">
        <v>0.15</v>
      </c>
      <c r="D75" s="879">
        <v>1</v>
      </c>
      <c r="E75" s="875">
        <f>C75*(1+0.3)</f>
        <v>0.19500000000000001</v>
      </c>
      <c r="F75" s="854"/>
    </row>
    <row r="76" spans="1:11" hidden="1" outlineLevel="1" x14ac:dyDescent="0.25">
      <c r="A76" s="854"/>
      <c r="B76" s="854" t="s">
        <v>13</v>
      </c>
      <c r="C76" s="873">
        <v>0.04</v>
      </c>
      <c r="D76" s="854">
        <v>1</v>
      </c>
      <c r="E76" s="881">
        <f>SUM(E73:E75)*C76</f>
        <v>3.952E-2</v>
      </c>
      <c r="F76" s="882"/>
      <c r="G76" s="7"/>
      <c r="H76" s="7"/>
      <c r="I76" s="8"/>
    </row>
    <row r="77" spans="1:11" collapsed="1" x14ac:dyDescent="0.25">
      <c r="A77" s="854"/>
      <c r="B77" s="854" t="s">
        <v>230</v>
      </c>
      <c r="C77" s="892">
        <v>0.2</v>
      </c>
      <c r="D77" s="879">
        <v>1</v>
      </c>
      <c r="E77" s="875">
        <f>C77*D77</f>
        <v>0.2</v>
      </c>
      <c r="F77" s="870"/>
      <c r="G77" s="6"/>
      <c r="H77" s="6"/>
    </row>
    <row r="78" spans="1:11" s="19" customFormat="1" ht="15.75" x14ac:dyDescent="0.25">
      <c r="A78" s="862"/>
      <c r="B78" s="862" t="s">
        <v>48</v>
      </c>
      <c r="C78" s="862"/>
      <c r="D78" s="862"/>
      <c r="E78" s="862"/>
      <c r="F78" s="862"/>
    </row>
    <row r="79" spans="1:11" s="19" customFormat="1" ht="15.75" x14ac:dyDescent="0.25">
      <c r="A79" s="862"/>
      <c r="B79" s="862" t="s">
        <v>49</v>
      </c>
      <c r="C79" s="862">
        <v>5.32</v>
      </c>
      <c r="D79" s="880"/>
      <c r="E79" s="862"/>
      <c r="F79" s="862"/>
    </row>
    <row r="80" spans="1:11" s="10" customFormat="1" x14ac:dyDescent="0.25">
      <c r="A80" s="861"/>
      <c r="B80" s="861" t="s">
        <v>53</v>
      </c>
      <c r="C80" s="861">
        <v>1</v>
      </c>
      <c r="D80" s="861" t="s">
        <v>54</v>
      </c>
      <c r="E80" s="861"/>
      <c r="F80" s="861"/>
    </row>
    <row r="81" spans="1:11" ht="140.25" x14ac:dyDescent="0.25">
      <c r="A81" s="854"/>
      <c r="B81" s="394" t="s">
        <v>340</v>
      </c>
      <c r="C81" s="394" t="s">
        <v>882</v>
      </c>
      <c r="D81" s="394" t="s">
        <v>875</v>
      </c>
      <c r="E81" s="854"/>
      <c r="F81" s="888">
        <f>21*D83*1*D82*C85*1000</f>
        <v>692664.00000000012</v>
      </c>
    </row>
    <row r="82" spans="1:11" s="3" customFormat="1" x14ac:dyDescent="0.25">
      <c r="A82" s="866"/>
      <c r="B82" s="865" t="s">
        <v>338</v>
      </c>
      <c r="C82" s="865" t="s">
        <v>337</v>
      </c>
      <c r="D82" s="866">
        <v>1</v>
      </c>
      <c r="E82" s="866"/>
      <c r="F82" s="866"/>
    </row>
    <row r="83" spans="1:11" s="3" customFormat="1" ht="89.25" x14ac:dyDescent="0.25">
      <c r="A83" s="866"/>
      <c r="B83" s="394" t="s">
        <v>46</v>
      </c>
      <c r="C83" s="865" t="s">
        <v>883</v>
      </c>
      <c r="D83" s="866">
        <f>1+(27-1)*0.2</f>
        <v>6.2</v>
      </c>
      <c r="E83" s="866"/>
      <c r="F83" s="866"/>
      <c r="I83"/>
      <c r="J83"/>
      <c r="K83"/>
    </row>
    <row r="84" spans="1:11" x14ac:dyDescent="0.25">
      <c r="A84" s="854"/>
      <c r="B84" s="862" t="s">
        <v>48</v>
      </c>
      <c r="C84" s="862"/>
      <c r="D84" s="854"/>
      <c r="E84" s="854"/>
      <c r="F84" s="854"/>
    </row>
    <row r="85" spans="1:11" x14ac:dyDescent="0.25">
      <c r="A85" s="854"/>
      <c r="B85" s="862" t="s">
        <v>49</v>
      </c>
      <c r="C85" s="862">
        <v>5.32</v>
      </c>
      <c r="D85" s="854"/>
      <c r="E85" s="854"/>
      <c r="F85" s="854"/>
    </row>
    <row r="86" spans="1:11" x14ac:dyDescent="0.25">
      <c r="A86" s="854"/>
      <c r="B86" s="861" t="s">
        <v>92</v>
      </c>
      <c r="C86" s="862">
        <v>1</v>
      </c>
      <c r="D86" s="862" t="s">
        <v>214</v>
      </c>
      <c r="E86" s="854"/>
      <c r="F86" s="854"/>
    </row>
    <row r="87" spans="1:11" s="2" customFormat="1" ht="76.5" x14ac:dyDescent="0.25">
      <c r="A87" s="854"/>
      <c r="B87" s="854" t="s">
        <v>869</v>
      </c>
      <c r="C87" s="394" t="s">
        <v>334</v>
      </c>
      <c r="D87" s="394" t="s">
        <v>335</v>
      </c>
      <c r="E87" s="854"/>
      <c r="F87" s="855">
        <f>53.22*C86*D88*D89*D90*C110*1000</f>
        <v>34172.706758400011</v>
      </c>
      <c r="G87" s="37"/>
      <c r="H87" s="37"/>
      <c r="I87"/>
      <c r="J87"/>
      <c r="K87"/>
    </row>
    <row r="88" spans="1:11" s="3" customFormat="1" x14ac:dyDescent="0.25">
      <c r="A88" s="866"/>
      <c r="B88" s="865" t="s">
        <v>4</v>
      </c>
      <c r="C88" s="865" t="s">
        <v>5</v>
      </c>
      <c r="D88" s="866">
        <v>0.4</v>
      </c>
      <c r="E88" s="866"/>
      <c r="F88" s="866"/>
      <c r="I88"/>
      <c r="J88"/>
      <c r="K88"/>
    </row>
    <row r="89" spans="1:11" ht="114.75" x14ac:dyDescent="0.25">
      <c r="A89" s="854"/>
      <c r="B89" s="394" t="s">
        <v>310</v>
      </c>
      <c r="C89" s="394" t="s">
        <v>336</v>
      </c>
      <c r="D89" s="854">
        <v>0.25</v>
      </c>
      <c r="E89" s="854"/>
      <c r="F89" s="854"/>
    </row>
    <row r="90" spans="1:11" ht="89.25" x14ac:dyDescent="0.25">
      <c r="A90" s="854"/>
      <c r="B90" s="394" t="s">
        <v>15</v>
      </c>
      <c r="C90" s="394" t="s">
        <v>215</v>
      </c>
      <c r="D90" s="854">
        <f>E91/1</f>
        <v>1.2069600000000005</v>
      </c>
      <c r="E90" s="854"/>
      <c r="F90" s="854"/>
    </row>
    <row r="91" spans="1:11" x14ac:dyDescent="0.25">
      <c r="A91" s="854"/>
      <c r="B91" s="390" t="s">
        <v>6</v>
      </c>
      <c r="C91" s="869">
        <f>SUM(C92:C108)</f>
        <v>1.0000000000000002</v>
      </c>
      <c r="D91" s="870"/>
      <c r="E91" s="871">
        <f>SUM(E92:E108)</f>
        <v>1.2069600000000005</v>
      </c>
      <c r="F91" s="872"/>
      <c r="G91" s="9"/>
      <c r="H91" s="9"/>
    </row>
    <row r="92" spans="1:11" hidden="1" outlineLevel="1" x14ac:dyDescent="0.25">
      <c r="A92" s="854"/>
      <c r="B92" s="394" t="s">
        <v>20</v>
      </c>
      <c r="C92" s="873">
        <v>0.02</v>
      </c>
      <c r="D92" s="879">
        <v>1</v>
      </c>
      <c r="E92" s="875">
        <f>C92*D92</f>
        <v>0.02</v>
      </c>
      <c r="F92" s="870"/>
      <c r="G92" s="6"/>
      <c r="H92" s="6"/>
    </row>
    <row r="93" spans="1:11" ht="25.5" hidden="1" outlineLevel="1" x14ac:dyDescent="0.25">
      <c r="A93" s="854"/>
      <c r="B93" s="394" t="s">
        <v>21</v>
      </c>
      <c r="C93" s="873">
        <v>0.04</v>
      </c>
      <c r="D93" s="854">
        <v>1</v>
      </c>
      <c r="E93" s="875">
        <f>C93*D93</f>
        <v>0.04</v>
      </c>
      <c r="F93" s="854"/>
    </row>
    <row r="94" spans="1:11" hidden="1" outlineLevel="1" x14ac:dyDescent="0.25">
      <c r="A94" s="854"/>
      <c r="B94" s="394" t="s">
        <v>22</v>
      </c>
      <c r="C94" s="873">
        <v>0.14000000000000001</v>
      </c>
      <c r="D94" s="879" t="s">
        <v>16</v>
      </c>
      <c r="E94" s="875">
        <f t="shared" ref="E94:E103" si="1">C94*(1+0.3)</f>
        <v>0.18200000000000002</v>
      </c>
      <c r="F94" s="854"/>
    </row>
    <row r="95" spans="1:11" hidden="1" outlineLevel="1" x14ac:dyDescent="0.25">
      <c r="A95" s="854"/>
      <c r="B95" s="394" t="s">
        <v>23</v>
      </c>
      <c r="C95" s="873">
        <v>0.15</v>
      </c>
      <c r="D95" s="879" t="s">
        <v>16</v>
      </c>
      <c r="E95" s="875">
        <f t="shared" si="1"/>
        <v>0.19500000000000001</v>
      </c>
      <c r="F95" s="854"/>
    </row>
    <row r="96" spans="1:11" ht="25.5" hidden="1" outlineLevel="1" x14ac:dyDescent="0.25">
      <c r="A96" s="854"/>
      <c r="B96" s="394" t="s">
        <v>36</v>
      </c>
      <c r="C96" s="873"/>
      <c r="D96" s="879"/>
      <c r="E96" s="875">
        <f t="shared" si="1"/>
        <v>0</v>
      </c>
      <c r="F96" s="870"/>
      <c r="G96" s="6"/>
      <c r="H96" s="6"/>
    </row>
    <row r="97" spans="1:11" hidden="1" outlineLevel="1" x14ac:dyDescent="0.25">
      <c r="A97" s="854"/>
      <c r="B97" s="877" t="s">
        <v>37</v>
      </c>
      <c r="C97" s="873">
        <v>7.0000000000000007E-2</v>
      </c>
      <c r="D97" s="879" t="s">
        <v>16</v>
      </c>
      <c r="E97" s="875">
        <f t="shared" si="1"/>
        <v>9.1000000000000011E-2</v>
      </c>
      <c r="F97" s="870"/>
      <c r="G97" s="6"/>
      <c r="H97" s="6"/>
    </row>
    <row r="98" spans="1:11" hidden="1" outlineLevel="1" x14ac:dyDescent="0.25">
      <c r="A98" s="854"/>
      <c r="B98" s="877" t="s">
        <v>38</v>
      </c>
      <c r="C98" s="873">
        <v>0.04</v>
      </c>
      <c r="D98" s="879" t="s">
        <v>16</v>
      </c>
      <c r="E98" s="875">
        <f t="shared" si="1"/>
        <v>5.2000000000000005E-2</v>
      </c>
      <c r="F98" s="870"/>
      <c r="G98" s="6"/>
      <c r="H98" s="6"/>
    </row>
    <row r="99" spans="1:11" hidden="1" outlineLevel="1" x14ac:dyDescent="0.25">
      <c r="A99" s="854"/>
      <c r="B99" s="877" t="s">
        <v>39</v>
      </c>
      <c r="C99" s="873">
        <v>0.04</v>
      </c>
      <c r="D99" s="879" t="s">
        <v>16</v>
      </c>
      <c r="E99" s="875">
        <f t="shared" si="1"/>
        <v>5.2000000000000005E-2</v>
      </c>
      <c r="F99" s="882"/>
      <c r="G99" s="7"/>
      <c r="H99" s="7"/>
      <c r="I99" s="8"/>
    </row>
    <row r="100" spans="1:11" hidden="1" outlineLevel="1" x14ac:dyDescent="0.25">
      <c r="A100" s="854"/>
      <c r="B100" s="877" t="s">
        <v>40</v>
      </c>
      <c r="C100" s="873">
        <v>0.12</v>
      </c>
      <c r="D100" s="879" t="s">
        <v>16</v>
      </c>
      <c r="E100" s="875">
        <f t="shared" si="1"/>
        <v>0.156</v>
      </c>
      <c r="F100" s="870"/>
      <c r="G100" s="6"/>
      <c r="H100" s="6"/>
    </row>
    <row r="101" spans="1:11" hidden="1" outlineLevel="1" x14ac:dyDescent="0.25">
      <c r="A101" s="854"/>
      <c r="B101" s="877" t="s">
        <v>41</v>
      </c>
      <c r="C101" s="873">
        <v>0.03</v>
      </c>
      <c r="D101" s="879" t="s">
        <v>16</v>
      </c>
      <c r="E101" s="875">
        <f t="shared" si="1"/>
        <v>3.9E-2</v>
      </c>
      <c r="F101" s="854"/>
    </row>
    <row r="102" spans="1:11" hidden="1" outlineLevel="1" x14ac:dyDescent="0.25">
      <c r="A102" s="854"/>
      <c r="B102" s="877" t="s">
        <v>42</v>
      </c>
      <c r="C102" s="873">
        <v>0.02</v>
      </c>
      <c r="D102" s="879" t="s">
        <v>16</v>
      </c>
      <c r="E102" s="875">
        <f t="shared" si="1"/>
        <v>2.6000000000000002E-2</v>
      </c>
      <c r="F102" s="854"/>
    </row>
    <row r="103" spans="1:11" hidden="1" outlineLevel="1" x14ac:dyDescent="0.25">
      <c r="A103" s="854"/>
      <c r="B103" s="877" t="s">
        <v>43</v>
      </c>
      <c r="C103" s="873">
        <v>0.05</v>
      </c>
      <c r="D103" s="879" t="s">
        <v>16</v>
      </c>
      <c r="E103" s="875">
        <f t="shared" si="1"/>
        <v>6.5000000000000002E-2</v>
      </c>
      <c r="F103" s="854"/>
    </row>
    <row r="104" spans="1:11" hidden="1" outlineLevel="1" x14ac:dyDescent="0.25">
      <c r="A104" s="854"/>
      <c r="B104" s="394" t="s">
        <v>30</v>
      </c>
      <c r="C104" s="873">
        <v>0.06</v>
      </c>
      <c r="D104" s="879">
        <v>1</v>
      </c>
      <c r="E104" s="875">
        <f>C104*D104</f>
        <v>0.06</v>
      </c>
      <c r="F104" s="870"/>
      <c r="G104" s="6"/>
      <c r="H104" s="6"/>
    </row>
    <row r="105" spans="1:11" hidden="1" outlineLevel="1" x14ac:dyDescent="0.25">
      <c r="A105" s="854"/>
      <c r="B105" s="394" t="s">
        <v>44</v>
      </c>
      <c r="C105" s="873">
        <v>7.0000000000000007E-2</v>
      </c>
      <c r="D105" s="879">
        <v>1</v>
      </c>
      <c r="E105" s="875">
        <f>C105*D105</f>
        <v>7.0000000000000007E-2</v>
      </c>
      <c r="F105" s="882"/>
      <c r="G105" s="7"/>
      <c r="H105" s="7"/>
      <c r="I105" s="8"/>
    </row>
    <row r="106" spans="1:11" ht="25.5" hidden="1" outlineLevel="1" x14ac:dyDescent="0.25">
      <c r="A106" s="854"/>
      <c r="B106" s="394" t="s">
        <v>32</v>
      </c>
      <c r="C106" s="873">
        <v>0.06</v>
      </c>
      <c r="D106" s="879">
        <v>1</v>
      </c>
      <c r="E106" s="875">
        <f>C106*D106</f>
        <v>0.06</v>
      </c>
      <c r="F106" s="870"/>
      <c r="G106" s="6"/>
      <c r="H106" s="6"/>
    </row>
    <row r="107" spans="1:11" hidden="1" outlineLevel="1" x14ac:dyDescent="0.25">
      <c r="A107" s="854"/>
      <c r="B107" s="394" t="s">
        <v>45</v>
      </c>
      <c r="C107" s="873">
        <v>0.02</v>
      </c>
      <c r="D107" s="879">
        <v>1</v>
      </c>
      <c r="E107" s="875">
        <f>C107*D107</f>
        <v>0.02</v>
      </c>
      <c r="F107" s="854"/>
    </row>
    <row r="108" spans="1:11" hidden="1" outlineLevel="1" x14ac:dyDescent="0.25">
      <c r="A108" s="854"/>
      <c r="B108" s="854" t="s">
        <v>13</v>
      </c>
      <c r="C108" s="873">
        <v>7.0000000000000007E-2</v>
      </c>
      <c r="D108" s="854"/>
      <c r="E108" s="881">
        <f>SUM(E92:E107)*C108</f>
        <v>7.896000000000003E-2</v>
      </c>
      <c r="F108" s="882"/>
      <c r="G108" s="7"/>
      <c r="H108" s="7"/>
      <c r="I108" s="8"/>
    </row>
    <row r="109" spans="1:11" s="19" customFormat="1" ht="15.75" collapsed="1" x14ac:dyDescent="0.25">
      <c r="A109" s="862"/>
      <c r="B109" s="862" t="s">
        <v>48</v>
      </c>
      <c r="C109" s="862"/>
      <c r="D109" s="862"/>
      <c r="E109" s="862"/>
      <c r="F109" s="862"/>
    </row>
    <row r="110" spans="1:11" s="19" customFormat="1" ht="15.75" x14ac:dyDescent="0.25">
      <c r="A110" s="862"/>
      <c r="B110" s="862" t="s">
        <v>49</v>
      </c>
      <c r="C110" s="862">
        <v>5.32</v>
      </c>
      <c r="D110" s="880"/>
      <c r="E110" s="862"/>
      <c r="F110" s="862"/>
    </row>
    <row r="111" spans="1:11" hidden="1" outlineLevel="1" x14ac:dyDescent="0.25">
      <c r="A111" s="854"/>
      <c r="B111" s="861" t="s">
        <v>222</v>
      </c>
      <c r="C111" s="930"/>
      <c r="D111" s="862" t="s">
        <v>245</v>
      </c>
      <c r="E111" s="854"/>
      <c r="F111" s="854"/>
    </row>
    <row r="112" spans="1:11" s="2" customFormat="1" ht="102" hidden="1" outlineLevel="1" x14ac:dyDescent="0.25">
      <c r="A112" s="854"/>
      <c r="B112" s="394" t="s">
        <v>1094</v>
      </c>
      <c r="C112" s="394" t="s">
        <v>252</v>
      </c>
      <c r="D112" s="854"/>
      <c r="E112" s="854"/>
      <c r="F112" s="855">
        <f>(0+0.211*C111)*D115*D113*D114*D116*C128*1000</f>
        <v>0</v>
      </c>
      <c r="G112" s="37"/>
      <c r="H112" s="37"/>
      <c r="I112"/>
      <c r="J112"/>
      <c r="K112"/>
    </row>
    <row r="113" spans="1:11" s="3" customFormat="1" hidden="1" outlineLevel="1" x14ac:dyDescent="0.25">
      <c r="A113" s="866"/>
      <c r="B113" s="865" t="s">
        <v>4</v>
      </c>
      <c r="C113" s="865" t="s">
        <v>5</v>
      </c>
      <c r="D113" s="866">
        <v>0.4</v>
      </c>
      <c r="E113" s="866"/>
      <c r="F113" s="866"/>
      <c r="I113"/>
      <c r="J113"/>
      <c r="K113"/>
    </row>
    <row r="114" spans="1:11" ht="51" hidden="1" outlineLevel="1" x14ac:dyDescent="0.25">
      <c r="A114" s="854"/>
      <c r="B114" s="394" t="s">
        <v>249</v>
      </c>
      <c r="C114" s="394" t="s">
        <v>250</v>
      </c>
      <c r="D114" s="854">
        <v>1.2</v>
      </c>
      <c r="E114" s="854"/>
      <c r="F114" s="854"/>
    </row>
    <row r="115" spans="1:11" ht="38.25" hidden="1" outlineLevel="1" x14ac:dyDescent="0.25">
      <c r="A115" s="854"/>
      <c r="B115" s="394" t="s">
        <v>247</v>
      </c>
      <c r="C115" s="394" t="s">
        <v>248</v>
      </c>
      <c r="D115" s="854">
        <v>1.1499999999999999</v>
      </c>
      <c r="E115" s="854"/>
      <c r="F115" s="854"/>
    </row>
    <row r="116" spans="1:11" ht="89.25" hidden="1" outlineLevel="1" x14ac:dyDescent="0.25">
      <c r="A116" s="854"/>
      <c r="B116" s="394" t="s">
        <v>15</v>
      </c>
      <c r="C116" s="394" t="s">
        <v>251</v>
      </c>
      <c r="D116" s="870">
        <f>E117/1</f>
        <v>1.2777480000000001</v>
      </c>
      <c r="E116" s="854"/>
      <c r="F116" s="854"/>
    </row>
    <row r="117" spans="1:11" hidden="1" outlineLevel="1" x14ac:dyDescent="0.25">
      <c r="A117" s="854"/>
      <c r="B117" s="390" t="s">
        <v>6</v>
      </c>
      <c r="C117" s="869">
        <f>SUM(C118:C126)</f>
        <v>1</v>
      </c>
      <c r="D117" s="870"/>
      <c r="E117" s="931">
        <f>SUM(E118:E126)</f>
        <v>1.2777480000000001</v>
      </c>
      <c r="F117" s="854"/>
    </row>
    <row r="118" spans="1:11" ht="25.5" hidden="1" outlineLevel="1" x14ac:dyDescent="0.25">
      <c r="A118" s="854"/>
      <c r="B118" s="394" t="s">
        <v>238</v>
      </c>
      <c r="C118" s="932">
        <v>0.13800000000000001</v>
      </c>
      <c r="D118" s="879" t="s">
        <v>16</v>
      </c>
      <c r="E118" s="878">
        <f t="shared" ref="E118:E123" si="2">C118*(1+0.3)</f>
        <v>0.17940000000000003</v>
      </c>
      <c r="F118" s="933"/>
      <c r="G118" s="5"/>
      <c r="H118" s="5"/>
    </row>
    <row r="119" spans="1:11" ht="25.5" hidden="1" outlineLevel="1" x14ac:dyDescent="0.25">
      <c r="A119" s="854"/>
      <c r="B119" s="394" t="s">
        <v>239</v>
      </c>
      <c r="C119" s="932">
        <v>5.3999999999999999E-2</v>
      </c>
      <c r="D119" s="879" t="s">
        <v>16</v>
      </c>
      <c r="E119" s="878">
        <f t="shared" si="2"/>
        <v>7.0199999999999999E-2</v>
      </c>
      <c r="F119" s="933"/>
      <c r="G119" s="5"/>
      <c r="H119" s="5"/>
    </row>
    <row r="120" spans="1:11" ht="25.5" hidden="1" outlineLevel="1" x14ac:dyDescent="0.25">
      <c r="A120" s="854"/>
      <c r="B120" s="394" t="s">
        <v>240</v>
      </c>
      <c r="C120" s="932">
        <v>2.5999999999999999E-2</v>
      </c>
      <c r="D120" s="879" t="s">
        <v>16</v>
      </c>
      <c r="E120" s="878">
        <f t="shared" si="2"/>
        <v>3.3799999999999997E-2</v>
      </c>
      <c r="F120" s="933"/>
      <c r="G120" s="5"/>
      <c r="H120" s="5"/>
    </row>
    <row r="121" spans="1:11" ht="25.5" hidden="1" outlineLevel="1" x14ac:dyDescent="0.25">
      <c r="A121" s="854"/>
      <c r="B121" s="394" t="s">
        <v>241</v>
      </c>
      <c r="C121" s="878">
        <v>3.3000000000000002E-2</v>
      </c>
      <c r="D121" s="879" t="s">
        <v>16</v>
      </c>
      <c r="E121" s="878">
        <f t="shared" si="2"/>
        <v>4.2900000000000001E-2</v>
      </c>
      <c r="F121" s="933"/>
      <c r="G121" s="5"/>
      <c r="H121" s="5"/>
    </row>
    <row r="122" spans="1:11" ht="25.5" hidden="1" outlineLevel="1" x14ac:dyDescent="0.25">
      <c r="A122" s="854"/>
      <c r="B122" s="394" t="s">
        <v>242</v>
      </c>
      <c r="C122" s="932">
        <v>8.9999999999999993E-3</v>
      </c>
      <c r="D122" s="879" t="s">
        <v>16</v>
      </c>
      <c r="E122" s="878">
        <f t="shared" si="2"/>
        <v>1.17E-2</v>
      </c>
      <c r="F122" s="933"/>
      <c r="G122" s="5"/>
      <c r="H122" s="5"/>
    </row>
    <row r="123" spans="1:11" ht="25.5" hidden="1" outlineLevel="1" x14ac:dyDescent="0.25">
      <c r="A123" s="854"/>
      <c r="B123" s="394" t="s">
        <v>243</v>
      </c>
      <c r="C123" s="932">
        <v>0.61699999999999999</v>
      </c>
      <c r="D123" s="879" t="s">
        <v>16</v>
      </c>
      <c r="E123" s="878">
        <f t="shared" si="2"/>
        <v>0.80210000000000004</v>
      </c>
      <c r="F123" s="933"/>
      <c r="G123" s="5"/>
      <c r="H123" s="5"/>
    </row>
    <row r="124" spans="1:11" ht="25.5" hidden="1" outlineLevel="1" x14ac:dyDescent="0.25">
      <c r="A124" s="854"/>
      <c r="B124" s="394" t="s">
        <v>32</v>
      </c>
      <c r="C124" s="932">
        <v>1.7999999999999999E-2</v>
      </c>
      <c r="D124" s="874">
        <v>1</v>
      </c>
      <c r="E124" s="878">
        <f>C124*1</f>
        <v>1.7999999999999999E-2</v>
      </c>
      <c r="F124" s="933"/>
      <c r="G124" s="5"/>
      <c r="H124" s="5"/>
    </row>
    <row r="125" spans="1:11" hidden="1" outlineLevel="1" x14ac:dyDescent="0.25">
      <c r="A125" s="854"/>
      <c r="B125" s="394" t="s">
        <v>244</v>
      </c>
      <c r="C125" s="932">
        <v>2.5000000000000001E-2</v>
      </c>
      <c r="D125" s="874">
        <v>1</v>
      </c>
      <c r="E125" s="878">
        <f>C125*1</f>
        <v>2.5000000000000001E-2</v>
      </c>
      <c r="F125" s="933"/>
      <c r="G125" s="5"/>
      <c r="H125" s="5"/>
    </row>
    <row r="126" spans="1:11" hidden="1" outlineLevel="1" x14ac:dyDescent="0.25">
      <c r="A126" s="854"/>
      <c r="B126" s="394" t="s">
        <v>34</v>
      </c>
      <c r="C126" s="878">
        <v>0.08</v>
      </c>
      <c r="D126" s="876">
        <v>1</v>
      </c>
      <c r="E126" s="934">
        <f>SUM(E118:E125)*C126</f>
        <v>9.464800000000001E-2</v>
      </c>
      <c r="F126" s="935"/>
      <c r="G126" s="8"/>
      <c r="H126" s="8"/>
    </row>
    <row r="127" spans="1:11" s="19" customFormat="1" ht="15.75" hidden="1" outlineLevel="1" x14ac:dyDescent="0.25">
      <c r="A127" s="862"/>
      <c r="B127" s="862" t="s">
        <v>48</v>
      </c>
      <c r="C127" s="862"/>
      <c r="D127" s="862"/>
      <c r="E127" s="862"/>
      <c r="F127" s="862"/>
    </row>
    <row r="128" spans="1:11" s="19" customFormat="1" ht="15.75" hidden="1" outlineLevel="1" x14ac:dyDescent="0.25">
      <c r="A128" s="862"/>
      <c r="B128" s="862" t="s">
        <v>49</v>
      </c>
      <c r="C128" s="862">
        <v>5.32</v>
      </c>
      <c r="D128" s="880"/>
      <c r="E128" s="862"/>
      <c r="F128" s="862"/>
    </row>
    <row r="129" spans="1:11" collapsed="1" x14ac:dyDescent="0.25">
      <c r="A129" s="854"/>
      <c r="B129" s="861" t="s">
        <v>217</v>
      </c>
      <c r="C129" s="862">
        <f>15*2</f>
        <v>30</v>
      </c>
      <c r="D129" s="862" t="s">
        <v>301</v>
      </c>
      <c r="E129" s="854"/>
      <c r="F129" s="854"/>
    </row>
    <row r="130" spans="1:11" s="2" customFormat="1" ht="51" x14ac:dyDescent="0.25">
      <c r="A130" s="854"/>
      <c r="B130" s="854" t="s">
        <v>1017</v>
      </c>
      <c r="C130" s="394" t="s">
        <v>1016</v>
      </c>
      <c r="D130" s="394" t="s">
        <v>1019</v>
      </c>
      <c r="E130" s="854"/>
      <c r="F130" s="855">
        <f>(69.61+0.06*C129)*D131*D132*D133*C153*1000</f>
        <v>41340.468682800012</v>
      </c>
      <c r="G130" s="37"/>
      <c r="H130" s="37"/>
      <c r="I130" s="12"/>
      <c r="J130"/>
      <c r="K130"/>
    </row>
    <row r="131" spans="1:11" s="3" customFormat="1" x14ac:dyDescent="0.25">
      <c r="A131" s="866"/>
      <c r="B131" s="865" t="s">
        <v>4</v>
      </c>
      <c r="C131" s="865" t="s">
        <v>5</v>
      </c>
      <c r="D131" s="866">
        <v>0.4</v>
      </c>
      <c r="E131" s="866"/>
      <c r="F131" s="866"/>
      <c r="I131"/>
      <c r="J131"/>
      <c r="K131"/>
    </row>
    <row r="132" spans="1:11" ht="114.75" x14ac:dyDescent="0.25">
      <c r="A132" s="854"/>
      <c r="B132" s="394" t="s">
        <v>310</v>
      </c>
      <c r="C132" s="394" t="s">
        <v>311</v>
      </c>
      <c r="D132" s="854">
        <v>0.25</v>
      </c>
      <c r="E132" s="854"/>
      <c r="F132" s="854"/>
    </row>
    <row r="133" spans="1:11" ht="89.25" x14ac:dyDescent="0.25">
      <c r="A133" s="854"/>
      <c r="B133" s="394" t="s">
        <v>15</v>
      </c>
      <c r="C133" s="394" t="s">
        <v>1018</v>
      </c>
      <c r="D133" s="854">
        <f>E134/1</f>
        <v>1.0881900000000004</v>
      </c>
      <c r="E133" s="854"/>
      <c r="F133" s="854"/>
    </row>
    <row r="134" spans="1:11" x14ac:dyDescent="0.25">
      <c r="A134" s="854"/>
      <c r="B134" s="390" t="s">
        <v>6</v>
      </c>
      <c r="C134" s="869">
        <f>SUM(C135:C151)</f>
        <v>1.0000000000000002</v>
      </c>
      <c r="D134" s="870"/>
      <c r="E134" s="871">
        <f>SUM(E135:E151)</f>
        <v>1.0881900000000004</v>
      </c>
      <c r="F134" s="872"/>
      <c r="G134" s="9"/>
      <c r="H134" s="9"/>
    </row>
    <row r="135" spans="1:11" hidden="1" outlineLevel="1" x14ac:dyDescent="0.25">
      <c r="A135" s="854"/>
      <c r="B135" s="394" t="s">
        <v>20</v>
      </c>
      <c r="C135" s="873">
        <v>0.02</v>
      </c>
      <c r="D135" s="879">
        <v>1</v>
      </c>
      <c r="E135" s="875">
        <f>C135*D135</f>
        <v>0.02</v>
      </c>
      <c r="F135" s="870"/>
      <c r="G135" s="6"/>
      <c r="H135" s="6"/>
    </row>
    <row r="136" spans="1:11" ht="25.5" hidden="1" outlineLevel="1" x14ac:dyDescent="0.25">
      <c r="A136" s="854"/>
      <c r="B136" s="394" t="s">
        <v>21</v>
      </c>
      <c r="C136" s="873">
        <v>0.04</v>
      </c>
      <c r="D136" s="854">
        <v>1</v>
      </c>
      <c r="E136" s="875">
        <f>C136*D136</f>
        <v>0.04</v>
      </c>
      <c r="F136" s="854"/>
    </row>
    <row r="137" spans="1:11" hidden="1" outlineLevel="1" x14ac:dyDescent="0.25">
      <c r="A137" s="854"/>
      <c r="B137" s="394" t="s">
        <v>22</v>
      </c>
      <c r="C137" s="873">
        <v>0.14000000000000001</v>
      </c>
      <c r="D137" s="879" t="s">
        <v>16</v>
      </c>
      <c r="E137" s="875">
        <f>C137*(1+0.3)</f>
        <v>0.18200000000000002</v>
      </c>
      <c r="F137" s="854"/>
    </row>
    <row r="138" spans="1:11" hidden="1" outlineLevel="1" x14ac:dyDescent="0.25">
      <c r="A138" s="854"/>
      <c r="B138" s="394" t="s">
        <v>23</v>
      </c>
      <c r="C138" s="873">
        <v>0.15</v>
      </c>
      <c r="D138" s="879" t="s">
        <v>16</v>
      </c>
      <c r="E138" s="875">
        <f>C138*(1+0.3)</f>
        <v>0.19500000000000001</v>
      </c>
      <c r="F138" s="854"/>
    </row>
    <row r="139" spans="1:11" ht="25.5" hidden="1" outlineLevel="1" x14ac:dyDescent="0.25">
      <c r="A139" s="854"/>
      <c r="B139" s="394" t="s">
        <v>36</v>
      </c>
      <c r="C139" s="873"/>
      <c r="D139" s="879"/>
      <c r="E139" s="875">
        <f>C139*(1+0.3)</f>
        <v>0</v>
      </c>
      <c r="F139" s="870"/>
      <c r="G139" s="6"/>
      <c r="H139" s="6"/>
    </row>
    <row r="140" spans="1:11" hidden="1" outlineLevel="1" x14ac:dyDescent="0.25">
      <c r="A140" s="854"/>
      <c r="B140" s="877" t="s">
        <v>37</v>
      </c>
      <c r="C140" s="873">
        <v>7.0000000000000007E-2</v>
      </c>
      <c r="D140" s="879">
        <v>1</v>
      </c>
      <c r="E140" s="875">
        <f t="shared" ref="E140:E144" si="3">C140*D140</f>
        <v>7.0000000000000007E-2</v>
      </c>
      <c r="F140" s="870"/>
      <c r="G140" s="6"/>
      <c r="H140" s="6"/>
    </row>
    <row r="141" spans="1:11" hidden="1" outlineLevel="1" x14ac:dyDescent="0.25">
      <c r="A141" s="854"/>
      <c r="B141" s="877" t="s">
        <v>38</v>
      </c>
      <c r="C141" s="873">
        <v>0.04</v>
      </c>
      <c r="D141" s="879">
        <v>1</v>
      </c>
      <c r="E141" s="875">
        <f t="shared" si="3"/>
        <v>0.04</v>
      </c>
      <c r="F141" s="870"/>
      <c r="G141" s="6"/>
      <c r="H141" s="6"/>
    </row>
    <row r="142" spans="1:11" hidden="1" outlineLevel="1" x14ac:dyDescent="0.25">
      <c r="A142" s="854"/>
      <c r="B142" s="877" t="s">
        <v>39</v>
      </c>
      <c r="C142" s="873">
        <v>0.04</v>
      </c>
      <c r="D142" s="879">
        <v>1</v>
      </c>
      <c r="E142" s="875">
        <f t="shared" si="3"/>
        <v>0.04</v>
      </c>
      <c r="F142" s="882"/>
      <c r="G142" s="7"/>
      <c r="H142" s="7"/>
      <c r="I142" s="8"/>
    </row>
    <row r="143" spans="1:11" hidden="1" outlineLevel="1" x14ac:dyDescent="0.25">
      <c r="A143" s="854"/>
      <c r="B143" s="877" t="s">
        <v>40</v>
      </c>
      <c r="C143" s="873">
        <v>0.12</v>
      </c>
      <c r="D143" s="879">
        <v>1</v>
      </c>
      <c r="E143" s="875">
        <f t="shared" si="3"/>
        <v>0.12</v>
      </c>
      <c r="F143" s="870"/>
      <c r="G143" s="6"/>
      <c r="H143" s="6"/>
    </row>
    <row r="144" spans="1:11" hidden="1" outlineLevel="1" x14ac:dyDescent="0.25">
      <c r="A144" s="854"/>
      <c r="B144" s="877" t="s">
        <v>41</v>
      </c>
      <c r="C144" s="873">
        <v>0.03</v>
      </c>
      <c r="D144" s="879">
        <v>1</v>
      </c>
      <c r="E144" s="875">
        <f t="shared" si="3"/>
        <v>0.03</v>
      </c>
      <c r="F144" s="854"/>
    </row>
    <row r="145" spans="1:11" hidden="1" outlineLevel="1" x14ac:dyDescent="0.25">
      <c r="A145" s="854"/>
      <c r="B145" s="877" t="s">
        <v>42</v>
      </c>
      <c r="C145" s="873">
        <v>0.02</v>
      </c>
      <c r="D145" s="879">
        <v>1</v>
      </c>
      <c r="E145" s="875">
        <f>C145*D145</f>
        <v>0.02</v>
      </c>
      <c r="F145" s="854"/>
    </row>
    <row r="146" spans="1:11" hidden="1" outlineLevel="1" x14ac:dyDescent="0.25">
      <c r="A146" s="854"/>
      <c r="B146" s="877" t="s">
        <v>43</v>
      </c>
      <c r="C146" s="873">
        <v>0.05</v>
      </c>
      <c r="D146" s="879">
        <v>1</v>
      </c>
      <c r="E146" s="875">
        <f t="shared" ref="E146" si="4">C146*D146</f>
        <v>0.05</v>
      </c>
      <c r="F146" s="854"/>
    </row>
    <row r="147" spans="1:11" hidden="1" outlineLevel="1" x14ac:dyDescent="0.25">
      <c r="A147" s="854"/>
      <c r="B147" s="394" t="s">
        <v>30</v>
      </c>
      <c r="C147" s="873">
        <v>0.06</v>
      </c>
      <c r="D147" s="879">
        <v>1</v>
      </c>
      <c r="E147" s="875">
        <f>C147*D147</f>
        <v>0.06</v>
      </c>
      <c r="F147" s="870"/>
      <c r="G147" s="6"/>
      <c r="H147" s="6"/>
    </row>
    <row r="148" spans="1:11" hidden="1" outlineLevel="1" x14ac:dyDescent="0.25">
      <c r="A148" s="854"/>
      <c r="B148" s="394" t="s">
        <v>44</v>
      </c>
      <c r="C148" s="873">
        <v>7.0000000000000007E-2</v>
      </c>
      <c r="D148" s="879">
        <v>1</v>
      </c>
      <c r="E148" s="875">
        <f>C148*D148</f>
        <v>7.0000000000000007E-2</v>
      </c>
      <c r="F148" s="882"/>
      <c r="G148" s="7"/>
      <c r="H148" s="7"/>
      <c r="I148" s="8"/>
    </row>
    <row r="149" spans="1:11" ht="25.5" hidden="1" outlineLevel="1" x14ac:dyDescent="0.25">
      <c r="A149" s="854"/>
      <c r="B149" s="394" t="s">
        <v>32</v>
      </c>
      <c r="C149" s="873">
        <v>0.06</v>
      </c>
      <c r="D149" s="879">
        <v>1</v>
      </c>
      <c r="E149" s="875">
        <f>C149*D149</f>
        <v>0.06</v>
      </c>
      <c r="F149" s="870"/>
      <c r="G149" s="6"/>
      <c r="H149" s="6"/>
    </row>
    <row r="150" spans="1:11" hidden="1" outlineLevel="1" x14ac:dyDescent="0.25">
      <c r="A150" s="854"/>
      <c r="B150" s="394" t="s">
        <v>45</v>
      </c>
      <c r="C150" s="873">
        <v>0.02</v>
      </c>
      <c r="D150" s="879">
        <v>1</v>
      </c>
      <c r="E150" s="875">
        <f>C150*D150</f>
        <v>0.02</v>
      </c>
      <c r="F150" s="854"/>
    </row>
    <row r="151" spans="1:11" hidden="1" outlineLevel="1" x14ac:dyDescent="0.25">
      <c r="A151" s="854"/>
      <c r="B151" s="854" t="s">
        <v>13</v>
      </c>
      <c r="C151" s="873">
        <v>7.0000000000000007E-2</v>
      </c>
      <c r="D151" s="854"/>
      <c r="E151" s="881">
        <f>SUM(E135:E150)*C151</f>
        <v>7.1190000000000031E-2</v>
      </c>
      <c r="F151" s="882"/>
      <c r="G151" s="7"/>
      <c r="H151" s="7"/>
      <c r="I151" s="8"/>
    </row>
    <row r="152" spans="1:11" s="19" customFormat="1" ht="15.75" collapsed="1" x14ac:dyDescent="0.25">
      <c r="A152" s="862"/>
      <c r="B152" s="862" t="s">
        <v>48</v>
      </c>
      <c r="C152" s="862"/>
      <c r="D152" s="862"/>
      <c r="E152" s="862"/>
      <c r="F152" s="862"/>
    </row>
    <row r="153" spans="1:11" s="19" customFormat="1" ht="15.75" x14ac:dyDescent="0.25">
      <c r="A153" s="862"/>
      <c r="B153" s="862" t="s">
        <v>49</v>
      </c>
      <c r="C153" s="862">
        <v>5.32</v>
      </c>
      <c r="D153" s="880"/>
      <c r="E153" s="862"/>
      <c r="F153" s="862"/>
    </row>
    <row r="154" spans="1:11" collapsed="1" x14ac:dyDescent="0.25">
      <c r="A154" s="854"/>
      <c r="B154" s="861" t="s">
        <v>73</v>
      </c>
      <c r="C154" s="862">
        <f>D9</f>
        <v>250</v>
      </c>
      <c r="D154" s="862" t="s">
        <v>746</v>
      </c>
      <c r="E154" s="854"/>
      <c r="F154" s="854"/>
    </row>
    <row r="155" spans="1:11" s="2" customFormat="1" ht="102" x14ac:dyDescent="0.25">
      <c r="A155" s="854"/>
      <c r="B155" s="854" t="s">
        <v>1091</v>
      </c>
      <c r="C155" s="863" t="s">
        <v>1093</v>
      </c>
      <c r="D155" s="394" t="s">
        <v>1092</v>
      </c>
      <c r="E155" s="854"/>
      <c r="F155" s="855">
        <f>(7.72+0.136*250)*1*D156*D157*D158*D159*C178*1000</f>
        <v>214819.20300750001</v>
      </c>
      <c r="I155"/>
      <c r="J155"/>
      <c r="K155"/>
    </row>
    <row r="156" spans="1:11" s="3" customFormat="1" x14ac:dyDescent="0.25">
      <c r="A156" s="866"/>
      <c r="B156" s="865" t="s">
        <v>4</v>
      </c>
      <c r="C156" s="865" t="s">
        <v>852</v>
      </c>
      <c r="D156" s="866">
        <v>0.5</v>
      </c>
      <c r="E156" s="866"/>
      <c r="F156" s="866"/>
      <c r="I156"/>
      <c r="J156"/>
      <c r="K156"/>
    </row>
    <row r="157" spans="1:11" ht="63.75" x14ac:dyDescent="0.25">
      <c r="A157" s="854"/>
      <c r="B157" s="394" t="s">
        <v>276</v>
      </c>
      <c r="C157" s="394" t="s">
        <v>329</v>
      </c>
      <c r="D157" s="867">
        <v>1.3</v>
      </c>
      <c r="E157" s="854"/>
      <c r="F157" s="854"/>
    </row>
    <row r="158" spans="1:11" ht="63.75" x14ac:dyDescent="0.25">
      <c r="A158" s="854"/>
      <c r="B158" s="394" t="s">
        <v>278</v>
      </c>
      <c r="C158" s="394" t="s">
        <v>328</v>
      </c>
      <c r="D158" s="868">
        <v>1.25</v>
      </c>
      <c r="E158" s="854"/>
      <c r="F158" s="854"/>
    </row>
    <row r="159" spans="1:11" ht="89.25" x14ac:dyDescent="0.25">
      <c r="A159" s="854"/>
      <c r="B159" s="394" t="s">
        <v>15</v>
      </c>
      <c r="C159" s="394" t="s">
        <v>275</v>
      </c>
      <c r="D159" s="854">
        <f>E160/1</f>
        <v>1.191225</v>
      </c>
      <c r="E159" s="854"/>
      <c r="F159" s="854"/>
    </row>
    <row r="160" spans="1:11" x14ac:dyDescent="0.25">
      <c r="A160" s="854"/>
      <c r="B160" s="390" t="s">
        <v>6</v>
      </c>
      <c r="C160" s="869">
        <f>SUM(C161:C176)</f>
        <v>1</v>
      </c>
      <c r="D160" s="870"/>
      <c r="E160" s="871">
        <f>SUM(E161:E176)</f>
        <v>1.191225</v>
      </c>
      <c r="F160" s="872"/>
      <c r="G160" s="9"/>
      <c r="H160" s="9"/>
    </row>
    <row r="161" spans="1:6" hidden="1" outlineLevel="1" x14ac:dyDescent="0.25">
      <c r="A161" s="854"/>
      <c r="B161" s="394" t="s">
        <v>20</v>
      </c>
      <c r="C161" s="873">
        <v>0.02</v>
      </c>
      <c r="D161" s="874">
        <v>1</v>
      </c>
      <c r="E161" s="875">
        <f>C161*D161</f>
        <v>0.02</v>
      </c>
      <c r="F161" s="854"/>
    </row>
    <row r="162" spans="1:6" hidden="1" outlineLevel="1" x14ac:dyDescent="0.25">
      <c r="A162" s="854"/>
      <c r="B162" s="394" t="s">
        <v>265</v>
      </c>
      <c r="C162" s="873">
        <v>0.02</v>
      </c>
      <c r="D162" s="874" t="s">
        <v>16</v>
      </c>
      <c r="E162" s="875">
        <f>C162*(1+0.3)</f>
        <v>2.6000000000000002E-2</v>
      </c>
      <c r="F162" s="854"/>
    </row>
    <row r="163" spans="1:6" ht="38.25" hidden="1" outlineLevel="1" x14ac:dyDescent="0.25">
      <c r="A163" s="854"/>
      <c r="B163" s="394" t="s">
        <v>266</v>
      </c>
      <c r="C163" s="873"/>
      <c r="D163" s="876">
        <v>1</v>
      </c>
      <c r="E163" s="873">
        <f>C163*D163</f>
        <v>0</v>
      </c>
      <c r="F163" s="854"/>
    </row>
    <row r="164" spans="1:6" hidden="1" outlineLevel="1" x14ac:dyDescent="0.25">
      <c r="A164" s="854"/>
      <c r="B164" s="877" t="s">
        <v>43</v>
      </c>
      <c r="C164" s="878">
        <v>0.245</v>
      </c>
      <c r="D164" s="874" t="s">
        <v>16</v>
      </c>
      <c r="E164" s="875">
        <f>C164*(1+0.3)</f>
        <v>0.31850000000000001</v>
      </c>
      <c r="F164" s="854"/>
    </row>
    <row r="165" spans="1:6" hidden="1" outlineLevel="1" x14ac:dyDescent="0.25">
      <c r="A165" s="854"/>
      <c r="B165" s="877" t="s">
        <v>267</v>
      </c>
      <c r="C165" s="878">
        <v>0.27500000000000002</v>
      </c>
      <c r="D165" s="874" t="s">
        <v>16</v>
      </c>
      <c r="E165" s="875">
        <f>C165*(1+0.3)</f>
        <v>0.35750000000000004</v>
      </c>
      <c r="F165" s="854"/>
    </row>
    <row r="166" spans="1:6" hidden="1" outlineLevel="1" x14ac:dyDescent="0.25">
      <c r="A166" s="854"/>
      <c r="B166" s="877" t="s">
        <v>268</v>
      </c>
      <c r="C166" s="878">
        <v>1.4999999999999999E-2</v>
      </c>
      <c r="D166" s="874" t="s">
        <v>16</v>
      </c>
      <c r="E166" s="875">
        <f>C166*(1+0.3)</f>
        <v>1.95E-2</v>
      </c>
      <c r="F166" s="854"/>
    </row>
    <row r="167" spans="1:6" hidden="1" outlineLevel="1" x14ac:dyDescent="0.25">
      <c r="A167" s="854"/>
      <c r="B167" s="877" t="s">
        <v>269</v>
      </c>
      <c r="C167" s="878">
        <v>2.5000000000000001E-2</v>
      </c>
      <c r="D167" s="879">
        <v>1</v>
      </c>
      <c r="E167" s="878">
        <f>C167*D167</f>
        <v>2.5000000000000001E-2</v>
      </c>
      <c r="F167" s="854"/>
    </row>
    <row r="168" spans="1:6" hidden="1" outlineLevel="1" x14ac:dyDescent="0.25">
      <c r="A168" s="854"/>
      <c r="B168" s="877" t="s">
        <v>37</v>
      </c>
      <c r="C168" s="878">
        <v>0.1</v>
      </c>
      <c r="D168" s="876">
        <v>1</v>
      </c>
      <c r="E168" s="878">
        <f>C168*D168</f>
        <v>0.1</v>
      </c>
      <c r="F168" s="854"/>
    </row>
    <row r="169" spans="1:6" hidden="1" outlineLevel="1" x14ac:dyDescent="0.25">
      <c r="A169" s="854"/>
      <c r="B169" s="877" t="s">
        <v>270</v>
      </c>
      <c r="C169" s="878">
        <v>2.5000000000000001E-2</v>
      </c>
      <c r="D169" s="879">
        <v>1</v>
      </c>
      <c r="E169" s="878">
        <f>C169*D169</f>
        <v>2.5000000000000001E-2</v>
      </c>
      <c r="F169" s="854"/>
    </row>
    <row r="170" spans="1:6" hidden="1" outlineLevel="1" x14ac:dyDescent="0.25">
      <c r="A170" s="854"/>
      <c r="B170" s="877" t="s">
        <v>271</v>
      </c>
      <c r="C170" s="878">
        <v>1.4999999999999999E-2</v>
      </c>
      <c r="D170" s="879">
        <v>1</v>
      </c>
      <c r="E170" s="878">
        <f>C170*D170</f>
        <v>1.4999999999999999E-2</v>
      </c>
      <c r="F170" s="854"/>
    </row>
    <row r="171" spans="1:6" ht="25.5" hidden="1" outlineLevel="1" x14ac:dyDescent="0.25">
      <c r="A171" s="854"/>
      <c r="B171" s="394" t="s">
        <v>272</v>
      </c>
      <c r="C171" s="878">
        <v>0.06</v>
      </c>
      <c r="D171" s="874" t="s">
        <v>16</v>
      </c>
      <c r="E171" s="878">
        <f>C171*(1+0.3)</f>
        <v>7.8E-2</v>
      </c>
      <c r="F171" s="854"/>
    </row>
    <row r="172" spans="1:6" hidden="1" outlineLevel="1" x14ac:dyDescent="0.25">
      <c r="A172" s="854"/>
      <c r="B172" s="394" t="s">
        <v>30</v>
      </c>
      <c r="C172" s="878">
        <v>0.02</v>
      </c>
      <c r="D172" s="879">
        <v>1</v>
      </c>
      <c r="E172" s="878">
        <f>C172*D172</f>
        <v>0.02</v>
      </c>
      <c r="F172" s="854"/>
    </row>
    <row r="173" spans="1:6" hidden="1" outlineLevel="1" x14ac:dyDescent="0.25">
      <c r="A173" s="854"/>
      <c r="B173" s="394" t="s">
        <v>273</v>
      </c>
      <c r="C173" s="878">
        <v>0.01</v>
      </c>
      <c r="D173" s="876">
        <v>1</v>
      </c>
      <c r="E173" s="878">
        <f>C173*D173</f>
        <v>0.01</v>
      </c>
      <c r="F173" s="854"/>
    </row>
    <row r="174" spans="1:6" hidden="1" outlineLevel="1" x14ac:dyDescent="0.25">
      <c r="A174" s="854"/>
      <c r="B174" s="394" t="s">
        <v>274</v>
      </c>
      <c r="C174" s="878">
        <v>0.09</v>
      </c>
      <c r="D174" s="879">
        <v>1</v>
      </c>
      <c r="E174" s="878">
        <f>C174*D174</f>
        <v>0.09</v>
      </c>
      <c r="F174" s="854"/>
    </row>
    <row r="175" spans="1:6" ht="25.5" hidden="1" outlineLevel="1" x14ac:dyDescent="0.25">
      <c r="A175" s="854"/>
      <c r="B175" s="394" t="s">
        <v>32</v>
      </c>
      <c r="C175" s="878">
        <v>0.03</v>
      </c>
      <c r="D175" s="879">
        <v>1</v>
      </c>
      <c r="E175" s="878">
        <f>C175*D175</f>
        <v>0.03</v>
      </c>
      <c r="F175" s="854"/>
    </row>
    <row r="176" spans="1:6" hidden="1" outlineLevel="1" x14ac:dyDescent="0.25">
      <c r="A176" s="854"/>
      <c r="B176" s="394" t="s">
        <v>212</v>
      </c>
      <c r="C176" s="878">
        <v>0.05</v>
      </c>
      <c r="D176" s="876"/>
      <c r="E176" s="875">
        <f>SUM(E161:E175)*C176</f>
        <v>5.6725000000000005E-2</v>
      </c>
      <c r="F176" s="854"/>
    </row>
    <row r="177" spans="1:16" s="19" customFormat="1" ht="15.75" collapsed="1" x14ac:dyDescent="0.25">
      <c r="A177" s="862"/>
      <c r="B177" s="862" t="s">
        <v>48</v>
      </c>
      <c r="C177" s="862"/>
      <c r="D177" s="862"/>
      <c r="E177" s="862"/>
      <c r="F177" s="862"/>
    </row>
    <row r="178" spans="1:16" s="19" customFormat="1" ht="15.75" x14ac:dyDescent="0.25">
      <c r="A178" s="862"/>
      <c r="B178" s="862" t="s">
        <v>49</v>
      </c>
      <c r="C178" s="862">
        <v>5.32</v>
      </c>
      <c r="D178" s="880"/>
      <c r="E178" s="862"/>
      <c r="F178" s="862"/>
    </row>
    <row r="179" spans="1:16" s="10" customFormat="1" x14ac:dyDescent="0.25">
      <c r="A179" s="861"/>
      <c r="B179" s="861" t="s">
        <v>71</v>
      </c>
      <c r="C179" s="914"/>
      <c r="D179" s="861">
        <f>D11+D12</f>
        <v>12</v>
      </c>
      <c r="E179" s="883" t="s">
        <v>211</v>
      </c>
      <c r="F179" s="884"/>
      <c r="G179" s="15"/>
      <c r="H179" s="15"/>
      <c r="I179" s="16"/>
    </row>
    <row r="180" spans="1:16" s="2" customFormat="1" ht="76.5" x14ac:dyDescent="0.25">
      <c r="A180" s="854"/>
      <c r="B180" s="394" t="s">
        <v>880</v>
      </c>
      <c r="C180" s="394" t="s">
        <v>879</v>
      </c>
      <c r="D180" s="394" t="s">
        <v>877</v>
      </c>
      <c r="E180" s="854"/>
      <c r="F180" s="855">
        <f>19.082*D181*D182*D183*C203*1000</f>
        <v>150159.57368832009</v>
      </c>
      <c r="I180"/>
      <c r="J180"/>
      <c r="K180"/>
      <c r="O180" s="17"/>
      <c r="P180" s="17"/>
    </row>
    <row r="181" spans="1:16" s="3" customFormat="1" x14ac:dyDescent="0.25">
      <c r="A181" s="866"/>
      <c r="B181" s="865" t="s">
        <v>4</v>
      </c>
      <c r="C181" s="865" t="s">
        <v>5</v>
      </c>
      <c r="D181" s="866">
        <v>0.4</v>
      </c>
      <c r="E181" s="866"/>
      <c r="F181" s="866"/>
      <c r="I181"/>
      <c r="J181"/>
      <c r="K181"/>
    </row>
    <row r="182" spans="1:16" s="3" customFormat="1" ht="89.25" x14ac:dyDescent="0.25">
      <c r="A182" s="866"/>
      <c r="B182" s="394" t="s">
        <v>46</v>
      </c>
      <c r="C182" s="865" t="s">
        <v>878</v>
      </c>
      <c r="D182" s="866">
        <f>1+(D179-1)*0.2</f>
        <v>3.2</v>
      </c>
      <c r="E182" s="866"/>
      <c r="F182" s="866"/>
      <c r="I182"/>
      <c r="J182"/>
      <c r="K182"/>
    </row>
    <row r="183" spans="1:16" s="2" customFormat="1" ht="89.25" x14ac:dyDescent="0.25">
      <c r="A183" s="854"/>
      <c r="B183" s="394" t="s">
        <v>15</v>
      </c>
      <c r="C183" s="394" t="s">
        <v>209</v>
      </c>
      <c r="D183" s="854">
        <f>E184/1</f>
        <v>1.1556000000000004</v>
      </c>
      <c r="E183" s="854"/>
      <c r="F183" s="854"/>
    </row>
    <row r="184" spans="1:16" x14ac:dyDescent="0.25">
      <c r="A184" s="854"/>
      <c r="B184" s="390" t="s">
        <v>6</v>
      </c>
      <c r="C184" s="869">
        <f>SUM(C185:C201)</f>
        <v>1.0000000000000002</v>
      </c>
      <c r="D184" s="870"/>
      <c r="E184" s="871">
        <f>SUM(E185:E201)</f>
        <v>1.1556000000000004</v>
      </c>
      <c r="F184" s="872"/>
      <c r="G184" s="9"/>
      <c r="H184" s="9"/>
    </row>
    <row r="185" spans="1:16" hidden="1" outlineLevel="1" x14ac:dyDescent="0.25">
      <c r="A185" s="854"/>
      <c r="B185" s="394" t="s">
        <v>20</v>
      </c>
      <c r="C185" s="873">
        <v>0.02</v>
      </c>
      <c r="D185" s="879">
        <v>1</v>
      </c>
      <c r="E185" s="875">
        <f>C185*D185</f>
        <v>0.02</v>
      </c>
      <c r="F185" s="870"/>
      <c r="G185" s="6"/>
      <c r="H185" s="6"/>
    </row>
    <row r="186" spans="1:16" ht="25.5" hidden="1" outlineLevel="1" x14ac:dyDescent="0.25">
      <c r="A186" s="854"/>
      <c r="B186" s="394" t="s">
        <v>21</v>
      </c>
      <c r="C186" s="873">
        <v>0.04</v>
      </c>
      <c r="D186" s="854">
        <v>1</v>
      </c>
      <c r="E186" s="875">
        <f>C186*D186</f>
        <v>0.04</v>
      </c>
      <c r="F186" s="854"/>
    </row>
    <row r="187" spans="1:16" hidden="1" outlineLevel="1" x14ac:dyDescent="0.25">
      <c r="A187" s="854"/>
      <c r="B187" s="394" t="s">
        <v>22</v>
      </c>
      <c r="C187" s="873">
        <v>0.14000000000000001</v>
      </c>
      <c r="D187" s="879" t="s">
        <v>16</v>
      </c>
      <c r="E187" s="875">
        <f>C187*(1+0.3)</f>
        <v>0.18200000000000002</v>
      </c>
      <c r="F187" s="854"/>
    </row>
    <row r="188" spans="1:16" hidden="1" outlineLevel="1" x14ac:dyDescent="0.25">
      <c r="A188" s="854"/>
      <c r="B188" s="394" t="s">
        <v>23</v>
      </c>
      <c r="C188" s="873">
        <v>0.15</v>
      </c>
      <c r="D188" s="879" t="s">
        <v>16</v>
      </c>
      <c r="E188" s="875">
        <f>C188*(1+0.3)</f>
        <v>0.19500000000000001</v>
      </c>
      <c r="F188" s="854"/>
    </row>
    <row r="189" spans="1:16" ht="25.5" hidden="1" outlineLevel="1" x14ac:dyDescent="0.25">
      <c r="A189" s="854"/>
      <c r="B189" s="394" t="s">
        <v>36</v>
      </c>
      <c r="C189" s="873"/>
      <c r="D189" s="879"/>
      <c r="E189" s="875"/>
      <c r="F189" s="870"/>
      <c r="G189" s="6"/>
      <c r="H189" s="6"/>
    </row>
    <row r="190" spans="1:16" hidden="1" outlineLevel="1" x14ac:dyDescent="0.25">
      <c r="A190" s="854"/>
      <c r="B190" s="877" t="s">
        <v>37</v>
      </c>
      <c r="C190" s="873">
        <v>7.0000000000000007E-2</v>
      </c>
      <c r="D190" s="879">
        <v>1</v>
      </c>
      <c r="E190" s="875">
        <f>C190*D190</f>
        <v>7.0000000000000007E-2</v>
      </c>
      <c r="F190" s="870"/>
      <c r="G190" s="6"/>
      <c r="H190" s="6"/>
    </row>
    <row r="191" spans="1:16" hidden="1" outlineLevel="1" x14ac:dyDescent="0.25">
      <c r="A191" s="854"/>
      <c r="B191" s="877" t="s">
        <v>38</v>
      </c>
      <c r="C191" s="873">
        <v>0.04</v>
      </c>
      <c r="D191" s="879">
        <v>1</v>
      </c>
      <c r="E191" s="875">
        <f t="shared" ref="E191:E196" si="5">C191*D191</f>
        <v>0.04</v>
      </c>
      <c r="F191" s="870"/>
      <c r="G191" s="6"/>
      <c r="H191" s="6"/>
    </row>
    <row r="192" spans="1:16" hidden="1" outlineLevel="1" x14ac:dyDescent="0.25">
      <c r="A192" s="854"/>
      <c r="B192" s="877" t="s">
        <v>39</v>
      </c>
      <c r="C192" s="873">
        <v>0.04</v>
      </c>
      <c r="D192" s="879">
        <v>1</v>
      </c>
      <c r="E192" s="875">
        <f t="shared" si="5"/>
        <v>0.04</v>
      </c>
      <c r="F192" s="882"/>
      <c r="G192" s="7"/>
      <c r="H192" s="7"/>
      <c r="I192" s="8"/>
    </row>
    <row r="193" spans="1:11" hidden="1" outlineLevel="1" x14ac:dyDescent="0.25">
      <c r="A193" s="854"/>
      <c r="B193" s="877" t="s">
        <v>40</v>
      </c>
      <c r="C193" s="873">
        <v>0.12</v>
      </c>
      <c r="D193" s="879">
        <v>1</v>
      </c>
      <c r="E193" s="875">
        <f t="shared" si="5"/>
        <v>0.12</v>
      </c>
      <c r="F193" s="870"/>
      <c r="G193" s="6"/>
      <c r="H193" s="6"/>
    </row>
    <row r="194" spans="1:11" hidden="1" outlineLevel="1" x14ac:dyDescent="0.25">
      <c r="A194" s="854"/>
      <c r="B194" s="877" t="s">
        <v>41</v>
      </c>
      <c r="C194" s="873">
        <v>0.03</v>
      </c>
      <c r="D194" s="854">
        <v>1</v>
      </c>
      <c r="E194" s="875">
        <f t="shared" si="5"/>
        <v>0.03</v>
      </c>
      <c r="F194" s="854"/>
    </row>
    <row r="195" spans="1:11" hidden="1" outlineLevel="1" x14ac:dyDescent="0.25">
      <c r="A195" s="854"/>
      <c r="B195" s="877" t="s">
        <v>42</v>
      </c>
      <c r="C195" s="873">
        <v>0.02</v>
      </c>
      <c r="D195" s="876">
        <v>1</v>
      </c>
      <c r="E195" s="875">
        <f t="shared" si="5"/>
        <v>0.02</v>
      </c>
      <c r="F195" s="854"/>
    </row>
    <row r="196" spans="1:11" hidden="1" outlineLevel="1" x14ac:dyDescent="0.25">
      <c r="A196" s="854"/>
      <c r="B196" s="877" t="s">
        <v>43</v>
      </c>
      <c r="C196" s="873">
        <v>0.05</v>
      </c>
      <c r="D196" s="876">
        <v>1</v>
      </c>
      <c r="E196" s="875">
        <f t="shared" si="5"/>
        <v>0.05</v>
      </c>
      <c r="F196" s="854"/>
    </row>
    <row r="197" spans="1:11" hidden="1" outlineLevel="1" x14ac:dyDescent="0.25">
      <c r="A197" s="854"/>
      <c r="B197" s="394" t="s">
        <v>30</v>
      </c>
      <c r="C197" s="873">
        <v>0.06</v>
      </c>
      <c r="D197" s="879">
        <v>1</v>
      </c>
      <c r="E197" s="875">
        <f>C197*(1+0.3)</f>
        <v>7.8E-2</v>
      </c>
      <c r="F197" s="870"/>
      <c r="G197" s="6"/>
      <c r="H197" s="6"/>
    </row>
    <row r="198" spans="1:11" hidden="1" outlineLevel="1" x14ac:dyDescent="0.25">
      <c r="A198" s="854"/>
      <c r="B198" s="394" t="s">
        <v>44</v>
      </c>
      <c r="C198" s="873">
        <v>7.0000000000000007E-2</v>
      </c>
      <c r="D198" s="879">
        <v>1</v>
      </c>
      <c r="E198" s="875">
        <f>C198*(1+0.3)</f>
        <v>9.1000000000000011E-2</v>
      </c>
      <c r="F198" s="870"/>
      <c r="G198" s="6"/>
      <c r="H198" s="6"/>
    </row>
    <row r="199" spans="1:11" ht="25.5" hidden="1" outlineLevel="1" x14ac:dyDescent="0.25">
      <c r="A199" s="854"/>
      <c r="B199" s="394" t="s">
        <v>32</v>
      </c>
      <c r="C199" s="873">
        <v>0.06</v>
      </c>
      <c r="D199" s="879">
        <v>1</v>
      </c>
      <c r="E199" s="875">
        <f>C199*(1+0.3)</f>
        <v>7.8E-2</v>
      </c>
      <c r="F199" s="870"/>
      <c r="G199" s="6"/>
      <c r="H199" s="6"/>
    </row>
    <row r="200" spans="1:11" hidden="1" outlineLevel="1" x14ac:dyDescent="0.25">
      <c r="A200" s="854"/>
      <c r="B200" s="394" t="s">
        <v>45</v>
      </c>
      <c r="C200" s="873">
        <v>0.02</v>
      </c>
      <c r="D200" s="879">
        <v>1</v>
      </c>
      <c r="E200" s="875">
        <f>C200*(1+0.3)</f>
        <v>2.6000000000000002E-2</v>
      </c>
      <c r="F200" s="870"/>
      <c r="G200" s="6"/>
      <c r="H200" s="6"/>
    </row>
    <row r="201" spans="1:11" hidden="1" outlineLevel="1" x14ac:dyDescent="0.25">
      <c r="A201" s="854"/>
      <c r="B201" s="394" t="s">
        <v>34</v>
      </c>
      <c r="C201" s="886">
        <v>7.0000000000000007E-2</v>
      </c>
      <c r="D201" s="854"/>
      <c r="E201" s="887">
        <f>SUM(E185:E200)*C201</f>
        <v>7.5600000000000028E-2</v>
      </c>
      <c r="F201" s="882"/>
      <c r="G201" s="7"/>
      <c r="H201" s="7"/>
      <c r="I201" s="8"/>
    </row>
    <row r="202" spans="1:11" s="19" customFormat="1" ht="15.75" collapsed="1" x14ac:dyDescent="0.25">
      <c r="A202" s="862"/>
      <c r="B202" s="862" t="s">
        <v>48</v>
      </c>
      <c r="C202" s="862"/>
      <c r="D202" s="862"/>
      <c r="E202" s="862"/>
      <c r="F202" s="862"/>
    </row>
    <row r="203" spans="1:11" s="19" customFormat="1" ht="15.75" x14ac:dyDescent="0.25">
      <c r="A203" s="862"/>
      <c r="B203" s="862" t="s">
        <v>49</v>
      </c>
      <c r="C203" s="862">
        <v>5.32</v>
      </c>
      <c r="D203" s="880"/>
      <c r="E203" s="862"/>
      <c r="F203" s="862"/>
    </row>
    <row r="204" spans="1:11" x14ac:dyDescent="0.25">
      <c r="A204" s="854"/>
      <c r="B204" s="861" t="s">
        <v>327</v>
      </c>
      <c r="C204" s="862">
        <v>1</v>
      </c>
      <c r="D204" s="862" t="s">
        <v>211</v>
      </c>
      <c r="E204" s="854"/>
      <c r="F204" s="854"/>
    </row>
    <row r="205" spans="1:11" s="2" customFormat="1" ht="89.25" x14ac:dyDescent="0.25">
      <c r="A205" s="854"/>
      <c r="B205" s="854"/>
      <c r="C205" s="863" t="s">
        <v>263</v>
      </c>
      <c r="D205" s="394" t="s">
        <v>881</v>
      </c>
      <c r="E205" s="854"/>
      <c r="F205" s="855">
        <f>12.49*1*D206*D207*C226*1000</f>
        <v>31661.235732000005</v>
      </c>
      <c r="I205"/>
      <c r="J205"/>
      <c r="K205"/>
    </row>
    <row r="206" spans="1:11" s="3" customFormat="1" x14ac:dyDescent="0.25">
      <c r="A206" s="866"/>
      <c r="B206" s="865" t="s">
        <v>4</v>
      </c>
      <c r="C206" s="865" t="s">
        <v>5</v>
      </c>
      <c r="D206" s="866">
        <v>0.4</v>
      </c>
      <c r="E206" s="866"/>
      <c r="F206" s="866"/>
      <c r="I206"/>
      <c r="J206"/>
      <c r="K206"/>
    </row>
    <row r="207" spans="1:11" ht="89.25" x14ac:dyDescent="0.25">
      <c r="A207" s="854"/>
      <c r="B207" s="394" t="s">
        <v>15</v>
      </c>
      <c r="C207" s="394" t="s">
        <v>275</v>
      </c>
      <c r="D207" s="854">
        <f>E208/1</f>
        <v>1.191225</v>
      </c>
      <c r="E207" s="854"/>
      <c r="F207" s="854"/>
    </row>
    <row r="208" spans="1:11" x14ac:dyDescent="0.25">
      <c r="A208" s="854"/>
      <c r="B208" s="390" t="s">
        <v>6</v>
      </c>
      <c r="C208" s="869">
        <f>SUM(C209:C224)</f>
        <v>1</v>
      </c>
      <c r="D208" s="870"/>
      <c r="E208" s="871">
        <f>SUM(E209:E224)</f>
        <v>1.191225</v>
      </c>
      <c r="F208" s="872"/>
      <c r="G208" s="9"/>
      <c r="H208" s="9"/>
    </row>
    <row r="209" spans="1:6" hidden="1" outlineLevel="1" x14ac:dyDescent="0.25">
      <c r="A209" s="854"/>
      <c r="B209" s="394" t="s">
        <v>20</v>
      </c>
      <c r="C209" s="873">
        <v>0.02</v>
      </c>
      <c r="D209" s="874">
        <v>1</v>
      </c>
      <c r="E209" s="875">
        <f>C209*D209</f>
        <v>0.02</v>
      </c>
      <c r="F209" s="854"/>
    </row>
    <row r="210" spans="1:6" hidden="1" outlineLevel="1" x14ac:dyDescent="0.25">
      <c r="A210" s="854"/>
      <c r="B210" s="394" t="s">
        <v>265</v>
      </c>
      <c r="C210" s="873">
        <v>0.02</v>
      </c>
      <c r="D210" s="874" t="s">
        <v>16</v>
      </c>
      <c r="E210" s="875">
        <f>C210*(1+0.3)</f>
        <v>2.6000000000000002E-2</v>
      </c>
      <c r="F210" s="854"/>
    </row>
    <row r="211" spans="1:6" ht="38.25" hidden="1" outlineLevel="1" x14ac:dyDescent="0.25">
      <c r="A211" s="854"/>
      <c r="B211" s="394" t="s">
        <v>266</v>
      </c>
      <c r="C211" s="873"/>
      <c r="D211" s="876">
        <v>1</v>
      </c>
      <c r="E211" s="873">
        <f>C211*D211</f>
        <v>0</v>
      </c>
      <c r="F211" s="854"/>
    </row>
    <row r="212" spans="1:6" hidden="1" outlineLevel="1" x14ac:dyDescent="0.25">
      <c r="A212" s="854"/>
      <c r="B212" s="877" t="s">
        <v>43</v>
      </c>
      <c r="C212" s="878">
        <v>0.245</v>
      </c>
      <c r="D212" s="874" t="s">
        <v>16</v>
      </c>
      <c r="E212" s="875">
        <f>C212*(1+0.3)</f>
        <v>0.31850000000000001</v>
      </c>
      <c r="F212" s="854"/>
    </row>
    <row r="213" spans="1:6" hidden="1" outlineLevel="1" x14ac:dyDescent="0.25">
      <c r="A213" s="854"/>
      <c r="B213" s="877" t="s">
        <v>267</v>
      </c>
      <c r="C213" s="878">
        <v>0.27500000000000002</v>
      </c>
      <c r="D213" s="874" t="s">
        <v>16</v>
      </c>
      <c r="E213" s="875">
        <f>C213*(1+0.3)</f>
        <v>0.35750000000000004</v>
      </c>
      <c r="F213" s="854"/>
    </row>
    <row r="214" spans="1:6" hidden="1" outlineLevel="1" x14ac:dyDescent="0.25">
      <c r="A214" s="854"/>
      <c r="B214" s="877" t="s">
        <v>268</v>
      </c>
      <c r="C214" s="878">
        <v>1.4999999999999999E-2</v>
      </c>
      <c r="D214" s="874" t="s">
        <v>16</v>
      </c>
      <c r="E214" s="875">
        <f>C214*(1+0.3)</f>
        <v>1.95E-2</v>
      </c>
      <c r="F214" s="854"/>
    </row>
    <row r="215" spans="1:6" hidden="1" outlineLevel="1" x14ac:dyDescent="0.25">
      <c r="A215" s="854"/>
      <c r="B215" s="877" t="s">
        <v>269</v>
      </c>
      <c r="C215" s="878">
        <v>2.5000000000000001E-2</v>
      </c>
      <c r="D215" s="879">
        <v>1</v>
      </c>
      <c r="E215" s="878">
        <f>C215*D215</f>
        <v>2.5000000000000001E-2</v>
      </c>
      <c r="F215" s="854"/>
    </row>
    <row r="216" spans="1:6" hidden="1" outlineLevel="1" x14ac:dyDescent="0.25">
      <c r="A216" s="854"/>
      <c r="B216" s="877" t="s">
        <v>37</v>
      </c>
      <c r="C216" s="878">
        <v>0.1</v>
      </c>
      <c r="D216" s="876">
        <v>1</v>
      </c>
      <c r="E216" s="878">
        <f>C216*D216</f>
        <v>0.1</v>
      </c>
      <c r="F216" s="854"/>
    </row>
    <row r="217" spans="1:6" hidden="1" outlineLevel="1" x14ac:dyDescent="0.25">
      <c r="A217" s="854"/>
      <c r="B217" s="877" t="s">
        <v>270</v>
      </c>
      <c r="C217" s="878">
        <v>2.5000000000000001E-2</v>
      </c>
      <c r="D217" s="879">
        <v>1</v>
      </c>
      <c r="E217" s="878">
        <f>C217*D217</f>
        <v>2.5000000000000001E-2</v>
      </c>
      <c r="F217" s="854"/>
    </row>
    <row r="218" spans="1:6" hidden="1" outlineLevel="1" x14ac:dyDescent="0.25">
      <c r="A218" s="854"/>
      <c r="B218" s="877" t="s">
        <v>271</v>
      </c>
      <c r="C218" s="878">
        <v>1.4999999999999999E-2</v>
      </c>
      <c r="D218" s="879">
        <v>1</v>
      </c>
      <c r="E218" s="878">
        <f>C218*D218</f>
        <v>1.4999999999999999E-2</v>
      </c>
      <c r="F218" s="854"/>
    </row>
    <row r="219" spans="1:6" ht="25.5" hidden="1" outlineLevel="1" x14ac:dyDescent="0.25">
      <c r="A219" s="854"/>
      <c r="B219" s="394" t="s">
        <v>272</v>
      </c>
      <c r="C219" s="878">
        <v>0.06</v>
      </c>
      <c r="D219" s="874" t="s">
        <v>16</v>
      </c>
      <c r="E219" s="878">
        <f>C219*(1+0.3)</f>
        <v>7.8E-2</v>
      </c>
      <c r="F219" s="854"/>
    </row>
    <row r="220" spans="1:6" hidden="1" outlineLevel="1" x14ac:dyDescent="0.25">
      <c r="A220" s="854"/>
      <c r="B220" s="394" t="s">
        <v>30</v>
      </c>
      <c r="C220" s="878">
        <v>0.02</v>
      </c>
      <c r="D220" s="879">
        <v>1</v>
      </c>
      <c r="E220" s="878">
        <f>C220*D220</f>
        <v>0.02</v>
      </c>
      <c r="F220" s="854"/>
    </row>
    <row r="221" spans="1:6" hidden="1" outlineLevel="1" x14ac:dyDescent="0.25">
      <c r="A221" s="854"/>
      <c r="B221" s="394" t="s">
        <v>273</v>
      </c>
      <c r="C221" s="878">
        <v>0.01</v>
      </c>
      <c r="D221" s="876">
        <v>1</v>
      </c>
      <c r="E221" s="878">
        <f>C221*D221</f>
        <v>0.01</v>
      </c>
      <c r="F221" s="854"/>
    </row>
    <row r="222" spans="1:6" hidden="1" outlineLevel="1" x14ac:dyDescent="0.25">
      <c r="A222" s="854"/>
      <c r="B222" s="394" t="s">
        <v>274</v>
      </c>
      <c r="C222" s="878">
        <v>0.09</v>
      </c>
      <c r="D222" s="879">
        <v>1</v>
      </c>
      <c r="E222" s="878">
        <f>C222*D222</f>
        <v>0.09</v>
      </c>
      <c r="F222" s="854"/>
    </row>
    <row r="223" spans="1:6" ht="25.5" hidden="1" outlineLevel="1" x14ac:dyDescent="0.25">
      <c r="A223" s="854"/>
      <c r="B223" s="394" t="s">
        <v>32</v>
      </c>
      <c r="C223" s="878">
        <v>0.03</v>
      </c>
      <c r="D223" s="879">
        <v>1</v>
      </c>
      <c r="E223" s="878">
        <f>C223*D223</f>
        <v>0.03</v>
      </c>
      <c r="F223" s="854"/>
    </row>
    <row r="224" spans="1:6" hidden="1" outlineLevel="1" x14ac:dyDescent="0.25">
      <c r="A224" s="854"/>
      <c r="B224" s="394" t="s">
        <v>212</v>
      </c>
      <c r="C224" s="878">
        <v>0.05</v>
      </c>
      <c r="D224" s="876"/>
      <c r="E224" s="875">
        <f>SUM(E209:E223)*C224</f>
        <v>5.6725000000000005E-2</v>
      </c>
      <c r="F224" s="854"/>
    </row>
    <row r="225" spans="1:18" s="19" customFormat="1" ht="15.75" collapsed="1" x14ac:dyDescent="0.25">
      <c r="A225" s="862"/>
      <c r="B225" s="862" t="s">
        <v>48</v>
      </c>
      <c r="C225" s="862"/>
      <c r="D225" s="862"/>
      <c r="E225" s="862"/>
      <c r="F225" s="862"/>
    </row>
    <row r="226" spans="1:18" s="19" customFormat="1" ht="15.75" x14ac:dyDescent="0.25">
      <c r="A226" s="862"/>
      <c r="B226" s="862" t="s">
        <v>49</v>
      </c>
      <c r="C226" s="862">
        <v>5.32</v>
      </c>
      <c r="D226" s="880"/>
      <c r="E226" s="862"/>
      <c r="F226" s="862"/>
    </row>
    <row r="227" spans="1:18" s="11" customFormat="1" x14ac:dyDescent="0.25">
      <c r="A227" s="862"/>
      <c r="B227" s="861" t="s">
        <v>205</v>
      </c>
      <c r="C227" s="862"/>
      <c r="D227" s="862">
        <v>4</v>
      </c>
      <c r="E227" s="862" t="s">
        <v>19</v>
      </c>
      <c r="F227" s="862"/>
      <c r="I227" s="13"/>
    </row>
    <row r="228" spans="1:18" s="2" customFormat="1" ht="63.75" x14ac:dyDescent="0.25">
      <c r="A228" s="854"/>
      <c r="B228" s="854" t="s">
        <v>205</v>
      </c>
      <c r="C228" s="394" t="s">
        <v>237</v>
      </c>
      <c r="D228" s="394" t="s">
        <v>885</v>
      </c>
      <c r="E228" s="854"/>
      <c r="F228" s="855">
        <f>(33+5.5*1)*D229*D230*D231*C249*1000</f>
        <v>183404.0208</v>
      </c>
      <c r="I228"/>
      <c r="J228"/>
      <c r="K228"/>
      <c r="Q228" s="17"/>
      <c r="R228" s="17"/>
    </row>
    <row r="229" spans="1:18" s="3" customFormat="1" x14ac:dyDescent="0.25">
      <c r="A229" s="866"/>
      <c r="B229" s="865" t="s">
        <v>4</v>
      </c>
      <c r="C229" s="865" t="s">
        <v>5</v>
      </c>
      <c r="D229" s="866">
        <v>0.4</v>
      </c>
      <c r="E229" s="866"/>
      <c r="F229" s="866"/>
      <c r="I229"/>
      <c r="J229"/>
      <c r="K229"/>
    </row>
    <row r="230" spans="1:18" s="3" customFormat="1" ht="89.25" x14ac:dyDescent="0.25">
      <c r="A230" s="866"/>
      <c r="B230" s="394" t="s">
        <v>46</v>
      </c>
      <c r="C230" s="865" t="s">
        <v>306</v>
      </c>
      <c r="D230" s="866">
        <f>1+(D227-1)*0.35</f>
        <v>2.0499999999999998</v>
      </c>
      <c r="E230" s="866"/>
      <c r="F230" s="866"/>
      <c r="I230"/>
      <c r="J230"/>
      <c r="K230"/>
    </row>
    <row r="231" spans="1:18" ht="89.25" x14ac:dyDescent="0.25">
      <c r="A231" s="854"/>
      <c r="B231" s="394" t="s">
        <v>15</v>
      </c>
      <c r="C231" s="394" t="s">
        <v>884</v>
      </c>
      <c r="D231" s="854">
        <f>E232/1</f>
        <v>1.0920000000000001</v>
      </c>
      <c r="E231" s="854"/>
      <c r="F231" s="854"/>
    </row>
    <row r="232" spans="1:18" x14ac:dyDescent="0.25">
      <c r="A232" s="854"/>
      <c r="B232" s="390" t="s">
        <v>6</v>
      </c>
      <c r="C232" s="869">
        <f>SUM(C233:C247)</f>
        <v>1</v>
      </c>
      <c r="D232" s="870"/>
      <c r="E232" s="889">
        <f>SUM(E233:E247)</f>
        <v>1.0920000000000001</v>
      </c>
      <c r="F232" s="875"/>
      <c r="G232" s="4"/>
      <c r="H232" s="4"/>
    </row>
    <row r="233" spans="1:18" hidden="1" outlineLevel="1" x14ac:dyDescent="0.25">
      <c r="A233" s="854"/>
      <c r="B233" s="394" t="s">
        <v>20</v>
      </c>
      <c r="C233" s="873">
        <v>0.01</v>
      </c>
      <c r="D233" s="854">
        <v>1</v>
      </c>
      <c r="E233" s="875">
        <f>C233*D233</f>
        <v>0.01</v>
      </c>
      <c r="F233" s="875"/>
      <c r="G233" s="4"/>
      <c r="H233" s="4"/>
    </row>
    <row r="234" spans="1:18" ht="25.5" hidden="1" outlineLevel="1" x14ac:dyDescent="0.25">
      <c r="A234" s="854"/>
      <c r="B234" s="394" t="s">
        <v>21</v>
      </c>
      <c r="C234" s="873">
        <v>0.03</v>
      </c>
      <c r="D234" s="854">
        <v>1</v>
      </c>
      <c r="E234" s="875">
        <f>C234*D234</f>
        <v>0.03</v>
      </c>
      <c r="F234" s="875"/>
      <c r="G234" s="4"/>
      <c r="H234" s="4"/>
    </row>
    <row r="235" spans="1:18" hidden="1" outlineLevel="1" x14ac:dyDescent="0.25">
      <c r="A235" s="854"/>
      <c r="B235" s="394" t="s">
        <v>22</v>
      </c>
      <c r="C235" s="873">
        <v>0.09</v>
      </c>
      <c r="D235" s="879" t="s">
        <v>16</v>
      </c>
      <c r="E235" s="875">
        <f>C235*(1+0.3)</f>
        <v>0.11699999999999999</v>
      </c>
      <c r="F235" s="875"/>
      <c r="G235" s="4"/>
      <c r="H235" s="4"/>
    </row>
    <row r="236" spans="1:18" hidden="1" outlineLevel="1" x14ac:dyDescent="0.25">
      <c r="A236" s="854"/>
      <c r="B236" s="394" t="s">
        <v>23</v>
      </c>
      <c r="C236" s="873">
        <v>0.12</v>
      </c>
      <c r="D236" s="879" t="s">
        <v>16</v>
      </c>
      <c r="E236" s="875">
        <f>C236*(1+0.3)</f>
        <v>0.156</v>
      </c>
      <c r="F236" s="875"/>
      <c r="G236" s="4"/>
      <c r="H236" s="4"/>
    </row>
    <row r="237" spans="1:18" ht="38.25" hidden="1" outlineLevel="1" x14ac:dyDescent="0.25">
      <c r="A237" s="854"/>
      <c r="B237" s="394" t="s">
        <v>24</v>
      </c>
      <c r="C237" s="873">
        <v>0.05</v>
      </c>
      <c r="D237" s="879" t="s">
        <v>16</v>
      </c>
      <c r="E237" s="875">
        <f>C237*(1+0.3)</f>
        <v>6.5000000000000002E-2</v>
      </c>
      <c r="F237" s="875"/>
      <c r="G237" s="4"/>
      <c r="H237" s="4"/>
    </row>
    <row r="238" spans="1:18" ht="38.25" hidden="1" outlineLevel="1" x14ac:dyDescent="0.25">
      <c r="A238" s="854"/>
      <c r="B238" s="394" t="s">
        <v>25</v>
      </c>
      <c r="C238" s="873">
        <v>0.04</v>
      </c>
      <c r="D238" s="879" t="s">
        <v>16</v>
      </c>
      <c r="E238" s="875">
        <f>C238*(1+0.3)</f>
        <v>5.2000000000000005E-2</v>
      </c>
      <c r="F238" s="875"/>
      <c r="G238" s="4"/>
      <c r="H238" s="4"/>
    </row>
    <row r="239" spans="1:18" ht="38.25" hidden="1" outlineLevel="1" x14ac:dyDescent="0.25">
      <c r="A239" s="854"/>
      <c r="B239" s="394" t="s">
        <v>26</v>
      </c>
      <c r="C239" s="873">
        <v>0.05</v>
      </c>
      <c r="D239" s="854">
        <v>1</v>
      </c>
      <c r="E239" s="875">
        <f t="shared" ref="E239:E246" si="6">C239*D239</f>
        <v>0.05</v>
      </c>
      <c r="F239" s="875"/>
      <c r="G239" s="4"/>
      <c r="H239" s="4"/>
    </row>
    <row r="240" spans="1:18" ht="51" hidden="1" outlineLevel="1" x14ac:dyDescent="0.25">
      <c r="A240" s="854"/>
      <c r="B240" s="394" t="s">
        <v>27</v>
      </c>
      <c r="C240" s="873">
        <v>0.04</v>
      </c>
      <c r="D240" s="854">
        <v>1</v>
      </c>
      <c r="E240" s="875">
        <f t="shared" si="6"/>
        <v>0.04</v>
      </c>
      <c r="F240" s="875"/>
      <c r="G240" s="4"/>
      <c r="H240" s="4"/>
      <c r="I240" s="8"/>
    </row>
    <row r="241" spans="1:18" ht="38.25" hidden="1" outlineLevel="1" x14ac:dyDescent="0.25">
      <c r="A241" s="854"/>
      <c r="B241" s="394" t="s">
        <v>28</v>
      </c>
      <c r="C241" s="873">
        <v>0.02</v>
      </c>
      <c r="D241" s="854">
        <v>1</v>
      </c>
      <c r="E241" s="875">
        <f t="shared" si="6"/>
        <v>0.02</v>
      </c>
      <c r="F241" s="875"/>
      <c r="G241" s="4"/>
      <c r="H241" s="4"/>
    </row>
    <row r="242" spans="1:18" ht="38.25" hidden="1" outlineLevel="1" x14ac:dyDescent="0.25">
      <c r="A242" s="854"/>
      <c r="B242" s="394" t="s">
        <v>29</v>
      </c>
      <c r="C242" s="873">
        <v>0.31</v>
      </c>
      <c r="D242" s="854">
        <v>1</v>
      </c>
      <c r="E242" s="875">
        <f t="shared" si="6"/>
        <v>0.31</v>
      </c>
      <c r="F242" s="875"/>
      <c r="G242" s="4"/>
      <c r="H242" s="4"/>
    </row>
    <row r="243" spans="1:18" hidden="1" outlineLevel="1" x14ac:dyDescent="0.25">
      <c r="A243" s="854"/>
      <c r="B243" s="394" t="s">
        <v>30</v>
      </c>
      <c r="C243" s="873">
        <v>0.04</v>
      </c>
      <c r="D243" s="879">
        <v>1</v>
      </c>
      <c r="E243" s="875">
        <f t="shared" si="6"/>
        <v>0.04</v>
      </c>
      <c r="F243" s="875"/>
      <c r="G243" s="4"/>
      <c r="H243" s="4"/>
    </row>
    <row r="244" spans="1:18" ht="25.5" hidden="1" outlineLevel="1" x14ac:dyDescent="0.25">
      <c r="A244" s="854"/>
      <c r="B244" s="394" t="s">
        <v>31</v>
      </c>
      <c r="C244" s="873">
        <v>0.09</v>
      </c>
      <c r="D244" s="854">
        <v>1</v>
      </c>
      <c r="E244" s="875">
        <f t="shared" si="6"/>
        <v>0.09</v>
      </c>
      <c r="F244" s="875"/>
      <c r="G244" s="4"/>
      <c r="H244" s="4"/>
    </row>
    <row r="245" spans="1:18" ht="25.5" hidden="1" outlineLevel="1" x14ac:dyDescent="0.25">
      <c r="A245" s="854"/>
      <c r="B245" s="394" t="s">
        <v>32</v>
      </c>
      <c r="C245" s="873">
        <v>0.05</v>
      </c>
      <c r="D245" s="854">
        <v>1</v>
      </c>
      <c r="E245" s="875">
        <f t="shared" si="6"/>
        <v>0.05</v>
      </c>
      <c r="F245" s="875"/>
      <c r="G245" s="4"/>
      <c r="H245" s="4"/>
    </row>
    <row r="246" spans="1:18" ht="25.5" hidden="1" outlineLevel="1" x14ac:dyDescent="0.25">
      <c r="A246" s="854"/>
      <c r="B246" s="394" t="s">
        <v>33</v>
      </c>
      <c r="C246" s="873">
        <v>0.01</v>
      </c>
      <c r="D246" s="854">
        <v>1</v>
      </c>
      <c r="E246" s="875">
        <f t="shared" si="6"/>
        <v>0.01</v>
      </c>
      <c r="F246" s="875"/>
      <c r="G246" s="4"/>
      <c r="H246" s="4"/>
    </row>
    <row r="247" spans="1:18" hidden="1" outlineLevel="1" x14ac:dyDescent="0.25">
      <c r="A247" s="854"/>
      <c r="B247" s="394" t="s">
        <v>34</v>
      </c>
      <c r="C247" s="873">
        <v>0.05</v>
      </c>
      <c r="D247" s="879"/>
      <c r="E247" s="890">
        <f>SUM(E233:E246)*C247</f>
        <v>5.2000000000000005E-2</v>
      </c>
      <c r="F247" s="890"/>
      <c r="G247" s="14"/>
      <c r="H247" s="14"/>
    </row>
    <row r="248" spans="1:18" s="19" customFormat="1" ht="15.75" collapsed="1" x14ac:dyDescent="0.25">
      <c r="A248" s="862"/>
      <c r="B248" s="862" t="s">
        <v>48</v>
      </c>
      <c r="C248" s="862"/>
      <c r="D248" s="862"/>
      <c r="E248" s="862"/>
      <c r="F248" s="862"/>
    </row>
    <row r="249" spans="1:18" s="19" customFormat="1" ht="15.75" x14ac:dyDescent="0.25">
      <c r="A249" s="862"/>
      <c r="B249" s="862" t="s">
        <v>49</v>
      </c>
      <c r="C249" s="862">
        <v>5.32</v>
      </c>
      <c r="D249" s="880"/>
      <c r="E249" s="862"/>
      <c r="F249" s="862"/>
    </row>
    <row r="250" spans="1:18" s="11" customFormat="1" x14ac:dyDescent="0.25">
      <c r="A250" s="862"/>
      <c r="B250" s="861" t="s">
        <v>104</v>
      </c>
      <c r="C250" s="862"/>
      <c r="D250" s="862">
        <v>500</v>
      </c>
      <c r="E250" s="862" t="s">
        <v>746</v>
      </c>
      <c r="F250" s="862"/>
      <c r="I250" s="13"/>
    </row>
    <row r="251" spans="1:18" s="2" customFormat="1" ht="63.75" x14ac:dyDescent="0.25">
      <c r="A251" s="854"/>
      <c r="B251" s="854" t="s">
        <v>886</v>
      </c>
      <c r="C251" s="394" t="s">
        <v>908</v>
      </c>
      <c r="D251" s="394" t="s">
        <v>890</v>
      </c>
      <c r="E251" s="854"/>
      <c r="F251" s="855">
        <f>(4.6+0.166*(0.4*1000+0.6*500))*1*D252*D253*D254*D255*C267*1000</f>
        <v>627393.4855372801</v>
      </c>
      <c r="I251"/>
      <c r="J251"/>
      <c r="K251"/>
      <c r="Q251" s="17"/>
      <c r="R251" s="17"/>
    </row>
    <row r="252" spans="1:18" s="3" customFormat="1" x14ac:dyDescent="0.25">
      <c r="A252" s="866"/>
      <c r="B252" s="865" t="s">
        <v>4</v>
      </c>
      <c r="C252" s="865" t="s">
        <v>5</v>
      </c>
      <c r="D252" s="866">
        <v>0.6</v>
      </c>
      <c r="E252" s="866"/>
      <c r="F252" s="866"/>
      <c r="I252"/>
      <c r="J252"/>
      <c r="K252"/>
    </row>
    <row r="253" spans="1:18" s="3" customFormat="1" ht="63.75" x14ac:dyDescent="0.25">
      <c r="A253" s="866"/>
      <c r="B253" s="394" t="s">
        <v>889</v>
      </c>
      <c r="C253" s="865" t="s">
        <v>250</v>
      </c>
      <c r="D253" s="866">
        <v>1.1000000000000001</v>
      </c>
      <c r="E253" s="866"/>
      <c r="F253" s="866"/>
      <c r="I253"/>
      <c r="J253"/>
      <c r="K253"/>
    </row>
    <row r="254" spans="1:18" s="3" customFormat="1" ht="76.5" x14ac:dyDescent="0.25">
      <c r="A254" s="866"/>
      <c r="B254" s="394" t="s">
        <v>888</v>
      </c>
      <c r="C254" s="865" t="s">
        <v>250</v>
      </c>
      <c r="D254" s="866">
        <v>1.2</v>
      </c>
      <c r="E254" s="866"/>
      <c r="F254" s="866"/>
      <c r="I254"/>
      <c r="J254"/>
      <c r="K254"/>
    </row>
    <row r="255" spans="1:18" ht="89.25" x14ac:dyDescent="0.25">
      <c r="A255" s="854"/>
      <c r="B255" s="394" t="s">
        <v>15</v>
      </c>
      <c r="C255" s="394" t="s">
        <v>887</v>
      </c>
      <c r="D255" s="854">
        <f>E256/1</f>
        <v>1.2326400000000002</v>
      </c>
      <c r="E255" s="854"/>
      <c r="F255" s="854"/>
    </row>
    <row r="256" spans="1:18" x14ac:dyDescent="0.25">
      <c r="A256" s="854"/>
      <c r="B256" s="390" t="s">
        <v>6</v>
      </c>
      <c r="C256" s="869">
        <f>SUM(C257:C265)</f>
        <v>1</v>
      </c>
      <c r="D256" s="870"/>
      <c r="E256" s="889">
        <f>SUM(E257:E265)</f>
        <v>1.2326400000000002</v>
      </c>
      <c r="F256" s="875"/>
      <c r="G256" s="4"/>
      <c r="H256" s="4"/>
    </row>
    <row r="257" spans="1:18" hidden="1" outlineLevel="1" x14ac:dyDescent="0.25">
      <c r="A257" s="854"/>
      <c r="B257" s="394" t="s">
        <v>20</v>
      </c>
      <c r="C257" s="873">
        <v>0.02</v>
      </c>
      <c r="D257" s="854">
        <v>1</v>
      </c>
      <c r="E257" s="875">
        <f>C257*D257</f>
        <v>0.02</v>
      </c>
      <c r="F257" s="875"/>
      <c r="G257" s="4"/>
      <c r="H257" s="4"/>
    </row>
    <row r="258" spans="1:18" hidden="1" outlineLevel="1" x14ac:dyDescent="0.25">
      <c r="A258" s="854"/>
      <c r="B258" s="394" t="s">
        <v>265</v>
      </c>
      <c r="C258" s="873">
        <v>0.04</v>
      </c>
      <c r="D258" s="879" t="s">
        <v>16</v>
      </c>
      <c r="E258" s="875">
        <f>C258*(1+0.3)</f>
        <v>5.2000000000000005E-2</v>
      </c>
      <c r="F258" s="875"/>
      <c r="G258" s="4"/>
      <c r="H258" s="4"/>
    </row>
    <row r="259" spans="1:18" ht="38.25" hidden="1" outlineLevel="1" x14ac:dyDescent="0.25">
      <c r="A259" s="854"/>
      <c r="B259" s="394" t="s">
        <v>266</v>
      </c>
      <c r="C259" s="873"/>
      <c r="D259" s="879"/>
      <c r="E259" s="875"/>
      <c r="F259" s="875"/>
      <c r="G259" s="4"/>
      <c r="H259" s="4"/>
    </row>
    <row r="260" spans="1:18" hidden="1" outlineLevel="1" x14ac:dyDescent="0.25">
      <c r="A260" s="854"/>
      <c r="B260" s="877" t="s">
        <v>43</v>
      </c>
      <c r="C260" s="873">
        <v>0.33</v>
      </c>
      <c r="D260" s="879" t="s">
        <v>16</v>
      </c>
      <c r="E260" s="875">
        <f>C260*(1+0.3)</f>
        <v>0.42900000000000005</v>
      </c>
      <c r="F260" s="875"/>
      <c r="G260" s="4"/>
      <c r="H260" s="4"/>
    </row>
    <row r="261" spans="1:18" hidden="1" outlineLevel="1" x14ac:dyDescent="0.25">
      <c r="A261" s="854"/>
      <c r="B261" s="877" t="s">
        <v>267</v>
      </c>
      <c r="C261" s="873">
        <v>0.37</v>
      </c>
      <c r="D261" s="879" t="s">
        <v>16</v>
      </c>
      <c r="E261" s="875">
        <f>C261*(1+0.3)</f>
        <v>0.48099999999999998</v>
      </c>
      <c r="F261" s="875"/>
      <c r="G261" s="4"/>
      <c r="H261" s="4"/>
    </row>
    <row r="262" spans="1:18" hidden="1" outlineLevel="1" x14ac:dyDescent="0.25">
      <c r="A262" s="854"/>
      <c r="B262" s="394" t="s">
        <v>30</v>
      </c>
      <c r="C262" s="873">
        <v>7.0000000000000007E-2</v>
      </c>
      <c r="D262" s="854">
        <v>1</v>
      </c>
      <c r="E262" s="875">
        <f>C262*D262</f>
        <v>7.0000000000000007E-2</v>
      </c>
      <c r="F262" s="875"/>
      <c r="G262" s="4"/>
      <c r="H262" s="4"/>
    </row>
    <row r="263" spans="1:18" hidden="1" outlineLevel="1" x14ac:dyDescent="0.25">
      <c r="A263" s="854"/>
      <c r="B263" s="394" t="s">
        <v>274</v>
      </c>
      <c r="C263" s="873">
        <v>0.09</v>
      </c>
      <c r="D263" s="854">
        <v>1</v>
      </c>
      <c r="E263" s="875">
        <f>C263*D263</f>
        <v>0.09</v>
      </c>
      <c r="F263" s="875"/>
      <c r="G263" s="4"/>
      <c r="H263" s="4"/>
    </row>
    <row r="264" spans="1:18" ht="25.5" hidden="1" outlineLevel="1" x14ac:dyDescent="0.25">
      <c r="A264" s="854"/>
      <c r="B264" s="394" t="s">
        <v>32</v>
      </c>
      <c r="C264" s="873">
        <v>0.01</v>
      </c>
      <c r="D264" s="854">
        <v>1</v>
      </c>
      <c r="E264" s="875">
        <f>C264*D264</f>
        <v>0.01</v>
      </c>
      <c r="F264" s="875"/>
      <c r="G264" s="4"/>
      <c r="H264" s="4"/>
      <c r="I264" s="8"/>
    </row>
    <row r="265" spans="1:18" hidden="1" outlineLevel="1" x14ac:dyDescent="0.25">
      <c r="A265" s="854"/>
      <c r="B265" s="394" t="s">
        <v>34</v>
      </c>
      <c r="C265" s="873">
        <v>7.0000000000000007E-2</v>
      </c>
      <c r="D265" s="879"/>
      <c r="E265" s="890">
        <f>SUM(E257:E264)*C265</f>
        <v>8.0640000000000017E-2</v>
      </c>
      <c r="F265" s="890"/>
      <c r="G265" s="14"/>
      <c r="H265" s="14"/>
    </row>
    <row r="266" spans="1:18" s="19" customFormat="1" ht="15.75" collapsed="1" x14ac:dyDescent="0.25">
      <c r="A266" s="862"/>
      <c r="B266" s="862" t="s">
        <v>48</v>
      </c>
      <c r="C266" s="862"/>
      <c r="D266" s="862"/>
      <c r="E266" s="862"/>
      <c r="F266" s="862"/>
    </row>
    <row r="267" spans="1:18" s="19" customFormat="1" ht="15.75" x14ac:dyDescent="0.25">
      <c r="A267" s="862"/>
      <c r="B267" s="862" t="s">
        <v>49</v>
      </c>
      <c r="C267" s="862">
        <v>5.32</v>
      </c>
      <c r="D267" s="880"/>
      <c r="E267" s="862"/>
      <c r="F267" s="862"/>
    </row>
    <row r="268" spans="1:18" s="11" customFormat="1" x14ac:dyDescent="0.25">
      <c r="A268" s="862"/>
      <c r="B268" s="861" t="s">
        <v>706</v>
      </c>
      <c r="C268" s="862"/>
      <c r="D268" s="862">
        <f>D19</f>
        <v>150</v>
      </c>
      <c r="E268" s="862" t="s">
        <v>746</v>
      </c>
      <c r="F268" s="862"/>
      <c r="I268" s="13"/>
    </row>
    <row r="269" spans="1:18" s="2" customFormat="1" ht="63.75" x14ac:dyDescent="0.25">
      <c r="A269" s="854"/>
      <c r="B269" s="394" t="s">
        <v>834</v>
      </c>
      <c r="C269" s="394" t="s">
        <v>836</v>
      </c>
      <c r="D269" s="394" t="s">
        <v>925</v>
      </c>
      <c r="E269" s="854"/>
      <c r="F269" s="855">
        <f>(39+ 0*(0.4*500+0.6*150))*D270*D271*D272*C292*1000</f>
        <v>49756.160563200006</v>
      </c>
      <c r="I269"/>
      <c r="J269"/>
      <c r="K269"/>
      <c r="Q269" s="17"/>
      <c r="R269" s="17"/>
    </row>
    <row r="270" spans="1:18" s="3" customFormat="1" x14ac:dyDescent="0.25">
      <c r="A270" s="866"/>
      <c r="B270" s="865" t="s">
        <v>4</v>
      </c>
      <c r="C270" s="865" t="s">
        <v>720</v>
      </c>
      <c r="D270" s="866">
        <v>0.36</v>
      </c>
      <c r="E270" s="866"/>
      <c r="F270" s="866"/>
      <c r="I270"/>
      <c r="J270"/>
      <c r="K270"/>
    </row>
    <row r="271" spans="1:18" s="3" customFormat="1" ht="38.25" x14ac:dyDescent="0.25">
      <c r="A271" s="866"/>
      <c r="B271" s="394" t="s">
        <v>835</v>
      </c>
      <c r="C271" s="854" t="s">
        <v>530</v>
      </c>
      <c r="D271" s="867">
        <f>150/(500*0.5)</f>
        <v>0.6</v>
      </c>
      <c r="E271" s="866"/>
      <c r="F271" s="866"/>
      <c r="I271"/>
      <c r="J271"/>
      <c r="K271"/>
    </row>
    <row r="272" spans="1:18" ht="89.25" x14ac:dyDescent="0.25">
      <c r="A272" s="854"/>
      <c r="B272" s="394" t="s">
        <v>15</v>
      </c>
      <c r="C272" s="394" t="s">
        <v>35</v>
      </c>
      <c r="D272" s="854">
        <f>E273/1</f>
        <v>1.1102400000000001</v>
      </c>
      <c r="E272" s="854"/>
      <c r="F272" s="854"/>
    </row>
    <row r="273" spans="1:8" x14ac:dyDescent="0.25">
      <c r="A273" s="854"/>
      <c r="B273" s="390" t="s">
        <v>6</v>
      </c>
      <c r="C273" s="869">
        <f>SUM(C274:C290)</f>
        <v>0.99999999999999989</v>
      </c>
      <c r="D273" s="870"/>
      <c r="E273" s="908">
        <f>SUM(E274:E290)</f>
        <v>1.1102400000000001</v>
      </c>
      <c r="F273" s="875"/>
      <c r="G273" s="4"/>
      <c r="H273" s="4"/>
    </row>
    <row r="274" spans="1:8" hidden="1" outlineLevel="1" x14ac:dyDescent="0.25">
      <c r="A274" s="854"/>
      <c r="B274" s="394" t="s">
        <v>20</v>
      </c>
      <c r="C274" s="873">
        <v>0.02</v>
      </c>
      <c r="D274" s="854">
        <v>1</v>
      </c>
      <c r="E274" s="875">
        <f>C274*D274</f>
        <v>0.02</v>
      </c>
      <c r="F274" s="854"/>
    </row>
    <row r="275" spans="1:8" ht="25.5" hidden="1" outlineLevel="1" x14ac:dyDescent="0.25">
      <c r="A275" s="854"/>
      <c r="B275" s="394" t="s">
        <v>21</v>
      </c>
      <c r="C275" s="873">
        <v>0.02</v>
      </c>
      <c r="D275" s="854">
        <v>1</v>
      </c>
      <c r="E275" s="875">
        <f>C275*D275</f>
        <v>0.02</v>
      </c>
      <c r="F275" s="854"/>
    </row>
    <row r="276" spans="1:8" hidden="1" outlineLevel="1" x14ac:dyDescent="0.25">
      <c r="A276" s="854"/>
      <c r="B276" s="394" t="s">
        <v>22</v>
      </c>
      <c r="C276" s="873">
        <v>0.06</v>
      </c>
      <c r="D276" s="879" t="s">
        <v>16</v>
      </c>
      <c r="E276" s="875">
        <f>C276*(1+0.3)</f>
        <v>7.8E-2</v>
      </c>
      <c r="F276" s="854"/>
    </row>
    <row r="277" spans="1:8" hidden="1" outlineLevel="1" x14ac:dyDescent="0.25">
      <c r="A277" s="854"/>
      <c r="B277" s="394" t="s">
        <v>23</v>
      </c>
      <c r="C277" s="873">
        <v>0.12</v>
      </c>
      <c r="D277" s="879" t="s">
        <v>16</v>
      </c>
      <c r="E277" s="875">
        <f>C277*(1+0.3)</f>
        <v>0.156</v>
      </c>
      <c r="F277" s="854"/>
    </row>
    <row r="278" spans="1:8" ht="25.5" hidden="1" outlineLevel="1" x14ac:dyDescent="0.25">
      <c r="A278" s="854"/>
      <c r="B278" s="394" t="s">
        <v>343</v>
      </c>
      <c r="C278" s="873"/>
      <c r="D278" s="879"/>
      <c r="E278" s="875"/>
      <c r="F278" s="854"/>
    </row>
    <row r="279" spans="1:8" hidden="1" outlineLevel="1" x14ac:dyDescent="0.25">
      <c r="A279" s="854"/>
      <c r="B279" s="877" t="s">
        <v>37</v>
      </c>
      <c r="C279" s="873">
        <v>0.16</v>
      </c>
      <c r="D279" s="879" t="s">
        <v>16</v>
      </c>
      <c r="E279" s="875">
        <f>C279*(1+0.3)</f>
        <v>0.20800000000000002</v>
      </c>
      <c r="F279" s="854"/>
    </row>
    <row r="280" spans="1:8" hidden="1" outlineLevel="1" x14ac:dyDescent="0.25">
      <c r="A280" s="854"/>
      <c r="B280" s="877" t="s">
        <v>38</v>
      </c>
      <c r="C280" s="873">
        <v>0.02</v>
      </c>
      <c r="D280" s="854">
        <v>1</v>
      </c>
      <c r="E280" s="875">
        <f>C280*D280</f>
        <v>0.02</v>
      </c>
      <c r="F280" s="854"/>
    </row>
    <row r="281" spans="1:8" hidden="1" outlineLevel="1" x14ac:dyDescent="0.25">
      <c r="A281" s="854"/>
      <c r="B281" s="877" t="s">
        <v>39</v>
      </c>
      <c r="C281" s="873">
        <v>0.02</v>
      </c>
      <c r="D281" s="854">
        <v>1</v>
      </c>
      <c r="E281" s="875">
        <f t="shared" ref="E281:E282" si="7">C281*D281</f>
        <v>0.02</v>
      </c>
      <c r="F281" s="854"/>
    </row>
    <row r="282" spans="1:8" hidden="1" outlineLevel="1" x14ac:dyDescent="0.25">
      <c r="A282" s="854"/>
      <c r="B282" s="877" t="s">
        <v>40</v>
      </c>
      <c r="C282" s="873">
        <v>0.1</v>
      </c>
      <c r="D282" s="854">
        <v>1</v>
      </c>
      <c r="E282" s="875">
        <f t="shared" si="7"/>
        <v>0.1</v>
      </c>
      <c r="F282" s="854"/>
    </row>
    <row r="283" spans="1:8" hidden="1" outlineLevel="1" x14ac:dyDescent="0.25">
      <c r="A283" s="854"/>
      <c r="B283" s="877" t="s">
        <v>41</v>
      </c>
      <c r="C283" s="873">
        <v>0.02</v>
      </c>
      <c r="D283" s="879" t="s">
        <v>16</v>
      </c>
      <c r="E283" s="875">
        <f>C283*(1+0.3)</f>
        <v>2.6000000000000002E-2</v>
      </c>
      <c r="F283" s="854"/>
    </row>
    <row r="284" spans="1:8" hidden="1" outlineLevel="1" x14ac:dyDescent="0.25">
      <c r="A284" s="854"/>
      <c r="B284" s="877" t="s">
        <v>42</v>
      </c>
      <c r="C284" s="873">
        <v>0.01</v>
      </c>
      <c r="D284" s="854">
        <v>1</v>
      </c>
      <c r="E284" s="875">
        <f t="shared" ref="E284:E289" si="8">C284*D284</f>
        <v>0.01</v>
      </c>
      <c r="F284" s="854"/>
    </row>
    <row r="285" spans="1:8" hidden="1" outlineLevel="1" x14ac:dyDescent="0.25">
      <c r="A285" s="854"/>
      <c r="B285" s="877" t="s">
        <v>43</v>
      </c>
      <c r="C285" s="873">
        <v>0.18</v>
      </c>
      <c r="D285" s="854">
        <v>1</v>
      </c>
      <c r="E285" s="875">
        <f t="shared" si="8"/>
        <v>0.18</v>
      </c>
      <c r="F285" s="854"/>
    </row>
    <row r="286" spans="1:8" hidden="1" outlineLevel="1" x14ac:dyDescent="0.25">
      <c r="A286" s="854"/>
      <c r="B286" s="394" t="s">
        <v>30</v>
      </c>
      <c r="C286" s="873">
        <v>0.03</v>
      </c>
      <c r="D286" s="854">
        <v>1</v>
      </c>
      <c r="E286" s="875">
        <f t="shared" si="8"/>
        <v>0.03</v>
      </c>
      <c r="F286" s="854"/>
    </row>
    <row r="287" spans="1:8" hidden="1" outlineLevel="1" x14ac:dyDescent="0.25">
      <c r="A287" s="854"/>
      <c r="B287" s="394" t="s">
        <v>44</v>
      </c>
      <c r="C287" s="873">
        <v>0.09</v>
      </c>
      <c r="D287" s="854">
        <v>1</v>
      </c>
      <c r="E287" s="875">
        <f t="shared" si="8"/>
        <v>0.09</v>
      </c>
      <c r="F287" s="854"/>
    </row>
    <row r="288" spans="1:8" ht="25.5" hidden="1" outlineLevel="1" x14ac:dyDescent="0.25">
      <c r="A288" s="854"/>
      <c r="B288" s="394" t="s">
        <v>32</v>
      </c>
      <c r="C288" s="873">
        <v>0.06</v>
      </c>
      <c r="D288" s="854">
        <v>1</v>
      </c>
      <c r="E288" s="875">
        <f t="shared" si="8"/>
        <v>0.06</v>
      </c>
      <c r="F288" s="854"/>
    </row>
    <row r="289" spans="1:18" hidden="1" outlineLevel="1" x14ac:dyDescent="0.25">
      <c r="A289" s="854"/>
      <c r="B289" s="394" t="s">
        <v>45</v>
      </c>
      <c r="C289" s="873">
        <v>0.01</v>
      </c>
      <c r="D289" s="854">
        <v>1</v>
      </c>
      <c r="E289" s="875">
        <f t="shared" si="8"/>
        <v>0.01</v>
      </c>
      <c r="F289" s="854"/>
    </row>
    <row r="290" spans="1:18" hidden="1" outlineLevel="1" x14ac:dyDescent="0.25">
      <c r="A290" s="854"/>
      <c r="B290" s="394" t="s">
        <v>34</v>
      </c>
      <c r="C290" s="873">
        <v>0.08</v>
      </c>
      <c r="D290" s="879"/>
      <c r="E290" s="890">
        <f>SUM(E274:E289)*C290</f>
        <v>8.2240000000000008E-2</v>
      </c>
      <c r="F290" s="890"/>
      <c r="G290" s="14"/>
      <c r="H290" s="14"/>
    </row>
    <row r="291" spans="1:18" s="19" customFormat="1" ht="15.75" collapsed="1" x14ac:dyDescent="0.25">
      <c r="A291" s="862"/>
      <c r="B291" s="862" t="s">
        <v>48</v>
      </c>
      <c r="C291" s="862"/>
      <c r="D291" s="862"/>
      <c r="E291" s="862"/>
      <c r="F291" s="862"/>
    </row>
    <row r="292" spans="1:18" s="19" customFormat="1" ht="15.75" x14ac:dyDescent="0.25">
      <c r="A292" s="862"/>
      <c r="B292" s="862" t="s">
        <v>49</v>
      </c>
      <c r="C292" s="862">
        <v>5.32</v>
      </c>
      <c r="D292" s="880"/>
      <c r="E292" s="862"/>
      <c r="F292" s="862"/>
    </row>
    <row r="293" spans="1:18" s="356" customFormat="1" ht="15.75" x14ac:dyDescent="0.25">
      <c r="A293" s="862"/>
      <c r="B293" s="862" t="s">
        <v>683</v>
      </c>
      <c r="C293" s="862"/>
      <c r="D293" s="909">
        <v>200</v>
      </c>
      <c r="E293" s="862" t="s">
        <v>746</v>
      </c>
      <c r="F293" s="862"/>
    </row>
    <row r="294" spans="1:18" s="2" customFormat="1" ht="38.25" x14ac:dyDescent="0.25">
      <c r="A294" s="854"/>
      <c r="B294" s="394" t="s">
        <v>837</v>
      </c>
      <c r="C294" s="394" t="s">
        <v>838</v>
      </c>
      <c r="D294" s="394" t="s">
        <v>840</v>
      </c>
      <c r="E294" s="854"/>
      <c r="F294" s="855">
        <f>31*1*D295*D296*C315*1000</f>
        <v>79725.626400000008</v>
      </c>
      <c r="I294"/>
      <c r="J294"/>
      <c r="K294"/>
      <c r="Q294" s="17"/>
      <c r="R294" s="17"/>
    </row>
    <row r="295" spans="1:18" s="3" customFormat="1" x14ac:dyDescent="0.25">
      <c r="A295" s="866"/>
      <c r="B295" s="865" t="s">
        <v>4</v>
      </c>
      <c r="C295" s="865" t="s">
        <v>5</v>
      </c>
      <c r="D295" s="866">
        <v>0.4</v>
      </c>
      <c r="E295" s="866"/>
      <c r="F295" s="866"/>
      <c r="I295"/>
      <c r="J295"/>
      <c r="K295"/>
    </row>
    <row r="296" spans="1:18" s="2" customFormat="1" ht="89.25" x14ac:dyDescent="0.25">
      <c r="A296" s="854"/>
      <c r="B296" s="394" t="s">
        <v>15</v>
      </c>
      <c r="C296" s="394" t="s">
        <v>839</v>
      </c>
      <c r="D296" s="854">
        <f>E297/1</f>
        <v>1.20855</v>
      </c>
      <c r="E296" s="854"/>
      <c r="F296" s="854"/>
    </row>
    <row r="297" spans="1:18" x14ac:dyDescent="0.25">
      <c r="A297" s="854"/>
      <c r="B297" s="390" t="s">
        <v>6</v>
      </c>
      <c r="C297" s="869">
        <f>SUM(C298:C313)</f>
        <v>1</v>
      </c>
      <c r="D297" s="870"/>
      <c r="E297" s="871">
        <f>SUM(E298:E313)</f>
        <v>1.20855</v>
      </c>
      <c r="F297" s="872"/>
      <c r="G297" s="9"/>
      <c r="H297" s="9"/>
    </row>
    <row r="298" spans="1:18" hidden="1" outlineLevel="1" x14ac:dyDescent="0.25">
      <c r="A298" s="854"/>
      <c r="B298" s="394" t="s">
        <v>20</v>
      </c>
      <c r="C298" s="873">
        <v>0.02</v>
      </c>
      <c r="D298" s="879">
        <v>1</v>
      </c>
      <c r="E298" s="875">
        <f>C298*D298</f>
        <v>0.02</v>
      </c>
      <c r="F298" s="870"/>
      <c r="G298" s="6"/>
      <c r="H298" s="6"/>
    </row>
    <row r="299" spans="1:18" hidden="1" outlineLevel="1" x14ac:dyDescent="0.25">
      <c r="A299" s="854"/>
      <c r="B299" s="394" t="s">
        <v>265</v>
      </c>
      <c r="C299" s="873">
        <v>0.02</v>
      </c>
      <c r="D299" s="879" t="s">
        <v>16</v>
      </c>
      <c r="E299" s="875">
        <f>C299*(1+0.3)</f>
        <v>2.6000000000000002E-2</v>
      </c>
      <c r="F299" s="854"/>
    </row>
    <row r="300" spans="1:18" ht="38.25" hidden="1" outlineLevel="1" x14ac:dyDescent="0.25">
      <c r="A300" s="854"/>
      <c r="B300" s="394" t="s">
        <v>266</v>
      </c>
      <c r="C300" s="873"/>
      <c r="D300" s="879"/>
      <c r="E300" s="875"/>
      <c r="F300" s="854"/>
    </row>
    <row r="301" spans="1:18" hidden="1" outlineLevel="1" x14ac:dyDescent="0.25">
      <c r="A301" s="854"/>
      <c r="B301" s="877" t="s">
        <v>43</v>
      </c>
      <c r="C301" s="878">
        <v>0.245</v>
      </c>
      <c r="D301" s="879" t="s">
        <v>16</v>
      </c>
      <c r="E301" s="875">
        <f>C301*(1+0.3)</f>
        <v>0.31850000000000001</v>
      </c>
      <c r="F301" s="854"/>
    </row>
    <row r="302" spans="1:18" hidden="1" outlineLevel="1" x14ac:dyDescent="0.25">
      <c r="A302" s="854"/>
      <c r="B302" s="877" t="s">
        <v>267</v>
      </c>
      <c r="C302" s="875">
        <v>0.27500000000000002</v>
      </c>
      <c r="D302" s="879" t="s">
        <v>16</v>
      </c>
      <c r="E302" s="875">
        <f>C302*(1+0.3)</f>
        <v>0.35750000000000004</v>
      </c>
      <c r="F302" s="870"/>
      <c r="G302" s="6"/>
      <c r="H302" s="6"/>
    </row>
    <row r="303" spans="1:18" hidden="1" outlineLevel="1" x14ac:dyDescent="0.25">
      <c r="A303" s="854"/>
      <c r="B303" s="877" t="s">
        <v>268</v>
      </c>
      <c r="C303" s="878">
        <v>1.4999999999999999E-2</v>
      </c>
      <c r="D303" s="879">
        <v>1</v>
      </c>
      <c r="E303" s="875">
        <f>C303*D303</f>
        <v>1.4999999999999999E-2</v>
      </c>
      <c r="F303" s="870"/>
      <c r="G303" s="6"/>
      <c r="H303" s="6"/>
    </row>
    <row r="304" spans="1:18" hidden="1" outlineLevel="1" x14ac:dyDescent="0.25">
      <c r="A304" s="854"/>
      <c r="B304" s="877" t="s">
        <v>269</v>
      </c>
      <c r="C304" s="878">
        <v>2.5000000000000001E-2</v>
      </c>
      <c r="D304" s="879">
        <v>1</v>
      </c>
      <c r="E304" s="875">
        <f t="shared" ref="E304:E309" si="9">C304*D304</f>
        <v>2.5000000000000001E-2</v>
      </c>
      <c r="F304" s="870"/>
      <c r="G304" s="6"/>
      <c r="H304" s="6"/>
    </row>
    <row r="305" spans="1:18" hidden="1" outlineLevel="1" x14ac:dyDescent="0.25">
      <c r="A305" s="854"/>
      <c r="B305" s="877" t="s">
        <v>37</v>
      </c>
      <c r="C305" s="878">
        <v>0.1</v>
      </c>
      <c r="D305" s="879">
        <v>1</v>
      </c>
      <c r="E305" s="875">
        <f t="shared" si="9"/>
        <v>0.1</v>
      </c>
      <c r="F305" s="882"/>
      <c r="G305" s="7"/>
      <c r="H305" s="7"/>
      <c r="I305" s="8"/>
    </row>
    <row r="306" spans="1:18" hidden="1" outlineLevel="1" x14ac:dyDescent="0.25">
      <c r="A306" s="854"/>
      <c r="B306" s="877" t="s">
        <v>270</v>
      </c>
      <c r="C306" s="878">
        <v>2.5000000000000001E-2</v>
      </c>
      <c r="D306" s="879">
        <v>1</v>
      </c>
      <c r="E306" s="875">
        <f t="shared" si="9"/>
        <v>2.5000000000000001E-2</v>
      </c>
      <c r="F306" s="870"/>
      <c r="G306" s="6"/>
      <c r="H306" s="6"/>
    </row>
    <row r="307" spans="1:18" hidden="1" outlineLevel="1" x14ac:dyDescent="0.25">
      <c r="A307" s="854"/>
      <c r="B307" s="877" t="s">
        <v>271</v>
      </c>
      <c r="C307" s="878">
        <v>1.4999999999999999E-2</v>
      </c>
      <c r="D307" s="854">
        <v>1</v>
      </c>
      <c r="E307" s="875">
        <f t="shared" si="9"/>
        <v>1.4999999999999999E-2</v>
      </c>
      <c r="F307" s="854"/>
    </row>
    <row r="308" spans="1:18" ht="25.5" hidden="1" outlineLevel="1" x14ac:dyDescent="0.25">
      <c r="A308" s="854"/>
      <c r="B308" s="394" t="s">
        <v>272</v>
      </c>
      <c r="C308" s="873">
        <v>0.06</v>
      </c>
      <c r="D308" s="876">
        <v>1</v>
      </c>
      <c r="E308" s="875">
        <f t="shared" si="9"/>
        <v>0.06</v>
      </c>
      <c r="F308" s="854"/>
    </row>
    <row r="309" spans="1:18" hidden="1" outlineLevel="1" x14ac:dyDescent="0.25">
      <c r="A309" s="854"/>
      <c r="B309" s="394" t="s">
        <v>30</v>
      </c>
      <c r="C309" s="873">
        <v>0.02</v>
      </c>
      <c r="D309" s="876">
        <v>1</v>
      </c>
      <c r="E309" s="875">
        <f t="shared" si="9"/>
        <v>0.02</v>
      </c>
      <c r="F309" s="854"/>
    </row>
    <row r="310" spans="1:18" hidden="1" outlineLevel="1" x14ac:dyDescent="0.25">
      <c r="A310" s="854"/>
      <c r="B310" s="394" t="s">
        <v>273</v>
      </c>
      <c r="C310" s="873">
        <v>0.01</v>
      </c>
      <c r="D310" s="879">
        <v>1</v>
      </c>
      <c r="E310" s="875">
        <f>C310*(1+0.3)</f>
        <v>1.3000000000000001E-2</v>
      </c>
      <c r="F310" s="870"/>
      <c r="G310" s="6"/>
      <c r="H310" s="6"/>
    </row>
    <row r="311" spans="1:18" hidden="1" outlineLevel="1" x14ac:dyDescent="0.25">
      <c r="A311" s="854"/>
      <c r="B311" s="394" t="s">
        <v>274</v>
      </c>
      <c r="C311" s="873">
        <v>0.09</v>
      </c>
      <c r="D311" s="879">
        <v>1</v>
      </c>
      <c r="E311" s="875">
        <f>C311*(1+0.3)</f>
        <v>0.11699999999999999</v>
      </c>
      <c r="F311" s="870"/>
      <c r="G311" s="6"/>
      <c r="H311" s="6"/>
    </row>
    <row r="312" spans="1:18" ht="25.5" hidden="1" outlineLevel="1" x14ac:dyDescent="0.25">
      <c r="A312" s="854"/>
      <c r="B312" s="394" t="s">
        <v>32</v>
      </c>
      <c r="C312" s="873">
        <v>0.03</v>
      </c>
      <c r="D312" s="879">
        <v>1</v>
      </c>
      <c r="E312" s="875">
        <f>C312*(1+0.3)</f>
        <v>3.9E-2</v>
      </c>
      <c r="F312" s="870"/>
      <c r="G312" s="6"/>
      <c r="H312" s="6"/>
    </row>
    <row r="313" spans="1:18" hidden="1" outlineLevel="1" x14ac:dyDescent="0.25">
      <c r="A313" s="854"/>
      <c r="B313" s="394" t="s">
        <v>34</v>
      </c>
      <c r="C313" s="886">
        <v>0.05</v>
      </c>
      <c r="D313" s="854"/>
      <c r="E313" s="887">
        <f>SUM(E298:E312)*C313</f>
        <v>5.7550000000000004E-2</v>
      </c>
      <c r="F313" s="882"/>
      <c r="G313" s="7"/>
      <c r="H313" s="7"/>
      <c r="I313" s="8"/>
    </row>
    <row r="314" spans="1:18" s="19" customFormat="1" ht="15.75" collapsed="1" x14ac:dyDescent="0.25">
      <c r="A314" s="862"/>
      <c r="B314" s="862" t="s">
        <v>48</v>
      </c>
      <c r="C314" s="862"/>
      <c r="D314" s="862"/>
      <c r="E314" s="862"/>
      <c r="F314" s="862"/>
    </row>
    <row r="315" spans="1:18" s="19" customFormat="1" ht="15.75" x14ac:dyDescent="0.25">
      <c r="A315" s="862"/>
      <c r="B315" s="862" t="s">
        <v>49</v>
      </c>
      <c r="C315" s="862">
        <v>5.32</v>
      </c>
      <c r="D315" s="880"/>
      <c r="E315" s="862"/>
      <c r="F315" s="862"/>
    </row>
    <row r="316" spans="1:18" s="11" customFormat="1" x14ac:dyDescent="0.25">
      <c r="A316" s="862"/>
      <c r="B316" s="861" t="s">
        <v>689</v>
      </c>
      <c r="C316" s="862"/>
      <c r="D316" s="862">
        <f>D90</f>
        <v>1.2069600000000005</v>
      </c>
      <c r="E316" s="862" t="s">
        <v>696</v>
      </c>
      <c r="F316" s="862"/>
      <c r="I316" s="13"/>
    </row>
    <row r="317" spans="1:18" s="2" customFormat="1" ht="63.75" x14ac:dyDescent="0.25">
      <c r="A317" s="854"/>
      <c r="B317" s="394" t="s">
        <v>841</v>
      </c>
      <c r="C317" s="394" t="s">
        <v>842</v>
      </c>
      <c r="D317" s="394" t="s">
        <v>845</v>
      </c>
      <c r="E317" s="854"/>
      <c r="F317" s="855">
        <f>(25.98+4.623*10)*1*D318*D319*C339*1000</f>
        <v>179132.80968576003</v>
      </c>
      <c r="I317"/>
      <c r="J317"/>
      <c r="K317"/>
      <c r="Q317" s="17"/>
      <c r="R317" s="17"/>
    </row>
    <row r="318" spans="1:18" s="3" customFormat="1" x14ac:dyDescent="0.25">
      <c r="A318" s="866"/>
      <c r="B318" s="865" t="s">
        <v>4</v>
      </c>
      <c r="C318" s="865" t="s">
        <v>844</v>
      </c>
      <c r="D318" s="866">
        <v>0.42</v>
      </c>
      <c r="E318" s="866"/>
      <c r="F318" s="866"/>
      <c r="I318"/>
      <c r="J318"/>
      <c r="K318"/>
    </row>
    <row r="319" spans="1:18" ht="89.25" x14ac:dyDescent="0.25">
      <c r="A319" s="854"/>
      <c r="B319" s="394" t="s">
        <v>15</v>
      </c>
      <c r="C319" s="394" t="s">
        <v>843</v>
      </c>
      <c r="D319" s="854">
        <f>E320/1</f>
        <v>1.1102400000000001</v>
      </c>
      <c r="E319" s="854"/>
      <c r="F319" s="854"/>
    </row>
    <row r="320" spans="1:18" x14ac:dyDescent="0.25">
      <c r="A320" s="854"/>
      <c r="B320" s="390" t="s">
        <v>6</v>
      </c>
      <c r="C320" s="869">
        <f>SUM(C321:C337)</f>
        <v>0.99999999999999989</v>
      </c>
      <c r="D320" s="870"/>
      <c r="E320" s="908">
        <f>SUM(E321:E337)</f>
        <v>1.1102400000000001</v>
      </c>
      <c r="F320" s="875"/>
      <c r="G320" s="4"/>
      <c r="H320" s="4"/>
    </row>
    <row r="321" spans="1:6" hidden="1" outlineLevel="1" x14ac:dyDescent="0.25">
      <c r="A321" s="854"/>
      <c r="B321" s="394" t="s">
        <v>20</v>
      </c>
      <c r="C321" s="873">
        <v>0.02</v>
      </c>
      <c r="D321" s="854">
        <v>1</v>
      </c>
      <c r="E321" s="875">
        <f>C321*D321</f>
        <v>0.02</v>
      </c>
      <c r="F321" s="854"/>
    </row>
    <row r="322" spans="1:6" ht="25.5" hidden="1" outlineLevel="1" x14ac:dyDescent="0.25">
      <c r="A322" s="854"/>
      <c r="B322" s="394" t="s">
        <v>21</v>
      </c>
      <c r="C322" s="873">
        <v>0.02</v>
      </c>
      <c r="D322" s="854">
        <v>1</v>
      </c>
      <c r="E322" s="875">
        <f>C322*D322</f>
        <v>0.02</v>
      </c>
      <c r="F322" s="854"/>
    </row>
    <row r="323" spans="1:6" hidden="1" outlineLevel="1" x14ac:dyDescent="0.25">
      <c r="A323" s="854"/>
      <c r="B323" s="394" t="s">
        <v>22</v>
      </c>
      <c r="C323" s="873">
        <v>0.06</v>
      </c>
      <c r="D323" s="879" t="s">
        <v>16</v>
      </c>
      <c r="E323" s="875">
        <f>C323*(1+0.3)</f>
        <v>7.8E-2</v>
      </c>
      <c r="F323" s="854"/>
    </row>
    <row r="324" spans="1:6" hidden="1" outlineLevel="1" x14ac:dyDescent="0.25">
      <c r="A324" s="854"/>
      <c r="B324" s="394" t="s">
        <v>23</v>
      </c>
      <c r="C324" s="873">
        <v>0.12</v>
      </c>
      <c r="D324" s="879" t="s">
        <v>16</v>
      </c>
      <c r="E324" s="875">
        <f>C324*(1+0.3)</f>
        <v>0.156</v>
      </c>
      <c r="F324" s="854"/>
    </row>
    <row r="325" spans="1:6" ht="25.5" hidden="1" outlineLevel="1" x14ac:dyDescent="0.25">
      <c r="A325" s="854"/>
      <c r="B325" s="394" t="s">
        <v>343</v>
      </c>
      <c r="C325" s="873"/>
      <c r="D325" s="879"/>
      <c r="E325" s="875"/>
      <c r="F325" s="854"/>
    </row>
    <row r="326" spans="1:6" hidden="1" outlineLevel="1" x14ac:dyDescent="0.25">
      <c r="A326" s="854"/>
      <c r="B326" s="877" t="s">
        <v>37</v>
      </c>
      <c r="C326" s="873">
        <v>0.16</v>
      </c>
      <c r="D326" s="879" t="s">
        <v>16</v>
      </c>
      <c r="E326" s="875">
        <f>C326*(1+0.3)</f>
        <v>0.20800000000000002</v>
      </c>
      <c r="F326" s="854"/>
    </row>
    <row r="327" spans="1:6" hidden="1" outlineLevel="1" x14ac:dyDescent="0.25">
      <c r="A327" s="854"/>
      <c r="B327" s="877" t="s">
        <v>38</v>
      </c>
      <c r="C327" s="873">
        <v>0.02</v>
      </c>
      <c r="D327" s="854">
        <v>1</v>
      </c>
      <c r="E327" s="875">
        <f>C327*D327</f>
        <v>0.02</v>
      </c>
      <c r="F327" s="854"/>
    </row>
    <row r="328" spans="1:6" hidden="1" outlineLevel="1" x14ac:dyDescent="0.25">
      <c r="A328" s="854"/>
      <c r="B328" s="877" t="s">
        <v>39</v>
      </c>
      <c r="C328" s="873">
        <v>0.02</v>
      </c>
      <c r="D328" s="854">
        <v>1</v>
      </c>
      <c r="E328" s="875">
        <f t="shared" ref="E328:E329" si="10">C328*D328</f>
        <v>0.02</v>
      </c>
      <c r="F328" s="854"/>
    </row>
    <row r="329" spans="1:6" hidden="1" outlineLevel="1" x14ac:dyDescent="0.25">
      <c r="A329" s="854"/>
      <c r="B329" s="877" t="s">
        <v>40</v>
      </c>
      <c r="C329" s="873">
        <v>0.1</v>
      </c>
      <c r="D329" s="854">
        <v>1</v>
      </c>
      <c r="E329" s="875">
        <f t="shared" si="10"/>
        <v>0.1</v>
      </c>
      <c r="F329" s="854"/>
    </row>
    <row r="330" spans="1:6" hidden="1" outlineLevel="1" x14ac:dyDescent="0.25">
      <c r="A330" s="854"/>
      <c r="B330" s="877" t="s">
        <v>41</v>
      </c>
      <c r="C330" s="873">
        <v>0.02</v>
      </c>
      <c r="D330" s="879" t="s">
        <v>16</v>
      </c>
      <c r="E330" s="875">
        <f>C330*(1+0.3)</f>
        <v>2.6000000000000002E-2</v>
      </c>
      <c r="F330" s="854"/>
    </row>
    <row r="331" spans="1:6" hidden="1" outlineLevel="1" x14ac:dyDescent="0.25">
      <c r="A331" s="854"/>
      <c r="B331" s="877" t="s">
        <v>42</v>
      </c>
      <c r="C331" s="873">
        <v>0.01</v>
      </c>
      <c r="D331" s="854">
        <v>1</v>
      </c>
      <c r="E331" s="875">
        <f t="shared" ref="E331:E335" si="11">C331*D331</f>
        <v>0.01</v>
      </c>
      <c r="F331" s="854"/>
    </row>
    <row r="332" spans="1:6" hidden="1" outlineLevel="1" x14ac:dyDescent="0.25">
      <c r="A332" s="854"/>
      <c r="B332" s="877" t="s">
        <v>43</v>
      </c>
      <c r="C332" s="873">
        <v>0.18</v>
      </c>
      <c r="D332" s="854">
        <v>1</v>
      </c>
      <c r="E332" s="875">
        <f t="shared" si="11"/>
        <v>0.18</v>
      </c>
      <c r="F332" s="854"/>
    </row>
    <row r="333" spans="1:6" hidden="1" outlineLevel="1" x14ac:dyDescent="0.25">
      <c r="A333" s="854"/>
      <c r="B333" s="394" t="s">
        <v>30</v>
      </c>
      <c r="C333" s="873">
        <v>0.03</v>
      </c>
      <c r="D333" s="854">
        <v>1</v>
      </c>
      <c r="E333" s="875">
        <f t="shared" si="11"/>
        <v>0.03</v>
      </c>
      <c r="F333" s="854"/>
    </row>
    <row r="334" spans="1:6" hidden="1" outlineLevel="1" x14ac:dyDescent="0.25">
      <c r="A334" s="854"/>
      <c r="B334" s="394" t="s">
        <v>44</v>
      </c>
      <c r="C334" s="873">
        <v>0.09</v>
      </c>
      <c r="D334" s="854">
        <v>1</v>
      </c>
      <c r="E334" s="875">
        <f t="shared" si="11"/>
        <v>0.09</v>
      </c>
      <c r="F334" s="854"/>
    </row>
    <row r="335" spans="1:6" ht="25.5" hidden="1" outlineLevel="1" x14ac:dyDescent="0.25">
      <c r="A335" s="854"/>
      <c r="B335" s="394" t="s">
        <v>32</v>
      </c>
      <c r="C335" s="873">
        <v>0.06</v>
      </c>
      <c r="D335" s="854">
        <v>1</v>
      </c>
      <c r="E335" s="875">
        <f t="shared" si="11"/>
        <v>0.06</v>
      </c>
      <c r="F335" s="854"/>
    </row>
    <row r="336" spans="1:6" hidden="1" outlineLevel="1" x14ac:dyDescent="0.25">
      <c r="A336" s="854"/>
      <c r="B336" s="394" t="s">
        <v>45</v>
      </c>
      <c r="C336" s="873">
        <v>0.01</v>
      </c>
      <c r="D336" s="854">
        <v>1</v>
      </c>
      <c r="E336" s="875">
        <f>C336*D336</f>
        <v>0.01</v>
      </c>
      <c r="F336" s="854"/>
    </row>
    <row r="337" spans="1:18" hidden="1" outlineLevel="1" x14ac:dyDescent="0.25">
      <c r="A337" s="854"/>
      <c r="B337" s="394" t="s">
        <v>34</v>
      </c>
      <c r="C337" s="873">
        <v>0.08</v>
      </c>
      <c r="D337" s="879"/>
      <c r="E337" s="890">
        <f>SUM(E321:E336)*C337</f>
        <v>8.2240000000000008E-2</v>
      </c>
      <c r="F337" s="890"/>
      <c r="G337" s="14"/>
      <c r="H337" s="14"/>
    </row>
    <row r="338" spans="1:18" s="19" customFormat="1" ht="15.75" collapsed="1" x14ac:dyDescent="0.25">
      <c r="A338" s="862"/>
      <c r="B338" s="862" t="s">
        <v>48</v>
      </c>
      <c r="C338" s="862"/>
      <c r="D338" s="862"/>
      <c r="E338" s="862"/>
      <c r="F338" s="862"/>
    </row>
    <row r="339" spans="1:18" s="19" customFormat="1" ht="15.75" x14ac:dyDescent="0.25">
      <c r="A339" s="862"/>
      <c r="B339" s="862" t="s">
        <v>49</v>
      </c>
      <c r="C339" s="862">
        <v>5.32</v>
      </c>
      <c r="D339" s="880"/>
      <c r="E339" s="862"/>
      <c r="F339" s="862"/>
    </row>
    <row r="340" spans="1:18" s="11" customFormat="1" x14ac:dyDescent="0.25">
      <c r="A340" s="862"/>
      <c r="B340" s="861" t="s">
        <v>848</v>
      </c>
      <c r="C340" s="862"/>
      <c r="D340" s="862">
        <v>8</v>
      </c>
      <c r="E340" s="862" t="s">
        <v>892</v>
      </c>
      <c r="F340" s="862"/>
      <c r="I340" s="13"/>
    </row>
    <row r="341" spans="1:18" s="2" customFormat="1" ht="51" x14ac:dyDescent="0.25">
      <c r="A341" s="854"/>
      <c r="B341" s="394" t="s">
        <v>853</v>
      </c>
      <c r="C341" s="394" t="s">
        <v>850</v>
      </c>
      <c r="D341" s="394" t="s">
        <v>891</v>
      </c>
      <c r="E341" s="854"/>
      <c r="F341" s="855">
        <f>(36.61+4.57*8)*1*D342*D343*C363*1000</f>
        <v>216088.45372800005</v>
      </c>
      <c r="I341"/>
      <c r="J341"/>
      <c r="K341"/>
      <c r="Q341" s="17"/>
      <c r="R341" s="17"/>
    </row>
    <row r="342" spans="1:18" s="3" customFormat="1" x14ac:dyDescent="0.25">
      <c r="A342" s="866"/>
      <c r="B342" s="865" t="s">
        <v>4</v>
      </c>
      <c r="C342" s="865" t="s">
        <v>852</v>
      </c>
      <c r="D342" s="866">
        <v>0.5</v>
      </c>
      <c r="E342" s="866"/>
      <c r="F342" s="866"/>
      <c r="I342"/>
      <c r="J342"/>
      <c r="K342"/>
    </row>
    <row r="343" spans="1:18" ht="89.25" x14ac:dyDescent="0.25">
      <c r="A343" s="854"/>
      <c r="B343" s="394" t="s">
        <v>15</v>
      </c>
      <c r="C343" s="394" t="s">
        <v>843</v>
      </c>
      <c r="D343" s="854">
        <f>E344/1</f>
        <v>1.1102400000000001</v>
      </c>
      <c r="E343" s="854"/>
      <c r="F343" s="854"/>
    </row>
    <row r="344" spans="1:18" x14ac:dyDescent="0.25">
      <c r="A344" s="854"/>
      <c r="B344" s="390" t="s">
        <v>6</v>
      </c>
      <c r="C344" s="869">
        <f>SUM(C345:C361)</f>
        <v>0.99999999999999989</v>
      </c>
      <c r="D344" s="870"/>
      <c r="E344" s="908">
        <f>SUM(E345:E361)</f>
        <v>1.1102400000000001</v>
      </c>
      <c r="F344" s="875"/>
      <c r="G344" s="4"/>
      <c r="H344" s="4"/>
    </row>
    <row r="345" spans="1:18" hidden="1" outlineLevel="1" x14ac:dyDescent="0.25">
      <c r="A345" s="854"/>
      <c r="B345" s="394" t="s">
        <v>20</v>
      </c>
      <c r="C345" s="873">
        <v>0.02</v>
      </c>
      <c r="D345" s="854">
        <v>1</v>
      </c>
      <c r="E345" s="875">
        <f>C345*D345</f>
        <v>0.02</v>
      </c>
      <c r="F345" s="854"/>
    </row>
    <row r="346" spans="1:18" ht="25.5" hidden="1" outlineLevel="1" x14ac:dyDescent="0.25">
      <c r="A346" s="854"/>
      <c r="B346" s="394" t="s">
        <v>21</v>
      </c>
      <c r="C346" s="873">
        <v>0.02</v>
      </c>
      <c r="D346" s="854">
        <v>1</v>
      </c>
      <c r="E346" s="875">
        <f>C346*D346</f>
        <v>0.02</v>
      </c>
      <c r="F346" s="854"/>
    </row>
    <row r="347" spans="1:18" hidden="1" outlineLevel="1" x14ac:dyDescent="0.25">
      <c r="A347" s="854"/>
      <c r="B347" s="394" t="s">
        <v>22</v>
      </c>
      <c r="C347" s="873">
        <v>0.06</v>
      </c>
      <c r="D347" s="879" t="s">
        <v>16</v>
      </c>
      <c r="E347" s="875">
        <f>C347*(1+0.3)</f>
        <v>7.8E-2</v>
      </c>
      <c r="F347" s="854"/>
    </row>
    <row r="348" spans="1:18" hidden="1" outlineLevel="1" x14ac:dyDescent="0.25">
      <c r="A348" s="854"/>
      <c r="B348" s="394" t="s">
        <v>23</v>
      </c>
      <c r="C348" s="873">
        <v>0.12</v>
      </c>
      <c r="D348" s="879" t="s">
        <v>16</v>
      </c>
      <c r="E348" s="875">
        <f>C348*(1+0.3)</f>
        <v>0.156</v>
      </c>
      <c r="F348" s="854"/>
    </row>
    <row r="349" spans="1:18" ht="25.5" hidden="1" outlineLevel="1" x14ac:dyDescent="0.25">
      <c r="A349" s="854"/>
      <c r="B349" s="394" t="s">
        <v>343</v>
      </c>
      <c r="C349" s="873"/>
      <c r="D349" s="879"/>
      <c r="E349" s="875"/>
      <c r="F349" s="854"/>
    </row>
    <row r="350" spans="1:18" hidden="1" outlineLevel="1" x14ac:dyDescent="0.25">
      <c r="A350" s="854"/>
      <c r="B350" s="877" t="s">
        <v>37</v>
      </c>
      <c r="C350" s="873">
        <v>0.16</v>
      </c>
      <c r="D350" s="879" t="s">
        <v>16</v>
      </c>
      <c r="E350" s="875">
        <f>C350*(1+0.3)</f>
        <v>0.20800000000000002</v>
      </c>
      <c r="F350" s="854"/>
    </row>
    <row r="351" spans="1:18" hidden="1" outlineLevel="1" x14ac:dyDescent="0.25">
      <c r="A351" s="854"/>
      <c r="B351" s="877" t="s">
        <v>38</v>
      </c>
      <c r="C351" s="873">
        <v>0.02</v>
      </c>
      <c r="D351" s="854">
        <v>1</v>
      </c>
      <c r="E351" s="875">
        <f>C351*D351</f>
        <v>0.02</v>
      </c>
      <c r="F351" s="854"/>
    </row>
    <row r="352" spans="1:18" hidden="1" outlineLevel="1" x14ac:dyDescent="0.25">
      <c r="A352" s="854"/>
      <c r="B352" s="877" t="s">
        <v>39</v>
      </c>
      <c r="C352" s="873">
        <v>0.02</v>
      </c>
      <c r="D352" s="854">
        <v>1</v>
      </c>
      <c r="E352" s="875">
        <f t="shared" ref="E352:E353" si="12">C352*D352</f>
        <v>0.02</v>
      </c>
      <c r="F352" s="854"/>
    </row>
    <row r="353" spans="1:18" hidden="1" outlineLevel="1" x14ac:dyDescent="0.25">
      <c r="A353" s="854"/>
      <c r="B353" s="877" t="s">
        <v>40</v>
      </c>
      <c r="C353" s="873">
        <v>0.1</v>
      </c>
      <c r="D353" s="854">
        <v>1</v>
      </c>
      <c r="E353" s="875">
        <f t="shared" si="12"/>
        <v>0.1</v>
      </c>
      <c r="F353" s="854"/>
    </row>
    <row r="354" spans="1:18" hidden="1" outlineLevel="1" x14ac:dyDescent="0.25">
      <c r="A354" s="854"/>
      <c r="B354" s="877" t="s">
        <v>41</v>
      </c>
      <c r="C354" s="873">
        <v>0.02</v>
      </c>
      <c r="D354" s="879" t="s">
        <v>16</v>
      </c>
      <c r="E354" s="875">
        <f>C354*(1+0.3)</f>
        <v>2.6000000000000002E-2</v>
      </c>
      <c r="F354" s="854"/>
    </row>
    <row r="355" spans="1:18" hidden="1" outlineLevel="1" x14ac:dyDescent="0.25">
      <c r="A355" s="854"/>
      <c r="B355" s="877" t="s">
        <v>42</v>
      </c>
      <c r="C355" s="873">
        <v>0.01</v>
      </c>
      <c r="D355" s="854">
        <v>1</v>
      </c>
      <c r="E355" s="875">
        <f t="shared" ref="E355:E359" si="13">C355*D355</f>
        <v>0.01</v>
      </c>
      <c r="F355" s="854"/>
    </row>
    <row r="356" spans="1:18" hidden="1" outlineLevel="1" x14ac:dyDescent="0.25">
      <c r="A356" s="854"/>
      <c r="B356" s="877" t="s">
        <v>43</v>
      </c>
      <c r="C356" s="873">
        <v>0.18</v>
      </c>
      <c r="D356" s="854">
        <v>1</v>
      </c>
      <c r="E356" s="875">
        <f t="shared" si="13"/>
        <v>0.18</v>
      </c>
      <c r="F356" s="854"/>
    </row>
    <row r="357" spans="1:18" hidden="1" outlineLevel="1" x14ac:dyDescent="0.25">
      <c r="A357" s="854"/>
      <c r="B357" s="394" t="s">
        <v>30</v>
      </c>
      <c r="C357" s="873">
        <v>0.03</v>
      </c>
      <c r="D357" s="854">
        <v>1</v>
      </c>
      <c r="E357" s="875">
        <f t="shared" si="13"/>
        <v>0.03</v>
      </c>
      <c r="F357" s="854"/>
    </row>
    <row r="358" spans="1:18" hidden="1" outlineLevel="1" x14ac:dyDescent="0.25">
      <c r="A358" s="854"/>
      <c r="B358" s="394" t="s">
        <v>44</v>
      </c>
      <c r="C358" s="873">
        <v>0.09</v>
      </c>
      <c r="D358" s="854">
        <v>1</v>
      </c>
      <c r="E358" s="875">
        <f t="shared" si="13"/>
        <v>0.09</v>
      </c>
      <c r="F358" s="854"/>
    </row>
    <row r="359" spans="1:18" ht="25.5" hidden="1" outlineLevel="1" x14ac:dyDescent="0.25">
      <c r="A359" s="854"/>
      <c r="B359" s="394" t="s">
        <v>32</v>
      </c>
      <c r="C359" s="873">
        <v>0.06</v>
      </c>
      <c r="D359" s="854">
        <v>1</v>
      </c>
      <c r="E359" s="875">
        <f t="shared" si="13"/>
        <v>0.06</v>
      </c>
      <c r="F359" s="854"/>
    </row>
    <row r="360" spans="1:18" hidden="1" outlineLevel="1" x14ac:dyDescent="0.25">
      <c r="A360" s="854"/>
      <c r="B360" s="394" t="s">
        <v>45</v>
      </c>
      <c r="C360" s="873">
        <v>0.01</v>
      </c>
      <c r="D360" s="854">
        <v>1</v>
      </c>
      <c r="E360" s="875">
        <f>C360*D360</f>
        <v>0.01</v>
      </c>
      <c r="F360" s="854"/>
    </row>
    <row r="361" spans="1:18" hidden="1" outlineLevel="1" x14ac:dyDescent="0.25">
      <c r="A361" s="854"/>
      <c r="B361" s="394" t="s">
        <v>34</v>
      </c>
      <c r="C361" s="873">
        <v>0.08</v>
      </c>
      <c r="D361" s="879"/>
      <c r="E361" s="890">
        <f>SUM(E345:E360)*C361</f>
        <v>8.2240000000000008E-2</v>
      </c>
      <c r="F361" s="890"/>
      <c r="G361" s="14"/>
      <c r="H361" s="14"/>
    </row>
    <row r="362" spans="1:18" s="19" customFormat="1" ht="15.75" collapsed="1" x14ac:dyDescent="0.25">
      <c r="A362" s="862"/>
      <c r="B362" s="862" t="s">
        <v>48</v>
      </c>
      <c r="C362" s="862"/>
      <c r="D362" s="862"/>
      <c r="E362" s="862"/>
      <c r="F362" s="862"/>
    </row>
    <row r="363" spans="1:18" s="19" customFormat="1" ht="15.75" x14ac:dyDescent="0.25">
      <c r="A363" s="862"/>
      <c r="B363" s="862" t="s">
        <v>49</v>
      </c>
      <c r="C363" s="862">
        <v>5.32</v>
      </c>
      <c r="D363" s="880"/>
      <c r="E363" s="862"/>
      <c r="F363" s="862"/>
    </row>
    <row r="364" spans="1:18" s="11" customFormat="1" x14ac:dyDescent="0.25">
      <c r="A364" s="862"/>
      <c r="B364" s="861" t="s">
        <v>859</v>
      </c>
      <c r="C364" s="862"/>
      <c r="D364" s="862"/>
      <c r="E364" s="862" t="s">
        <v>862</v>
      </c>
      <c r="F364" s="862"/>
      <c r="I364" s="13"/>
    </row>
    <row r="365" spans="1:18" s="2" customFormat="1" ht="38.25" x14ac:dyDescent="0.25">
      <c r="A365" s="854"/>
      <c r="B365" s="394" t="s">
        <v>860</v>
      </c>
      <c r="C365" s="394" t="s">
        <v>861</v>
      </c>
      <c r="D365" s="394" t="s">
        <v>865</v>
      </c>
      <c r="E365" s="854"/>
      <c r="F365" s="855">
        <f>39.55*D364*D367*D366*D368*C388*1000</f>
        <v>0</v>
      </c>
      <c r="I365"/>
      <c r="J365"/>
      <c r="K365"/>
      <c r="Q365" s="17"/>
      <c r="R365" s="17"/>
    </row>
    <row r="366" spans="1:18" s="3" customFormat="1" x14ac:dyDescent="0.25">
      <c r="A366" s="866"/>
      <c r="B366" s="865" t="s">
        <v>4</v>
      </c>
      <c r="C366" s="865" t="s">
        <v>852</v>
      </c>
      <c r="D366" s="866">
        <v>0.5</v>
      </c>
      <c r="E366" s="866"/>
      <c r="F366" s="866"/>
      <c r="I366"/>
      <c r="J366"/>
      <c r="K366"/>
    </row>
    <row r="367" spans="1:18" s="3" customFormat="1" x14ac:dyDescent="0.25">
      <c r="A367" s="866"/>
      <c r="B367" s="865" t="s">
        <v>863</v>
      </c>
      <c r="C367" s="865" t="s">
        <v>864</v>
      </c>
      <c r="D367" s="866">
        <v>0.2</v>
      </c>
      <c r="E367" s="866"/>
      <c r="F367" s="866"/>
      <c r="I367"/>
      <c r="J367"/>
      <c r="K367"/>
    </row>
    <row r="368" spans="1:18" ht="89.25" x14ac:dyDescent="0.25">
      <c r="A368" s="854"/>
      <c r="B368" s="394" t="s">
        <v>15</v>
      </c>
      <c r="C368" s="394" t="s">
        <v>843</v>
      </c>
      <c r="D368" s="854">
        <f>E369/1</f>
        <v>1.1102400000000001</v>
      </c>
      <c r="E368" s="854"/>
      <c r="F368" s="854"/>
    </row>
    <row r="369" spans="1:8" x14ac:dyDescent="0.25">
      <c r="A369" s="854"/>
      <c r="B369" s="390" t="s">
        <v>6</v>
      </c>
      <c r="C369" s="869">
        <f>SUM(C370:C386)</f>
        <v>0.99999999999999989</v>
      </c>
      <c r="D369" s="870"/>
      <c r="E369" s="908">
        <f>SUM(E370:E386)</f>
        <v>1.1102400000000001</v>
      </c>
      <c r="F369" s="875"/>
      <c r="G369" s="4"/>
      <c r="H369" s="4"/>
    </row>
    <row r="370" spans="1:8" hidden="1" outlineLevel="1" x14ac:dyDescent="0.25">
      <c r="A370" s="854"/>
      <c r="B370" s="394" t="s">
        <v>20</v>
      </c>
      <c r="C370" s="873">
        <v>0.02</v>
      </c>
      <c r="D370" s="854">
        <v>1</v>
      </c>
      <c r="E370" s="875">
        <f>C370*D370</f>
        <v>0.02</v>
      </c>
      <c r="F370" s="854"/>
    </row>
    <row r="371" spans="1:8" ht="25.5" hidden="1" outlineLevel="1" x14ac:dyDescent="0.25">
      <c r="A371" s="854"/>
      <c r="B371" s="394" t="s">
        <v>21</v>
      </c>
      <c r="C371" s="873">
        <v>0.02</v>
      </c>
      <c r="D371" s="854">
        <v>1</v>
      </c>
      <c r="E371" s="875">
        <f>C371*D371</f>
        <v>0.02</v>
      </c>
      <c r="F371" s="854"/>
    </row>
    <row r="372" spans="1:8" hidden="1" outlineLevel="1" x14ac:dyDescent="0.25">
      <c r="A372" s="854"/>
      <c r="B372" s="394" t="s">
        <v>22</v>
      </c>
      <c r="C372" s="873">
        <v>0.06</v>
      </c>
      <c r="D372" s="879" t="s">
        <v>16</v>
      </c>
      <c r="E372" s="875">
        <f>C372*(1+0.3)</f>
        <v>7.8E-2</v>
      </c>
      <c r="F372" s="854"/>
    </row>
    <row r="373" spans="1:8" hidden="1" outlineLevel="1" x14ac:dyDescent="0.25">
      <c r="A373" s="854"/>
      <c r="B373" s="394" t="s">
        <v>23</v>
      </c>
      <c r="C373" s="873">
        <v>0.12</v>
      </c>
      <c r="D373" s="879" t="s">
        <v>16</v>
      </c>
      <c r="E373" s="875">
        <f>C373*(1+0.3)</f>
        <v>0.156</v>
      </c>
      <c r="F373" s="854"/>
    </row>
    <row r="374" spans="1:8" ht="25.5" hidden="1" outlineLevel="1" x14ac:dyDescent="0.25">
      <c r="A374" s="854"/>
      <c r="B374" s="394" t="s">
        <v>343</v>
      </c>
      <c r="C374" s="873"/>
      <c r="D374" s="879"/>
      <c r="E374" s="875"/>
      <c r="F374" s="854"/>
    </row>
    <row r="375" spans="1:8" hidden="1" outlineLevel="1" x14ac:dyDescent="0.25">
      <c r="A375" s="854"/>
      <c r="B375" s="877" t="s">
        <v>37</v>
      </c>
      <c r="C375" s="873">
        <v>0.16</v>
      </c>
      <c r="D375" s="879" t="s">
        <v>16</v>
      </c>
      <c r="E375" s="875">
        <f>C375*(1+0.3)</f>
        <v>0.20800000000000002</v>
      </c>
      <c r="F375" s="854"/>
    </row>
    <row r="376" spans="1:8" hidden="1" outlineLevel="1" x14ac:dyDescent="0.25">
      <c r="A376" s="854"/>
      <c r="B376" s="877" t="s">
        <v>38</v>
      </c>
      <c r="C376" s="873">
        <v>0.02</v>
      </c>
      <c r="D376" s="854">
        <v>1</v>
      </c>
      <c r="E376" s="875">
        <f>C376*D376</f>
        <v>0.02</v>
      </c>
      <c r="F376" s="854"/>
    </row>
    <row r="377" spans="1:8" hidden="1" outlineLevel="1" x14ac:dyDescent="0.25">
      <c r="A377" s="854"/>
      <c r="B377" s="877" t="s">
        <v>39</v>
      </c>
      <c r="C377" s="873">
        <v>0.02</v>
      </c>
      <c r="D377" s="854">
        <v>1</v>
      </c>
      <c r="E377" s="875">
        <f t="shared" ref="E377:E378" si="14">C377*D377</f>
        <v>0.02</v>
      </c>
      <c r="F377" s="854"/>
    </row>
    <row r="378" spans="1:8" hidden="1" outlineLevel="1" x14ac:dyDescent="0.25">
      <c r="A378" s="854"/>
      <c r="B378" s="877" t="s">
        <v>40</v>
      </c>
      <c r="C378" s="873">
        <v>0.1</v>
      </c>
      <c r="D378" s="854">
        <v>1</v>
      </c>
      <c r="E378" s="875">
        <f t="shared" si="14"/>
        <v>0.1</v>
      </c>
      <c r="F378" s="854"/>
    </row>
    <row r="379" spans="1:8" hidden="1" outlineLevel="1" x14ac:dyDescent="0.25">
      <c r="A379" s="854"/>
      <c r="B379" s="877" t="s">
        <v>41</v>
      </c>
      <c r="C379" s="873">
        <v>0.02</v>
      </c>
      <c r="D379" s="879" t="s">
        <v>16</v>
      </c>
      <c r="E379" s="875">
        <f>C379*(1+0.3)</f>
        <v>2.6000000000000002E-2</v>
      </c>
      <c r="F379" s="854"/>
    </row>
    <row r="380" spans="1:8" hidden="1" outlineLevel="1" x14ac:dyDescent="0.25">
      <c r="A380" s="854"/>
      <c r="B380" s="877" t="s">
        <v>42</v>
      </c>
      <c r="C380" s="873">
        <v>0.01</v>
      </c>
      <c r="D380" s="854">
        <v>1</v>
      </c>
      <c r="E380" s="875">
        <f t="shared" ref="E380:E384" si="15">C380*D380</f>
        <v>0.01</v>
      </c>
      <c r="F380" s="854"/>
    </row>
    <row r="381" spans="1:8" hidden="1" outlineLevel="1" x14ac:dyDescent="0.25">
      <c r="A381" s="854"/>
      <c r="B381" s="877" t="s">
        <v>43</v>
      </c>
      <c r="C381" s="873">
        <v>0.18</v>
      </c>
      <c r="D381" s="854">
        <v>1</v>
      </c>
      <c r="E381" s="875">
        <f t="shared" si="15"/>
        <v>0.18</v>
      </c>
      <c r="F381" s="854"/>
    </row>
    <row r="382" spans="1:8" hidden="1" outlineLevel="1" x14ac:dyDescent="0.25">
      <c r="A382" s="854"/>
      <c r="B382" s="394" t="s">
        <v>30</v>
      </c>
      <c r="C382" s="873">
        <v>0.03</v>
      </c>
      <c r="D382" s="854">
        <v>1</v>
      </c>
      <c r="E382" s="875">
        <f t="shared" si="15"/>
        <v>0.03</v>
      </c>
      <c r="F382" s="854"/>
    </row>
    <row r="383" spans="1:8" hidden="1" outlineLevel="1" x14ac:dyDescent="0.25">
      <c r="A383" s="854"/>
      <c r="B383" s="394" t="s">
        <v>44</v>
      </c>
      <c r="C383" s="873">
        <v>0.09</v>
      </c>
      <c r="D383" s="854">
        <v>1</v>
      </c>
      <c r="E383" s="875">
        <f t="shared" si="15"/>
        <v>0.09</v>
      </c>
      <c r="F383" s="854"/>
    </row>
    <row r="384" spans="1:8" ht="25.5" hidden="1" outlineLevel="1" x14ac:dyDescent="0.25">
      <c r="A384" s="854"/>
      <c r="B384" s="394" t="s">
        <v>32</v>
      </c>
      <c r="C384" s="873">
        <v>0.06</v>
      </c>
      <c r="D384" s="854">
        <v>1</v>
      </c>
      <c r="E384" s="875">
        <f t="shared" si="15"/>
        <v>0.06</v>
      </c>
      <c r="F384" s="854"/>
    </row>
    <row r="385" spans="1:18" hidden="1" outlineLevel="1" x14ac:dyDescent="0.25">
      <c r="A385" s="854"/>
      <c r="B385" s="394" t="s">
        <v>45</v>
      </c>
      <c r="C385" s="873">
        <v>0.01</v>
      </c>
      <c r="D385" s="854">
        <v>1</v>
      </c>
      <c r="E385" s="875">
        <f>C385*D385</f>
        <v>0.01</v>
      </c>
      <c r="F385" s="854"/>
    </row>
    <row r="386" spans="1:18" hidden="1" outlineLevel="1" x14ac:dyDescent="0.25">
      <c r="A386" s="854"/>
      <c r="B386" s="394" t="s">
        <v>34</v>
      </c>
      <c r="C386" s="873">
        <v>0.08</v>
      </c>
      <c r="D386" s="879"/>
      <c r="E386" s="890">
        <f>SUM(E370:E385)*C386</f>
        <v>8.2240000000000008E-2</v>
      </c>
      <c r="F386" s="890"/>
      <c r="G386" s="14"/>
      <c r="H386" s="14"/>
    </row>
    <row r="387" spans="1:18" s="19" customFormat="1" ht="15.75" collapsed="1" x14ac:dyDescent="0.25">
      <c r="A387" s="862"/>
      <c r="B387" s="862" t="s">
        <v>48</v>
      </c>
      <c r="C387" s="862"/>
      <c r="D387" s="862"/>
      <c r="E387" s="862"/>
      <c r="F387" s="862"/>
    </row>
    <row r="388" spans="1:18" s="19" customFormat="1" ht="15.75" x14ac:dyDescent="0.25">
      <c r="A388" s="862"/>
      <c r="B388" s="862" t="s">
        <v>49</v>
      </c>
      <c r="C388" s="862">
        <v>5.32</v>
      </c>
      <c r="D388" s="880"/>
      <c r="E388" s="862"/>
      <c r="F388" s="862"/>
    </row>
    <row r="389" spans="1:18" s="11" customFormat="1" x14ac:dyDescent="0.25">
      <c r="A389" s="862"/>
      <c r="B389" s="861" t="s">
        <v>854</v>
      </c>
      <c r="C389" s="862"/>
      <c r="D389" s="862">
        <v>0</v>
      </c>
      <c r="E389" s="862" t="s">
        <v>855</v>
      </c>
      <c r="F389" s="862"/>
      <c r="I389" s="13"/>
    </row>
    <row r="390" spans="1:18" s="2" customFormat="1" ht="63.75" x14ac:dyDescent="0.25">
      <c r="A390" s="854"/>
      <c r="B390" s="394" t="s">
        <v>856</v>
      </c>
      <c r="C390" s="394" t="s">
        <v>857</v>
      </c>
      <c r="D390" s="394" t="s">
        <v>858</v>
      </c>
      <c r="E390" s="854"/>
      <c r="F390" s="855">
        <f>2.4*D389*D391*D392*C412*1000</f>
        <v>0</v>
      </c>
      <c r="I390"/>
      <c r="J390"/>
      <c r="K390"/>
      <c r="Q390" s="17"/>
      <c r="R390" s="17"/>
    </row>
    <row r="391" spans="1:18" s="3" customFormat="1" x14ac:dyDescent="0.25">
      <c r="A391" s="866"/>
      <c r="B391" s="865" t="s">
        <v>4</v>
      </c>
      <c r="C391" s="865" t="s">
        <v>852</v>
      </c>
      <c r="D391" s="866">
        <v>0.5</v>
      </c>
      <c r="E391" s="866"/>
      <c r="F391" s="866"/>
      <c r="I391"/>
      <c r="J391"/>
      <c r="K391"/>
    </row>
    <row r="392" spans="1:18" ht="89.25" x14ac:dyDescent="0.25">
      <c r="A392" s="854"/>
      <c r="B392" s="394" t="s">
        <v>15</v>
      </c>
      <c r="C392" s="394" t="s">
        <v>843</v>
      </c>
      <c r="D392" s="854">
        <f>E393/1</f>
        <v>1.1102400000000001</v>
      </c>
      <c r="E392" s="854"/>
      <c r="F392" s="854"/>
    </row>
    <row r="393" spans="1:18" x14ac:dyDescent="0.25">
      <c r="A393" s="854"/>
      <c r="B393" s="390" t="s">
        <v>6</v>
      </c>
      <c r="C393" s="869">
        <f>SUM(C394:C410)</f>
        <v>0.99999999999999989</v>
      </c>
      <c r="D393" s="870"/>
      <c r="E393" s="908">
        <f>SUM(E394:E410)</f>
        <v>1.1102400000000001</v>
      </c>
      <c r="F393" s="875"/>
      <c r="G393" s="4"/>
      <c r="H393" s="4"/>
    </row>
    <row r="394" spans="1:18" hidden="1" outlineLevel="1" x14ac:dyDescent="0.25">
      <c r="A394" s="854"/>
      <c r="B394" s="394" t="s">
        <v>20</v>
      </c>
      <c r="C394" s="873">
        <v>0.02</v>
      </c>
      <c r="D394" s="854">
        <v>1</v>
      </c>
      <c r="E394" s="875">
        <f>C394*D394</f>
        <v>0.02</v>
      </c>
      <c r="F394" s="854"/>
    </row>
    <row r="395" spans="1:18" ht="25.5" hidden="1" outlineLevel="1" x14ac:dyDescent="0.25">
      <c r="A395" s="854"/>
      <c r="B395" s="394" t="s">
        <v>21</v>
      </c>
      <c r="C395" s="873">
        <v>0.02</v>
      </c>
      <c r="D395" s="854">
        <v>1</v>
      </c>
      <c r="E395" s="875">
        <f>C395*D395</f>
        <v>0.02</v>
      </c>
      <c r="F395" s="854"/>
    </row>
    <row r="396" spans="1:18" hidden="1" outlineLevel="1" x14ac:dyDescent="0.25">
      <c r="A396" s="854"/>
      <c r="B396" s="394" t="s">
        <v>22</v>
      </c>
      <c r="C396" s="873">
        <v>0.06</v>
      </c>
      <c r="D396" s="879" t="s">
        <v>16</v>
      </c>
      <c r="E396" s="875">
        <f>C396*(1+0.3)</f>
        <v>7.8E-2</v>
      </c>
      <c r="F396" s="854"/>
    </row>
    <row r="397" spans="1:18" hidden="1" outlineLevel="1" x14ac:dyDescent="0.25">
      <c r="A397" s="854"/>
      <c r="B397" s="394" t="s">
        <v>23</v>
      </c>
      <c r="C397" s="873">
        <v>0.12</v>
      </c>
      <c r="D397" s="879" t="s">
        <v>16</v>
      </c>
      <c r="E397" s="875">
        <f>C397*(1+0.3)</f>
        <v>0.156</v>
      </c>
      <c r="F397" s="854"/>
    </row>
    <row r="398" spans="1:18" ht="25.5" hidden="1" outlineLevel="1" x14ac:dyDescent="0.25">
      <c r="A398" s="854"/>
      <c r="B398" s="394" t="s">
        <v>343</v>
      </c>
      <c r="C398" s="873"/>
      <c r="D398" s="879"/>
      <c r="E398" s="875"/>
      <c r="F398" s="854"/>
    </row>
    <row r="399" spans="1:18" hidden="1" outlineLevel="1" x14ac:dyDescent="0.25">
      <c r="A399" s="854"/>
      <c r="B399" s="877" t="s">
        <v>37</v>
      </c>
      <c r="C399" s="873">
        <v>0.16</v>
      </c>
      <c r="D399" s="879" t="s">
        <v>16</v>
      </c>
      <c r="E399" s="875">
        <f>C399*(1+0.3)</f>
        <v>0.20800000000000002</v>
      </c>
      <c r="F399" s="854"/>
    </row>
    <row r="400" spans="1:18" hidden="1" outlineLevel="1" x14ac:dyDescent="0.25">
      <c r="A400" s="854"/>
      <c r="B400" s="877" t="s">
        <v>38</v>
      </c>
      <c r="C400" s="873">
        <v>0.02</v>
      </c>
      <c r="D400" s="854">
        <v>1</v>
      </c>
      <c r="E400" s="875">
        <f>C400*D400</f>
        <v>0.02</v>
      </c>
      <c r="F400" s="854"/>
    </row>
    <row r="401" spans="1:18" hidden="1" outlineLevel="1" x14ac:dyDescent="0.25">
      <c r="A401" s="854"/>
      <c r="B401" s="877" t="s">
        <v>39</v>
      </c>
      <c r="C401" s="873">
        <v>0.02</v>
      </c>
      <c r="D401" s="854">
        <v>1</v>
      </c>
      <c r="E401" s="875">
        <f t="shared" ref="E401:E402" si="16">C401*D401</f>
        <v>0.02</v>
      </c>
      <c r="F401" s="854"/>
    </row>
    <row r="402" spans="1:18" hidden="1" outlineLevel="1" x14ac:dyDescent="0.25">
      <c r="A402" s="854"/>
      <c r="B402" s="877" t="s">
        <v>40</v>
      </c>
      <c r="C402" s="873">
        <v>0.1</v>
      </c>
      <c r="D402" s="854">
        <v>1</v>
      </c>
      <c r="E402" s="875">
        <f t="shared" si="16"/>
        <v>0.1</v>
      </c>
      <c r="F402" s="854"/>
    </row>
    <row r="403" spans="1:18" hidden="1" outlineLevel="1" x14ac:dyDescent="0.25">
      <c r="A403" s="854"/>
      <c r="B403" s="877" t="s">
        <v>41</v>
      </c>
      <c r="C403" s="873">
        <v>0.02</v>
      </c>
      <c r="D403" s="879" t="s">
        <v>16</v>
      </c>
      <c r="E403" s="875">
        <f>C403*(1+0.3)</f>
        <v>2.6000000000000002E-2</v>
      </c>
      <c r="F403" s="854"/>
    </row>
    <row r="404" spans="1:18" hidden="1" outlineLevel="1" x14ac:dyDescent="0.25">
      <c r="A404" s="854"/>
      <c r="B404" s="877" t="s">
        <v>42</v>
      </c>
      <c r="C404" s="873">
        <v>0.01</v>
      </c>
      <c r="D404" s="854">
        <v>1</v>
      </c>
      <c r="E404" s="875">
        <f t="shared" ref="E404:E408" si="17">C404*D404</f>
        <v>0.01</v>
      </c>
      <c r="F404" s="854"/>
    </row>
    <row r="405" spans="1:18" hidden="1" outlineLevel="1" x14ac:dyDescent="0.25">
      <c r="A405" s="854"/>
      <c r="B405" s="877" t="s">
        <v>43</v>
      </c>
      <c r="C405" s="873">
        <v>0.18</v>
      </c>
      <c r="D405" s="854">
        <v>1</v>
      </c>
      <c r="E405" s="875">
        <f t="shared" si="17"/>
        <v>0.18</v>
      </c>
      <c r="F405" s="854"/>
    </row>
    <row r="406" spans="1:18" hidden="1" outlineLevel="1" x14ac:dyDescent="0.25">
      <c r="A406" s="854"/>
      <c r="B406" s="394" t="s">
        <v>30</v>
      </c>
      <c r="C406" s="873">
        <v>0.03</v>
      </c>
      <c r="D406" s="854">
        <v>1</v>
      </c>
      <c r="E406" s="875">
        <f t="shared" si="17"/>
        <v>0.03</v>
      </c>
      <c r="F406" s="854"/>
    </row>
    <row r="407" spans="1:18" hidden="1" outlineLevel="1" x14ac:dyDescent="0.25">
      <c r="A407" s="854"/>
      <c r="B407" s="394" t="s">
        <v>44</v>
      </c>
      <c r="C407" s="873">
        <v>0.09</v>
      </c>
      <c r="D407" s="854">
        <v>1</v>
      </c>
      <c r="E407" s="875">
        <f t="shared" si="17"/>
        <v>0.09</v>
      </c>
      <c r="F407" s="854"/>
    </row>
    <row r="408" spans="1:18" ht="25.5" hidden="1" outlineLevel="1" x14ac:dyDescent="0.25">
      <c r="A408" s="854"/>
      <c r="B408" s="394" t="s">
        <v>32</v>
      </c>
      <c r="C408" s="873">
        <v>0.06</v>
      </c>
      <c r="D408" s="854">
        <v>1</v>
      </c>
      <c r="E408" s="875">
        <f t="shared" si="17"/>
        <v>0.06</v>
      </c>
      <c r="F408" s="854"/>
    </row>
    <row r="409" spans="1:18" hidden="1" outlineLevel="1" x14ac:dyDescent="0.25">
      <c r="A409" s="854"/>
      <c r="B409" s="394" t="s">
        <v>45</v>
      </c>
      <c r="C409" s="873">
        <v>0.01</v>
      </c>
      <c r="D409" s="854">
        <v>1</v>
      </c>
      <c r="E409" s="875">
        <f>C409*D409</f>
        <v>0.01</v>
      </c>
      <c r="F409" s="854"/>
    </row>
    <row r="410" spans="1:18" hidden="1" outlineLevel="1" x14ac:dyDescent="0.25">
      <c r="A410" s="854"/>
      <c r="B410" s="394" t="s">
        <v>34</v>
      </c>
      <c r="C410" s="873">
        <v>0.08</v>
      </c>
      <c r="D410" s="879"/>
      <c r="E410" s="890">
        <f>SUM(E394:E409)*C410</f>
        <v>8.2240000000000008E-2</v>
      </c>
      <c r="F410" s="890"/>
      <c r="G410" s="14"/>
      <c r="H410" s="14"/>
    </row>
    <row r="411" spans="1:18" s="19" customFormat="1" ht="15.75" collapsed="1" x14ac:dyDescent="0.25">
      <c r="A411" s="862"/>
      <c r="B411" s="862" t="s">
        <v>48</v>
      </c>
      <c r="C411" s="862"/>
      <c r="D411" s="862"/>
      <c r="E411" s="862"/>
      <c r="F411" s="862"/>
    </row>
    <row r="412" spans="1:18" s="19" customFormat="1" ht="15.75" x14ac:dyDescent="0.25">
      <c r="A412" s="862"/>
      <c r="B412" s="862" t="s">
        <v>49</v>
      </c>
      <c r="C412" s="862">
        <v>5.32</v>
      </c>
      <c r="D412" s="880"/>
      <c r="E412" s="862"/>
      <c r="F412" s="862"/>
    </row>
    <row r="413" spans="1:18" s="11" customFormat="1" x14ac:dyDescent="0.25">
      <c r="A413" s="862"/>
      <c r="B413" s="861" t="s">
        <v>698</v>
      </c>
      <c r="C413" s="862"/>
      <c r="D413" s="862">
        <v>1</v>
      </c>
      <c r="E413" s="862" t="s">
        <v>866</v>
      </c>
      <c r="F413" s="862"/>
      <c r="I413" s="13"/>
    </row>
    <row r="414" spans="1:18" s="2" customFormat="1" ht="38.25" x14ac:dyDescent="0.25">
      <c r="A414" s="854"/>
      <c r="B414" s="394" t="s">
        <v>860</v>
      </c>
      <c r="C414" s="394" t="s">
        <v>861</v>
      </c>
      <c r="D414" s="394" t="s">
        <v>865</v>
      </c>
      <c r="E414" s="854"/>
      <c r="F414" s="855">
        <f>39.55*D413*D416*D415*D417*C437*1000</f>
        <v>23360.115744000006</v>
      </c>
      <c r="I414"/>
      <c r="J414"/>
      <c r="K414"/>
      <c r="Q414" s="17"/>
      <c r="R414" s="17"/>
    </row>
    <row r="415" spans="1:18" s="3" customFormat="1" x14ac:dyDescent="0.25">
      <c r="A415" s="866"/>
      <c r="B415" s="865" t="s">
        <v>4</v>
      </c>
      <c r="C415" s="865" t="s">
        <v>852</v>
      </c>
      <c r="D415" s="866">
        <v>0.5</v>
      </c>
      <c r="E415" s="866"/>
      <c r="F415" s="866"/>
      <c r="I415"/>
      <c r="J415"/>
      <c r="K415"/>
    </row>
    <row r="416" spans="1:18" s="3" customFormat="1" x14ac:dyDescent="0.25">
      <c r="A416" s="866"/>
      <c r="B416" s="865" t="s">
        <v>863</v>
      </c>
      <c r="C416" s="865" t="s">
        <v>864</v>
      </c>
      <c r="D416" s="866">
        <v>0.2</v>
      </c>
      <c r="E416" s="866"/>
      <c r="F416" s="866"/>
      <c r="I416"/>
      <c r="J416"/>
      <c r="K416"/>
    </row>
    <row r="417" spans="1:8" ht="89.25" x14ac:dyDescent="0.25">
      <c r="A417" s="854"/>
      <c r="B417" s="394" t="s">
        <v>15</v>
      </c>
      <c r="C417" s="394" t="s">
        <v>843</v>
      </c>
      <c r="D417" s="854">
        <f>E418/1</f>
        <v>1.1102400000000001</v>
      </c>
      <c r="E417" s="854"/>
      <c r="F417" s="854"/>
    </row>
    <row r="418" spans="1:8" x14ac:dyDescent="0.25">
      <c r="A418" s="854"/>
      <c r="B418" s="390" t="s">
        <v>6</v>
      </c>
      <c r="C418" s="869">
        <f>SUM(C419:C435)</f>
        <v>0.99999999999999989</v>
      </c>
      <c r="D418" s="870"/>
      <c r="E418" s="908">
        <f>SUM(E419:E435)</f>
        <v>1.1102400000000001</v>
      </c>
      <c r="F418" s="875"/>
      <c r="G418" s="4"/>
      <c r="H418" s="4"/>
    </row>
    <row r="419" spans="1:8" hidden="1" outlineLevel="1" x14ac:dyDescent="0.25">
      <c r="A419" s="854"/>
      <c r="B419" s="394" t="s">
        <v>20</v>
      </c>
      <c r="C419" s="873">
        <v>0.02</v>
      </c>
      <c r="D419" s="854">
        <v>1</v>
      </c>
      <c r="E419" s="875">
        <f>C419*D419</f>
        <v>0.02</v>
      </c>
      <c r="F419" s="854"/>
    </row>
    <row r="420" spans="1:8" ht="25.5" hidden="1" outlineLevel="1" x14ac:dyDescent="0.25">
      <c r="A420" s="854"/>
      <c r="B420" s="394" t="s">
        <v>21</v>
      </c>
      <c r="C420" s="873">
        <v>0.02</v>
      </c>
      <c r="D420" s="854">
        <v>1</v>
      </c>
      <c r="E420" s="875">
        <f>C420*D420</f>
        <v>0.02</v>
      </c>
      <c r="F420" s="854"/>
    </row>
    <row r="421" spans="1:8" hidden="1" outlineLevel="1" x14ac:dyDescent="0.25">
      <c r="A421" s="854"/>
      <c r="B421" s="394" t="s">
        <v>22</v>
      </c>
      <c r="C421" s="873">
        <v>0.06</v>
      </c>
      <c r="D421" s="879" t="s">
        <v>16</v>
      </c>
      <c r="E421" s="875">
        <f>C421*(1+0.3)</f>
        <v>7.8E-2</v>
      </c>
      <c r="F421" s="854"/>
    </row>
    <row r="422" spans="1:8" hidden="1" outlineLevel="1" x14ac:dyDescent="0.25">
      <c r="A422" s="854"/>
      <c r="B422" s="394" t="s">
        <v>23</v>
      </c>
      <c r="C422" s="873">
        <v>0.12</v>
      </c>
      <c r="D422" s="879" t="s">
        <v>16</v>
      </c>
      <c r="E422" s="875">
        <f>C422*(1+0.3)</f>
        <v>0.156</v>
      </c>
      <c r="F422" s="854"/>
    </row>
    <row r="423" spans="1:8" ht="25.5" hidden="1" outlineLevel="1" x14ac:dyDescent="0.25">
      <c r="A423" s="854"/>
      <c r="B423" s="394" t="s">
        <v>343</v>
      </c>
      <c r="C423" s="873"/>
      <c r="D423" s="879"/>
      <c r="E423" s="875"/>
      <c r="F423" s="854"/>
    </row>
    <row r="424" spans="1:8" hidden="1" outlineLevel="1" x14ac:dyDescent="0.25">
      <c r="A424" s="854"/>
      <c r="B424" s="877" t="s">
        <v>37</v>
      </c>
      <c r="C424" s="873">
        <v>0.16</v>
      </c>
      <c r="D424" s="879" t="s">
        <v>16</v>
      </c>
      <c r="E424" s="875">
        <f>C424*(1+0.3)</f>
        <v>0.20800000000000002</v>
      </c>
      <c r="F424" s="854"/>
    </row>
    <row r="425" spans="1:8" hidden="1" outlineLevel="1" x14ac:dyDescent="0.25">
      <c r="A425" s="854"/>
      <c r="B425" s="877" t="s">
        <v>38</v>
      </c>
      <c r="C425" s="873">
        <v>0.02</v>
      </c>
      <c r="D425" s="854">
        <v>1</v>
      </c>
      <c r="E425" s="875">
        <f>C425*D425</f>
        <v>0.02</v>
      </c>
      <c r="F425" s="854"/>
    </row>
    <row r="426" spans="1:8" hidden="1" outlineLevel="1" x14ac:dyDescent="0.25">
      <c r="A426" s="854"/>
      <c r="B426" s="877" t="s">
        <v>39</v>
      </c>
      <c r="C426" s="873">
        <v>0.02</v>
      </c>
      <c r="D426" s="854">
        <v>1</v>
      </c>
      <c r="E426" s="875">
        <f t="shared" ref="E426:E427" si="18">C426*D426</f>
        <v>0.02</v>
      </c>
      <c r="F426" s="854"/>
    </row>
    <row r="427" spans="1:8" hidden="1" outlineLevel="1" x14ac:dyDescent="0.25">
      <c r="A427" s="854"/>
      <c r="B427" s="877" t="s">
        <v>40</v>
      </c>
      <c r="C427" s="873">
        <v>0.1</v>
      </c>
      <c r="D427" s="854">
        <v>1</v>
      </c>
      <c r="E427" s="875">
        <f t="shared" si="18"/>
        <v>0.1</v>
      </c>
      <c r="F427" s="854"/>
    </row>
    <row r="428" spans="1:8" hidden="1" outlineLevel="1" x14ac:dyDescent="0.25">
      <c r="A428" s="854"/>
      <c r="B428" s="877" t="s">
        <v>41</v>
      </c>
      <c r="C428" s="873">
        <v>0.02</v>
      </c>
      <c r="D428" s="879" t="s">
        <v>16</v>
      </c>
      <c r="E428" s="875">
        <f>C428*(1+0.3)</f>
        <v>2.6000000000000002E-2</v>
      </c>
      <c r="F428" s="854"/>
    </row>
    <row r="429" spans="1:8" hidden="1" outlineLevel="1" x14ac:dyDescent="0.25">
      <c r="A429" s="854"/>
      <c r="B429" s="877" t="s">
        <v>42</v>
      </c>
      <c r="C429" s="873">
        <v>0.01</v>
      </c>
      <c r="D429" s="854">
        <v>1</v>
      </c>
      <c r="E429" s="875">
        <f t="shared" ref="E429:E433" si="19">C429*D429</f>
        <v>0.01</v>
      </c>
      <c r="F429" s="854"/>
    </row>
    <row r="430" spans="1:8" hidden="1" outlineLevel="1" x14ac:dyDescent="0.25">
      <c r="A430" s="854"/>
      <c r="B430" s="877" t="s">
        <v>43</v>
      </c>
      <c r="C430" s="873">
        <v>0.18</v>
      </c>
      <c r="D430" s="854">
        <v>1</v>
      </c>
      <c r="E430" s="875">
        <f t="shared" si="19"/>
        <v>0.18</v>
      </c>
      <c r="F430" s="854"/>
    </row>
    <row r="431" spans="1:8" hidden="1" outlineLevel="1" x14ac:dyDescent="0.25">
      <c r="A431" s="854"/>
      <c r="B431" s="394" t="s">
        <v>30</v>
      </c>
      <c r="C431" s="873">
        <v>0.03</v>
      </c>
      <c r="D431" s="854">
        <v>1</v>
      </c>
      <c r="E431" s="875">
        <f t="shared" si="19"/>
        <v>0.03</v>
      </c>
      <c r="F431" s="854"/>
    </row>
    <row r="432" spans="1:8" hidden="1" outlineLevel="1" x14ac:dyDescent="0.25">
      <c r="A432" s="854"/>
      <c r="B432" s="394" t="s">
        <v>44</v>
      </c>
      <c r="C432" s="873">
        <v>0.09</v>
      </c>
      <c r="D432" s="854">
        <v>1</v>
      </c>
      <c r="E432" s="875">
        <f t="shared" si="19"/>
        <v>0.09</v>
      </c>
      <c r="F432" s="854"/>
    </row>
    <row r="433" spans="1:18" ht="25.5" hidden="1" outlineLevel="1" x14ac:dyDescent="0.25">
      <c r="A433" s="854"/>
      <c r="B433" s="394" t="s">
        <v>32</v>
      </c>
      <c r="C433" s="873">
        <v>0.06</v>
      </c>
      <c r="D433" s="854">
        <v>1</v>
      </c>
      <c r="E433" s="875">
        <f t="shared" si="19"/>
        <v>0.06</v>
      </c>
      <c r="F433" s="854"/>
    </row>
    <row r="434" spans="1:18" hidden="1" outlineLevel="1" x14ac:dyDescent="0.25">
      <c r="A434" s="854"/>
      <c r="B434" s="394" t="s">
        <v>45</v>
      </c>
      <c r="C434" s="873">
        <v>0.01</v>
      </c>
      <c r="D434" s="854">
        <v>1</v>
      </c>
      <c r="E434" s="875">
        <f>C434*D434</f>
        <v>0.01</v>
      </c>
      <c r="F434" s="854"/>
    </row>
    <row r="435" spans="1:18" hidden="1" outlineLevel="1" x14ac:dyDescent="0.25">
      <c r="A435" s="854"/>
      <c r="B435" s="394" t="s">
        <v>34</v>
      </c>
      <c r="C435" s="873">
        <v>0.08</v>
      </c>
      <c r="D435" s="879"/>
      <c r="E435" s="890">
        <f>SUM(E419:E434)*C435</f>
        <v>8.2240000000000008E-2</v>
      </c>
      <c r="F435" s="890"/>
      <c r="G435" s="14"/>
      <c r="H435" s="14"/>
    </row>
    <row r="436" spans="1:18" s="19" customFormat="1" ht="15.75" collapsed="1" x14ac:dyDescent="0.25">
      <c r="A436" s="862"/>
      <c r="B436" s="862" t="s">
        <v>48</v>
      </c>
      <c r="C436" s="862"/>
      <c r="D436" s="862"/>
      <c r="E436" s="862"/>
      <c r="F436" s="862"/>
    </row>
    <row r="437" spans="1:18" s="19" customFormat="1" ht="15.75" x14ac:dyDescent="0.25">
      <c r="A437" s="862"/>
      <c r="B437" s="862" t="s">
        <v>49</v>
      </c>
      <c r="C437" s="862">
        <v>5.32</v>
      </c>
      <c r="D437" s="880"/>
      <c r="E437" s="862"/>
      <c r="F437" s="862"/>
    </row>
    <row r="438" spans="1:18" s="11" customFormat="1" x14ac:dyDescent="0.25">
      <c r="A438" s="862"/>
      <c r="B438" s="861" t="s">
        <v>695</v>
      </c>
      <c r="C438" s="862"/>
      <c r="D438" s="862">
        <v>16</v>
      </c>
      <c r="E438" s="862" t="s">
        <v>893</v>
      </c>
      <c r="F438" s="862"/>
      <c r="I438" s="13"/>
    </row>
    <row r="439" spans="1:18" s="2" customFormat="1" ht="63.75" x14ac:dyDescent="0.25">
      <c r="A439" s="854"/>
      <c r="B439" s="394" t="s">
        <v>841</v>
      </c>
      <c r="C439" s="394" t="s">
        <v>842</v>
      </c>
      <c r="D439" s="394" t="s">
        <v>894</v>
      </c>
      <c r="E439" s="854"/>
      <c r="F439" s="855">
        <f>(25.98+4.623*16)*1*D440*D441*C461*1000</f>
        <v>247943.02814668804</v>
      </c>
      <c r="I439"/>
      <c r="J439"/>
      <c r="K439"/>
      <c r="Q439" s="17"/>
      <c r="R439" s="17"/>
    </row>
    <row r="440" spans="1:18" s="3" customFormat="1" x14ac:dyDescent="0.25">
      <c r="A440" s="866"/>
      <c r="B440" s="865" t="s">
        <v>4</v>
      </c>
      <c r="C440" s="865" t="s">
        <v>844</v>
      </c>
      <c r="D440" s="866">
        <v>0.42</v>
      </c>
      <c r="E440" s="866"/>
      <c r="F440" s="866"/>
      <c r="I440"/>
      <c r="J440"/>
      <c r="K440"/>
    </row>
    <row r="441" spans="1:18" ht="89.25" x14ac:dyDescent="0.25">
      <c r="A441" s="854"/>
      <c r="B441" s="394" t="s">
        <v>15</v>
      </c>
      <c r="C441" s="394" t="s">
        <v>843</v>
      </c>
      <c r="D441" s="854">
        <f>E442/1</f>
        <v>1.1102400000000001</v>
      </c>
      <c r="E441" s="854"/>
      <c r="F441" s="854"/>
    </row>
    <row r="442" spans="1:18" x14ac:dyDescent="0.25">
      <c r="A442" s="854"/>
      <c r="B442" s="390" t="s">
        <v>6</v>
      </c>
      <c r="C442" s="869">
        <f>SUM(C443:C459)</f>
        <v>0.99999999999999989</v>
      </c>
      <c r="D442" s="870"/>
      <c r="E442" s="908">
        <f>SUM(E443:E459)</f>
        <v>1.1102400000000001</v>
      </c>
      <c r="F442" s="875"/>
      <c r="G442" s="4"/>
      <c r="H442" s="4"/>
    </row>
    <row r="443" spans="1:18" hidden="1" outlineLevel="1" x14ac:dyDescent="0.25">
      <c r="A443" s="854"/>
      <c r="B443" s="394" t="s">
        <v>20</v>
      </c>
      <c r="C443" s="873">
        <v>0.02</v>
      </c>
      <c r="D443" s="854">
        <v>1</v>
      </c>
      <c r="E443" s="875">
        <f>C443*D443</f>
        <v>0.02</v>
      </c>
      <c r="F443" s="854"/>
    </row>
    <row r="444" spans="1:18" ht="25.5" hidden="1" outlineLevel="1" x14ac:dyDescent="0.25">
      <c r="A444" s="854"/>
      <c r="B444" s="394" t="s">
        <v>21</v>
      </c>
      <c r="C444" s="873">
        <v>0.02</v>
      </c>
      <c r="D444" s="854">
        <v>1</v>
      </c>
      <c r="E444" s="875">
        <f>C444*D444</f>
        <v>0.02</v>
      </c>
      <c r="F444" s="854"/>
    </row>
    <row r="445" spans="1:18" hidden="1" outlineLevel="1" x14ac:dyDescent="0.25">
      <c r="A445" s="854"/>
      <c r="B445" s="394" t="s">
        <v>22</v>
      </c>
      <c r="C445" s="873">
        <v>0.06</v>
      </c>
      <c r="D445" s="879" t="s">
        <v>16</v>
      </c>
      <c r="E445" s="875">
        <f>C445*(1+0.3)</f>
        <v>7.8E-2</v>
      </c>
      <c r="F445" s="854"/>
    </row>
    <row r="446" spans="1:18" hidden="1" outlineLevel="1" x14ac:dyDescent="0.25">
      <c r="A446" s="854"/>
      <c r="B446" s="394" t="s">
        <v>23</v>
      </c>
      <c r="C446" s="873">
        <v>0.12</v>
      </c>
      <c r="D446" s="879" t="s">
        <v>16</v>
      </c>
      <c r="E446" s="875">
        <f>C446*(1+0.3)</f>
        <v>0.156</v>
      </c>
      <c r="F446" s="854"/>
    </row>
    <row r="447" spans="1:18" ht="25.5" hidden="1" outlineLevel="1" x14ac:dyDescent="0.25">
      <c r="A447" s="854"/>
      <c r="B447" s="394" t="s">
        <v>343</v>
      </c>
      <c r="C447" s="873"/>
      <c r="D447" s="879"/>
      <c r="E447" s="875"/>
      <c r="F447" s="854"/>
    </row>
    <row r="448" spans="1:18" hidden="1" outlineLevel="1" x14ac:dyDescent="0.25">
      <c r="A448" s="854"/>
      <c r="B448" s="877" t="s">
        <v>37</v>
      </c>
      <c r="C448" s="873">
        <v>0.16</v>
      </c>
      <c r="D448" s="879" t="s">
        <v>16</v>
      </c>
      <c r="E448" s="875">
        <f>C448*(1+0.3)</f>
        <v>0.20800000000000002</v>
      </c>
      <c r="F448" s="854"/>
    </row>
    <row r="449" spans="1:18" hidden="1" outlineLevel="1" x14ac:dyDescent="0.25">
      <c r="A449" s="854"/>
      <c r="B449" s="877" t="s">
        <v>38</v>
      </c>
      <c r="C449" s="873">
        <v>0.02</v>
      </c>
      <c r="D449" s="854">
        <v>1</v>
      </c>
      <c r="E449" s="875">
        <f>C449*D449</f>
        <v>0.02</v>
      </c>
      <c r="F449" s="854"/>
    </row>
    <row r="450" spans="1:18" hidden="1" outlineLevel="1" x14ac:dyDescent="0.25">
      <c r="A450" s="854"/>
      <c r="B450" s="877" t="s">
        <v>39</v>
      </c>
      <c r="C450" s="873">
        <v>0.02</v>
      </c>
      <c r="D450" s="854">
        <v>1</v>
      </c>
      <c r="E450" s="875">
        <f t="shared" ref="E450:E451" si="20">C450*D450</f>
        <v>0.02</v>
      </c>
      <c r="F450" s="854"/>
    </row>
    <row r="451" spans="1:18" hidden="1" outlineLevel="1" x14ac:dyDescent="0.25">
      <c r="A451" s="854"/>
      <c r="B451" s="877" t="s">
        <v>40</v>
      </c>
      <c r="C451" s="873">
        <v>0.1</v>
      </c>
      <c r="D451" s="854">
        <v>1</v>
      </c>
      <c r="E451" s="875">
        <f t="shared" si="20"/>
        <v>0.1</v>
      </c>
      <c r="F451" s="854"/>
    </row>
    <row r="452" spans="1:18" hidden="1" outlineLevel="1" x14ac:dyDescent="0.25">
      <c r="A452" s="854"/>
      <c r="B452" s="877" t="s">
        <v>41</v>
      </c>
      <c r="C452" s="873">
        <v>0.02</v>
      </c>
      <c r="D452" s="879" t="s">
        <v>16</v>
      </c>
      <c r="E452" s="875">
        <f>C452*(1+0.3)</f>
        <v>2.6000000000000002E-2</v>
      </c>
      <c r="F452" s="854"/>
    </row>
    <row r="453" spans="1:18" hidden="1" outlineLevel="1" x14ac:dyDescent="0.25">
      <c r="A453" s="854"/>
      <c r="B453" s="877" t="s">
        <v>42</v>
      </c>
      <c r="C453" s="873">
        <v>0.01</v>
      </c>
      <c r="D453" s="854">
        <v>1</v>
      </c>
      <c r="E453" s="875">
        <f t="shared" ref="E453:E457" si="21">C453*D453</f>
        <v>0.01</v>
      </c>
      <c r="F453" s="854"/>
    </row>
    <row r="454" spans="1:18" hidden="1" outlineLevel="1" x14ac:dyDescent="0.25">
      <c r="A454" s="854"/>
      <c r="B454" s="877" t="s">
        <v>43</v>
      </c>
      <c r="C454" s="873">
        <v>0.18</v>
      </c>
      <c r="D454" s="854">
        <v>1</v>
      </c>
      <c r="E454" s="875">
        <f t="shared" si="21"/>
        <v>0.18</v>
      </c>
      <c r="F454" s="854"/>
    </row>
    <row r="455" spans="1:18" hidden="1" outlineLevel="1" x14ac:dyDescent="0.25">
      <c r="A455" s="854"/>
      <c r="B455" s="394" t="s">
        <v>30</v>
      </c>
      <c r="C455" s="873">
        <v>0.03</v>
      </c>
      <c r="D455" s="854">
        <v>1</v>
      </c>
      <c r="E455" s="875">
        <f t="shared" si="21"/>
        <v>0.03</v>
      </c>
      <c r="F455" s="854"/>
    </row>
    <row r="456" spans="1:18" hidden="1" outlineLevel="1" x14ac:dyDescent="0.25">
      <c r="A456" s="854"/>
      <c r="B456" s="394" t="s">
        <v>44</v>
      </c>
      <c r="C456" s="873">
        <v>0.09</v>
      </c>
      <c r="D456" s="854">
        <v>1</v>
      </c>
      <c r="E456" s="875">
        <f t="shared" si="21"/>
        <v>0.09</v>
      </c>
      <c r="F456" s="854"/>
    </row>
    <row r="457" spans="1:18" ht="25.5" hidden="1" outlineLevel="1" x14ac:dyDescent="0.25">
      <c r="A457" s="854"/>
      <c r="B457" s="394" t="s">
        <v>32</v>
      </c>
      <c r="C457" s="873">
        <v>0.06</v>
      </c>
      <c r="D457" s="854">
        <v>1</v>
      </c>
      <c r="E457" s="875">
        <f t="shared" si="21"/>
        <v>0.06</v>
      </c>
      <c r="F457" s="854"/>
    </row>
    <row r="458" spans="1:18" hidden="1" outlineLevel="1" x14ac:dyDescent="0.25">
      <c r="A458" s="854"/>
      <c r="B458" s="394" t="s">
        <v>45</v>
      </c>
      <c r="C458" s="873">
        <v>0.01</v>
      </c>
      <c r="D458" s="854">
        <v>1</v>
      </c>
      <c r="E458" s="875">
        <f>C458*D458</f>
        <v>0.01</v>
      </c>
      <c r="F458" s="854"/>
    </row>
    <row r="459" spans="1:18" hidden="1" outlineLevel="1" x14ac:dyDescent="0.25">
      <c r="A459" s="854"/>
      <c r="B459" s="394" t="s">
        <v>34</v>
      </c>
      <c r="C459" s="873">
        <v>0.08</v>
      </c>
      <c r="D459" s="879"/>
      <c r="E459" s="890">
        <f>SUM(E443:E458)*C459</f>
        <v>8.2240000000000008E-2</v>
      </c>
      <c r="F459" s="890"/>
      <c r="G459" s="14"/>
      <c r="H459" s="14"/>
    </row>
    <row r="460" spans="1:18" s="19" customFormat="1" ht="15.75" collapsed="1" x14ac:dyDescent="0.25">
      <c r="A460" s="862"/>
      <c r="B460" s="862" t="s">
        <v>48</v>
      </c>
      <c r="C460" s="862"/>
      <c r="D460" s="862"/>
      <c r="E460" s="862"/>
      <c r="F460" s="862"/>
    </row>
    <row r="461" spans="1:18" s="19" customFormat="1" ht="15.75" x14ac:dyDescent="0.25">
      <c r="A461" s="862"/>
      <c r="B461" s="862" t="s">
        <v>49</v>
      </c>
      <c r="C461" s="862">
        <v>5.32</v>
      </c>
      <c r="D461" s="880"/>
      <c r="E461" s="862"/>
      <c r="F461" s="862"/>
    </row>
    <row r="462" spans="1:18" s="11" customFormat="1" x14ac:dyDescent="0.25">
      <c r="A462" s="862"/>
      <c r="B462" s="861" t="s">
        <v>700</v>
      </c>
      <c r="C462" s="862"/>
      <c r="D462" s="862">
        <f>D25</f>
        <v>8</v>
      </c>
      <c r="E462" s="862" t="s">
        <v>895</v>
      </c>
      <c r="F462" s="862"/>
      <c r="I462" s="13"/>
    </row>
    <row r="463" spans="1:18" s="2" customFormat="1" ht="63.75" x14ac:dyDescent="0.25">
      <c r="A463" s="854"/>
      <c r="B463" s="394" t="s">
        <v>897</v>
      </c>
      <c r="C463" s="394" t="s">
        <v>898</v>
      </c>
      <c r="D463" s="394" t="s">
        <v>899</v>
      </c>
      <c r="E463" s="854"/>
      <c r="F463" s="855">
        <f>(1.39+0.102*(0.4*10+0.6*8))*1*D464*D465*C485*1000</f>
        <v>6485.5950372864008</v>
      </c>
      <c r="I463"/>
      <c r="J463"/>
      <c r="K463"/>
      <c r="Q463" s="17"/>
      <c r="R463" s="17"/>
    </row>
    <row r="464" spans="1:18" s="3" customFormat="1" x14ac:dyDescent="0.25">
      <c r="A464" s="866"/>
      <c r="B464" s="865" t="s">
        <v>4</v>
      </c>
      <c r="C464" s="865" t="s">
        <v>346</v>
      </c>
      <c r="D464" s="866">
        <v>0.48</v>
      </c>
      <c r="E464" s="866"/>
      <c r="F464" s="866"/>
      <c r="I464"/>
      <c r="J464"/>
      <c r="K464"/>
    </row>
    <row r="465" spans="1:8" ht="89.25" x14ac:dyDescent="0.25">
      <c r="A465" s="854"/>
      <c r="B465" s="394" t="s">
        <v>15</v>
      </c>
      <c r="C465" s="394" t="s">
        <v>843</v>
      </c>
      <c r="D465" s="854">
        <f>E466/1</f>
        <v>1.1102400000000001</v>
      </c>
      <c r="E465" s="854"/>
      <c r="F465" s="854"/>
    </row>
    <row r="466" spans="1:8" x14ac:dyDescent="0.25">
      <c r="A466" s="854"/>
      <c r="B466" s="390" t="s">
        <v>6</v>
      </c>
      <c r="C466" s="869">
        <f>SUM(C467:C483)</f>
        <v>0.99999999999999989</v>
      </c>
      <c r="D466" s="870"/>
      <c r="E466" s="908">
        <f>SUM(E467:E483)</f>
        <v>1.1102400000000001</v>
      </c>
      <c r="F466" s="875"/>
      <c r="G466" s="4"/>
      <c r="H466" s="4"/>
    </row>
    <row r="467" spans="1:8" hidden="1" outlineLevel="1" x14ac:dyDescent="0.25">
      <c r="A467" s="854"/>
      <c r="B467" s="394" t="s">
        <v>20</v>
      </c>
      <c r="C467" s="873">
        <v>0.02</v>
      </c>
      <c r="D467" s="854">
        <v>1</v>
      </c>
      <c r="E467" s="875">
        <f>C467*D467</f>
        <v>0.02</v>
      </c>
      <c r="F467" s="854"/>
    </row>
    <row r="468" spans="1:8" ht="25.5" hidden="1" outlineLevel="1" x14ac:dyDescent="0.25">
      <c r="A468" s="854"/>
      <c r="B468" s="394" t="s">
        <v>21</v>
      </c>
      <c r="C468" s="873">
        <v>0.02</v>
      </c>
      <c r="D468" s="854">
        <v>1</v>
      </c>
      <c r="E468" s="875">
        <f>C468*D468</f>
        <v>0.02</v>
      </c>
      <c r="F468" s="854"/>
    </row>
    <row r="469" spans="1:8" hidden="1" outlineLevel="1" x14ac:dyDescent="0.25">
      <c r="A469" s="854"/>
      <c r="B469" s="394" t="s">
        <v>22</v>
      </c>
      <c r="C469" s="873">
        <v>0.06</v>
      </c>
      <c r="D469" s="879" t="s">
        <v>16</v>
      </c>
      <c r="E469" s="875">
        <f>C469*(1+0.3)</f>
        <v>7.8E-2</v>
      </c>
      <c r="F469" s="854"/>
    </row>
    <row r="470" spans="1:8" hidden="1" outlineLevel="1" x14ac:dyDescent="0.25">
      <c r="A470" s="854"/>
      <c r="B470" s="394" t="s">
        <v>23</v>
      </c>
      <c r="C470" s="873">
        <v>0.12</v>
      </c>
      <c r="D470" s="879" t="s">
        <v>16</v>
      </c>
      <c r="E470" s="875">
        <f>C470*(1+0.3)</f>
        <v>0.156</v>
      </c>
      <c r="F470" s="854"/>
    </row>
    <row r="471" spans="1:8" ht="25.5" hidden="1" outlineLevel="1" x14ac:dyDescent="0.25">
      <c r="A471" s="854"/>
      <c r="B471" s="394" t="s">
        <v>343</v>
      </c>
      <c r="C471" s="873"/>
      <c r="D471" s="879"/>
      <c r="E471" s="875"/>
      <c r="F471" s="854"/>
    </row>
    <row r="472" spans="1:8" hidden="1" outlineLevel="1" x14ac:dyDescent="0.25">
      <c r="A472" s="854"/>
      <c r="B472" s="877" t="s">
        <v>37</v>
      </c>
      <c r="C472" s="873">
        <v>0.16</v>
      </c>
      <c r="D472" s="879" t="s">
        <v>16</v>
      </c>
      <c r="E472" s="875">
        <f>C472*(1+0.3)</f>
        <v>0.20800000000000002</v>
      </c>
      <c r="F472" s="854"/>
    </row>
    <row r="473" spans="1:8" hidden="1" outlineLevel="1" x14ac:dyDescent="0.25">
      <c r="A473" s="854"/>
      <c r="B473" s="877" t="s">
        <v>38</v>
      </c>
      <c r="C473" s="873">
        <v>0.02</v>
      </c>
      <c r="D473" s="854">
        <v>1</v>
      </c>
      <c r="E473" s="875">
        <f>C473*D473</f>
        <v>0.02</v>
      </c>
      <c r="F473" s="854"/>
    </row>
    <row r="474" spans="1:8" hidden="1" outlineLevel="1" x14ac:dyDescent="0.25">
      <c r="A474" s="854"/>
      <c r="B474" s="877" t="s">
        <v>39</v>
      </c>
      <c r="C474" s="873">
        <v>0.02</v>
      </c>
      <c r="D474" s="854">
        <v>1</v>
      </c>
      <c r="E474" s="875">
        <f t="shared" ref="E474:E475" si="22">C474*D474</f>
        <v>0.02</v>
      </c>
      <c r="F474" s="854"/>
    </row>
    <row r="475" spans="1:8" hidden="1" outlineLevel="1" x14ac:dyDescent="0.25">
      <c r="A475" s="854"/>
      <c r="B475" s="877" t="s">
        <v>40</v>
      </c>
      <c r="C475" s="873">
        <v>0.1</v>
      </c>
      <c r="D475" s="854">
        <v>1</v>
      </c>
      <c r="E475" s="875">
        <f t="shared" si="22"/>
        <v>0.1</v>
      </c>
      <c r="F475" s="854"/>
    </row>
    <row r="476" spans="1:8" hidden="1" outlineLevel="1" x14ac:dyDescent="0.25">
      <c r="A476" s="854"/>
      <c r="B476" s="877" t="s">
        <v>41</v>
      </c>
      <c r="C476" s="873">
        <v>0.02</v>
      </c>
      <c r="D476" s="879" t="s">
        <v>16</v>
      </c>
      <c r="E476" s="875">
        <f>C476*(1+0.3)</f>
        <v>2.6000000000000002E-2</v>
      </c>
      <c r="F476" s="854"/>
    </row>
    <row r="477" spans="1:8" hidden="1" outlineLevel="1" x14ac:dyDescent="0.25">
      <c r="A477" s="854"/>
      <c r="B477" s="877" t="s">
        <v>42</v>
      </c>
      <c r="C477" s="873">
        <v>0.01</v>
      </c>
      <c r="D477" s="854">
        <v>1</v>
      </c>
      <c r="E477" s="875">
        <f t="shared" ref="E477:E481" si="23">C477*D477</f>
        <v>0.01</v>
      </c>
      <c r="F477" s="854"/>
    </row>
    <row r="478" spans="1:8" hidden="1" outlineLevel="1" x14ac:dyDescent="0.25">
      <c r="A478" s="854"/>
      <c r="B478" s="877" t="s">
        <v>43</v>
      </c>
      <c r="C478" s="873">
        <v>0.18</v>
      </c>
      <c r="D478" s="854">
        <v>1</v>
      </c>
      <c r="E478" s="875">
        <f t="shared" si="23"/>
        <v>0.18</v>
      </c>
      <c r="F478" s="854"/>
    </row>
    <row r="479" spans="1:8" hidden="1" outlineLevel="1" x14ac:dyDescent="0.25">
      <c r="A479" s="854"/>
      <c r="B479" s="394" t="s">
        <v>30</v>
      </c>
      <c r="C479" s="873">
        <v>0.03</v>
      </c>
      <c r="D479" s="854">
        <v>1</v>
      </c>
      <c r="E479" s="875">
        <f t="shared" si="23"/>
        <v>0.03</v>
      </c>
      <c r="F479" s="854"/>
    </row>
    <row r="480" spans="1:8" hidden="1" outlineLevel="1" x14ac:dyDescent="0.25">
      <c r="A480" s="854"/>
      <c r="B480" s="394" t="s">
        <v>44</v>
      </c>
      <c r="C480" s="873">
        <v>0.09</v>
      </c>
      <c r="D480" s="854">
        <v>1</v>
      </c>
      <c r="E480" s="875">
        <f t="shared" si="23"/>
        <v>0.09</v>
      </c>
      <c r="F480" s="854"/>
    </row>
    <row r="481" spans="1:10" ht="25.5" hidden="1" outlineLevel="1" x14ac:dyDescent="0.25">
      <c r="A481" s="854"/>
      <c r="B481" s="394" t="s">
        <v>32</v>
      </c>
      <c r="C481" s="873">
        <v>0.06</v>
      </c>
      <c r="D481" s="854">
        <v>1</v>
      </c>
      <c r="E481" s="875">
        <f t="shared" si="23"/>
        <v>0.06</v>
      </c>
      <c r="F481" s="854"/>
    </row>
    <row r="482" spans="1:10" hidden="1" outlineLevel="1" x14ac:dyDescent="0.25">
      <c r="A482" s="854"/>
      <c r="B482" s="394" t="s">
        <v>45</v>
      </c>
      <c r="C482" s="873">
        <v>0.01</v>
      </c>
      <c r="D482" s="854">
        <v>1</v>
      </c>
      <c r="E482" s="875">
        <f>C482*D482</f>
        <v>0.01</v>
      </c>
      <c r="F482" s="854"/>
    </row>
    <row r="483" spans="1:10" hidden="1" outlineLevel="1" x14ac:dyDescent="0.25">
      <c r="A483" s="854"/>
      <c r="B483" s="394" t="s">
        <v>34</v>
      </c>
      <c r="C483" s="873">
        <v>0.08</v>
      </c>
      <c r="D483" s="879"/>
      <c r="E483" s="890">
        <f>SUM(E467:E482)*C483</f>
        <v>8.2240000000000008E-2</v>
      </c>
      <c r="F483" s="890"/>
      <c r="G483" s="14"/>
      <c r="H483" s="14"/>
    </row>
    <row r="484" spans="1:10" s="19" customFormat="1" ht="15.75" collapsed="1" x14ac:dyDescent="0.25">
      <c r="A484" s="862"/>
      <c r="B484" s="862" t="s">
        <v>48</v>
      </c>
      <c r="C484" s="862"/>
      <c r="D484" s="862"/>
      <c r="E484" s="862"/>
      <c r="F484" s="862"/>
    </row>
    <row r="485" spans="1:10" s="19" customFormat="1" ht="15.75" x14ac:dyDescent="0.25">
      <c r="A485" s="862"/>
      <c r="B485" s="862" t="s">
        <v>49</v>
      </c>
      <c r="C485" s="862">
        <v>5.32</v>
      </c>
      <c r="D485" s="880"/>
      <c r="E485" s="862"/>
      <c r="F485" s="862"/>
    </row>
    <row r="486" spans="1:10" s="36" customFormat="1" ht="51" x14ac:dyDescent="0.2">
      <c r="A486" s="894"/>
      <c r="B486" s="891" t="s">
        <v>867</v>
      </c>
      <c r="C486" s="892">
        <v>0.04</v>
      </c>
      <c r="D486" s="893"/>
      <c r="E486" s="894"/>
      <c r="F486" s="855">
        <f>(SUM(F43:F463)-F68-F81)*C486</f>
        <v>99027.123290446179</v>
      </c>
      <c r="G486" s="364"/>
      <c r="H486" s="34"/>
      <c r="I486" s="33"/>
      <c r="J486" s="35"/>
    </row>
    <row r="487" spans="1:10" ht="15.75" x14ac:dyDescent="0.25">
      <c r="A487" s="854"/>
      <c r="B487" s="390" t="s">
        <v>50</v>
      </c>
      <c r="C487" s="854"/>
      <c r="D487" s="854"/>
      <c r="E487" s="854"/>
      <c r="F487" s="859">
        <f>SUM(F43:F486)</f>
        <v>3702033.0555356005</v>
      </c>
    </row>
    <row r="488" spans="1:10" x14ac:dyDescent="0.25">
      <c r="A488" s="854"/>
      <c r="B488" s="390" t="s">
        <v>51</v>
      </c>
      <c r="C488" s="854"/>
      <c r="D488" s="854"/>
      <c r="E488" s="854"/>
      <c r="F488" s="906">
        <f>F487*0.2</f>
        <v>740406.61110712017</v>
      </c>
    </row>
    <row r="489" spans="1:10" ht="15.75" x14ac:dyDescent="0.25">
      <c r="A489" s="854"/>
      <c r="B489" s="390" t="s">
        <v>52</v>
      </c>
      <c r="C489" s="854"/>
      <c r="D489" s="854"/>
      <c r="E489" s="854"/>
      <c r="F489" s="859">
        <f>SUM(F487:F488)</f>
        <v>4442439.6666427208</v>
      </c>
    </row>
    <row r="490" spans="1:10" x14ac:dyDescent="0.25">
      <c r="A490" s="374"/>
      <c r="B490" s="374"/>
      <c r="C490" s="374"/>
      <c r="D490" s="374"/>
      <c r="E490" s="374"/>
      <c r="F490" s="374"/>
    </row>
    <row r="491" spans="1:10" x14ac:dyDescent="0.25">
      <c r="A491" s="374"/>
      <c r="B491" s="374"/>
      <c r="C491" s="374"/>
      <c r="D491" s="374"/>
      <c r="E491" s="374"/>
      <c r="F491" s="374"/>
    </row>
    <row r="492" spans="1:10" x14ac:dyDescent="0.25">
      <c r="A492" s="374"/>
      <c r="B492" s="374"/>
      <c r="C492" s="374"/>
      <c r="D492" s="374"/>
      <c r="E492" s="374"/>
      <c r="F492" s="374"/>
    </row>
    <row r="493" spans="1:10" x14ac:dyDescent="0.25">
      <c r="A493" s="374"/>
      <c r="B493" s="374"/>
      <c r="C493" s="374"/>
      <c r="D493" s="374"/>
      <c r="E493" s="374"/>
      <c r="F493" s="374"/>
    </row>
    <row r="494" spans="1:10" x14ac:dyDescent="0.25">
      <c r="A494" s="374"/>
      <c r="B494" s="374"/>
      <c r="C494" s="374"/>
      <c r="D494" s="374"/>
      <c r="E494" s="374"/>
      <c r="F494" s="374"/>
    </row>
  </sheetData>
  <mergeCells count="13">
    <mergeCell ref="A37:B37"/>
    <mergeCell ref="A39:B39"/>
    <mergeCell ref="F6:F7"/>
    <mergeCell ref="A29:C29"/>
    <mergeCell ref="A32:F32"/>
    <mergeCell ref="A33:F33"/>
    <mergeCell ref="A35:B35"/>
    <mergeCell ref="C35:F35"/>
    <mergeCell ref="B1:E1"/>
    <mergeCell ref="A6:A7"/>
    <mergeCell ref="C6:C7"/>
    <mergeCell ref="D6:D7"/>
    <mergeCell ref="E6:E7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view="pageBreakPreview" zoomScaleNormal="100" zoomScaleSheetLayoutView="100" workbookViewId="0">
      <selection activeCell="G10" sqref="G10"/>
    </sheetView>
  </sheetViews>
  <sheetFormatPr defaultRowHeight="15" x14ac:dyDescent="0.25"/>
  <cols>
    <col min="1" max="1" width="30.28515625" style="559" customWidth="1"/>
    <col min="2" max="2" width="30.140625" style="559" customWidth="1"/>
    <col min="3" max="3" width="35" style="559" customWidth="1"/>
    <col min="4" max="16384" width="9.140625" style="559"/>
  </cols>
  <sheetData>
    <row r="1" spans="1:3" x14ac:dyDescent="0.25">
      <c r="A1" s="981" t="s">
        <v>1578</v>
      </c>
      <c r="B1" s="981"/>
      <c r="C1" s="981"/>
    </row>
    <row r="2" spans="1:3" x14ac:dyDescent="0.25">
      <c r="A2" s="981" t="s">
        <v>1579</v>
      </c>
      <c r="B2" s="981"/>
      <c r="C2" s="981"/>
    </row>
    <row r="3" spans="1:3" ht="31.15" customHeight="1" x14ac:dyDescent="0.25">
      <c r="A3" s="982" t="str">
        <f>НМЦК!B2</f>
        <v>«Благоустройство туристической деревни поляна Азау и прилегающей территории»</v>
      </c>
      <c r="B3" s="982"/>
      <c r="C3" s="982"/>
    </row>
    <row r="4" spans="1:3" ht="100.5" customHeight="1" x14ac:dyDescent="0.25">
      <c r="A4" s="983" t="s">
        <v>1580</v>
      </c>
      <c r="B4" s="983"/>
      <c r="C4" s="983"/>
    </row>
    <row r="5" spans="1:3" ht="24" customHeight="1" x14ac:dyDescent="0.25">
      <c r="A5" s="984" t="s">
        <v>1581</v>
      </c>
      <c r="B5" s="984"/>
      <c r="C5" s="984"/>
    </row>
    <row r="6" spans="1:3" ht="23.25" customHeight="1" x14ac:dyDescent="0.25">
      <c r="A6" s="984" t="s">
        <v>1582</v>
      </c>
      <c r="B6" s="984"/>
      <c r="C6" s="984"/>
    </row>
    <row r="7" spans="1:3" ht="70.5" customHeight="1" x14ac:dyDescent="0.25">
      <c r="A7" s="985" t="s">
        <v>1583</v>
      </c>
      <c r="B7" s="985"/>
      <c r="C7" s="985"/>
    </row>
    <row r="8" spans="1:3" ht="26.25" customHeight="1" x14ac:dyDescent="0.25">
      <c r="A8" s="986" t="s">
        <v>1584</v>
      </c>
      <c r="B8" s="986"/>
      <c r="C8" s="986"/>
    </row>
    <row r="9" spans="1:3" ht="28.5" customHeight="1" x14ac:dyDescent="0.25">
      <c r="A9" s="987" t="s">
        <v>1615</v>
      </c>
      <c r="B9" s="987"/>
      <c r="C9" s="987"/>
    </row>
    <row r="10" spans="1:3" ht="63" customHeight="1" x14ac:dyDescent="0.25">
      <c r="A10" s="988" t="s">
        <v>1616</v>
      </c>
      <c r="B10" s="988"/>
      <c r="C10" s="988"/>
    </row>
    <row r="11" spans="1:3" ht="27.75" customHeight="1" x14ac:dyDescent="0.25">
      <c r="A11" s="989" t="s">
        <v>2312</v>
      </c>
      <c r="B11" s="989"/>
      <c r="C11" s="989"/>
    </row>
    <row r="12" spans="1:3" ht="53.25" customHeight="1" x14ac:dyDescent="0.25">
      <c r="A12" s="980" t="s">
        <v>1585</v>
      </c>
      <c r="B12" s="980"/>
      <c r="C12" s="980"/>
    </row>
    <row r="13" spans="1:3" ht="20.25" customHeight="1" x14ac:dyDescent="0.25">
      <c r="A13" s="993" t="s">
        <v>1586</v>
      </c>
      <c r="B13" s="993"/>
      <c r="C13" s="993"/>
    </row>
    <row r="14" spans="1:3" ht="70.5" customHeight="1" x14ac:dyDescent="0.25">
      <c r="A14" s="985" t="s">
        <v>1587</v>
      </c>
      <c r="B14" s="985"/>
      <c r="C14" s="985"/>
    </row>
    <row r="15" spans="1:3" ht="34.5" customHeight="1" x14ac:dyDescent="0.25">
      <c r="A15" s="994" t="s">
        <v>1588</v>
      </c>
      <c r="B15" s="994"/>
      <c r="C15" s="994"/>
    </row>
    <row r="16" spans="1:3" ht="31.5" customHeight="1" x14ac:dyDescent="0.25">
      <c r="A16" s="987" t="s">
        <v>1615</v>
      </c>
      <c r="B16" s="987"/>
      <c r="C16" s="987"/>
    </row>
    <row r="17" spans="1:3" ht="75" customHeight="1" x14ac:dyDescent="0.25">
      <c r="A17" s="988" t="s">
        <v>1616</v>
      </c>
      <c r="B17" s="988"/>
      <c r="C17" s="988"/>
    </row>
    <row r="18" spans="1:3" ht="15" customHeight="1" x14ac:dyDescent="0.25">
      <c r="A18" s="989"/>
      <c r="B18" s="989"/>
      <c r="C18" s="989"/>
    </row>
    <row r="19" spans="1:3" ht="35.25" customHeight="1" x14ac:dyDescent="0.25">
      <c r="A19" s="988" t="s">
        <v>1589</v>
      </c>
      <c r="B19" s="988"/>
      <c r="C19" s="988"/>
    </row>
    <row r="20" spans="1:3" ht="18.75" customHeight="1" x14ac:dyDescent="0.25">
      <c r="A20" s="988" t="s">
        <v>1590</v>
      </c>
      <c r="B20" s="988"/>
      <c r="C20" s="988"/>
    </row>
    <row r="21" spans="1:3" ht="29.25" customHeight="1" x14ac:dyDescent="0.25">
      <c r="A21" s="625" t="s">
        <v>1591</v>
      </c>
      <c r="B21" s="626"/>
      <c r="C21" s="625"/>
    </row>
    <row r="22" spans="1:3" x14ac:dyDescent="0.25">
      <c r="A22" s="990"/>
      <c r="B22" s="991"/>
      <c r="C22" s="991"/>
    </row>
    <row r="23" spans="1:3" x14ac:dyDescent="0.25">
      <c r="A23" s="627"/>
      <c r="B23" s="628">
        <f>НМЦ!E16</f>
        <v>68640713.747999996</v>
      </c>
      <c r="C23" s="627" t="s">
        <v>1592</v>
      </c>
    </row>
    <row r="24" spans="1:3" ht="36" customHeight="1" x14ac:dyDescent="0.25">
      <c r="A24" s="992"/>
      <c r="B24" s="992"/>
      <c r="C24" s="629" t="s">
        <v>1593</v>
      </c>
    </row>
  </sheetData>
  <mergeCells count="22">
    <mergeCell ref="A19:C19"/>
    <mergeCell ref="A20:C20"/>
    <mergeCell ref="A22:C22"/>
    <mergeCell ref="A24:B24"/>
    <mergeCell ref="A13:C13"/>
    <mergeCell ref="A14:C14"/>
    <mergeCell ref="A15:C15"/>
    <mergeCell ref="A16:C16"/>
    <mergeCell ref="A17:C17"/>
    <mergeCell ref="A18:C18"/>
    <mergeCell ref="A12:C12"/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2"/>
  <sheetViews>
    <sheetView view="pageBreakPreview" topLeftCell="A32" zoomScaleNormal="100" zoomScaleSheetLayoutView="100" workbookViewId="0">
      <selection activeCell="J39" sqref="J39"/>
    </sheetView>
  </sheetViews>
  <sheetFormatPr defaultRowHeight="15" outlineLevelRow="1" x14ac:dyDescent="0.25"/>
  <cols>
    <col min="2" max="2" width="57.7109375" customWidth="1"/>
    <col min="3" max="3" width="36.5703125" customWidth="1"/>
    <col min="4" max="4" width="27.42578125" customWidth="1"/>
    <col min="5" max="5" width="11.85546875" customWidth="1"/>
    <col min="6" max="6" width="14.85546875" customWidth="1"/>
    <col min="8" max="8" width="11.5703125" bestFit="1" customWidth="1"/>
  </cols>
  <sheetData>
    <row r="1" spans="1:17" ht="15.75" hidden="1" x14ac:dyDescent="0.25">
      <c r="A1" s="307"/>
      <c r="B1" s="1240" t="s">
        <v>105</v>
      </c>
      <c r="C1" s="1240"/>
      <c r="D1" s="1240"/>
      <c r="E1" s="1238"/>
      <c r="F1" s="308"/>
    </row>
    <row r="2" spans="1:17" ht="16.5" hidden="1" thickBot="1" x14ac:dyDescent="0.3">
      <c r="A2" s="344" t="s">
        <v>106</v>
      </c>
      <c r="B2" s="302" t="s">
        <v>65</v>
      </c>
      <c r="C2" s="345" t="s">
        <v>0</v>
      </c>
      <c r="D2" s="346">
        <v>8.8000000000000007</v>
      </c>
      <c r="E2" s="347"/>
      <c r="F2" s="40"/>
    </row>
    <row r="3" spans="1:17" ht="47.25" hidden="1" x14ac:dyDescent="0.25">
      <c r="A3" s="344" t="s">
        <v>107</v>
      </c>
      <c r="B3" s="302" t="s">
        <v>108</v>
      </c>
      <c r="C3" s="345" t="s">
        <v>721</v>
      </c>
      <c r="D3" s="346">
        <v>2500</v>
      </c>
      <c r="E3" s="305" t="s">
        <v>722</v>
      </c>
      <c r="F3" s="334" t="s">
        <v>285</v>
      </c>
    </row>
    <row r="4" spans="1:17" ht="21.75" hidden="1" customHeight="1" thickBot="1" x14ac:dyDescent="0.3">
      <c r="A4" s="344" t="s">
        <v>109</v>
      </c>
      <c r="B4" s="302" t="s">
        <v>110</v>
      </c>
      <c r="C4" s="345" t="s">
        <v>721</v>
      </c>
      <c r="D4" s="346">
        <v>1000</v>
      </c>
      <c r="E4" s="305" t="s">
        <v>641</v>
      </c>
      <c r="F4" s="40" t="s">
        <v>262</v>
      </c>
    </row>
    <row r="5" spans="1:17" ht="48" hidden="1" thickBot="1" x14ac:dyDescent="0.3">
      <c r="A5" s="344" t="s">
        <v>111</v>
      </c>
      <c r="B5" s="302" t="s">
        <v>73</v>
      </c>
      <c r="C5" s="345" t="s">
        <v>721</v>
      </c>
      <c r="D5" s="346">
        <v>1800</v>
      </c>
      <c r="E5" s="305" t="s">
        <v>641</v>
      </c>
      <c r="F5" s="40" t="s">
        <v>262</v>
      </c>
      <c r="G5" t="s">
        <v>672</v>
      </c>
    </row>
    <row r="6" spans="1:17" ht="79.5" hidden="1" thickBot="1" x14ac:dyDescent="0.3">
      <c r="A6" s="344" t="s">
        <v>112</v>
      </c>
      <c r="B6" s="302" t="s">
        <v>98</v>
      </c>
      <c r="C6" s="345" t="s">
        <v>723</v>
      </c>
      <c r="D6" s="346">
        <v>5000</v>
      </c>
      <c r="E6" s="305" t="s">
        <v>625</v>
      </c>
      <c r="F6" s="40" t="s">
        <v>261</v>
      </c>
    </row>
    <row r="7" spans="1:17" ht="36.75" hidden="1" customHeight="1" thickBot="1" x14ac:dyDescent="0.3">
      <c r="A7" s="344" t="s">
        <v>113</v>
      </c>
      <c r="B7" s="302" t="s">
        <v>71</v>
      </c>
      <c r="C7" s="345"/>
      <c r="D7" s="346"/>
      <c r="E7" s="305" t="s">
        <v>625</v>
      </c>
      <c r="F7" s="40" t="s">
        <v>256</v>
      </c>
      <c r="G7" t="s">
        <v>626</v>
      </c>
    </row>
    <row r="8" spans="1:17" ht="36.75" hidden="1" customHeight="1" thickBot="1" x14ac:dyDescent="0.3">
      <c r="A8" s="344" t="s">
        <v>724</v>
      </c>
      <c r="B8" s="302" t="s">
        <v>628</v>
      </c>
      <c r="C8" s="345" t="s">
        <v>211</v>
      </c>
      <c r="D8" s="346">
        <v>18</v>
      </c>
      <c r="E8" s="305"/>
      <c r="F8" s="40"/>
    </row>
    <row r="9" spans="1:17" ht="36" hidden="1" customHeight="1" thickBot="1" x14ac:dyDescent="0.3">
      <c r="A9" s="344" t="s">
        <v>725</v>
      </c>
      <c r="B9" s="302" t="s">
        <v>630</v>
      </c>
      <c r="C9" s="345" t="s">
        <v>211</v>
      </c>
      <c r="D9" s="346">
        <v>18</v>
      </c>
      <c r="E9" s="305"/>
      <c r="F9" s="40"/>
    </row>
    <row r="10" spans="1:17" ht="21.75" hidden="1" customHeight="1" thickBot="1" x14ac:dyDescent="0.3">
      <c r="A10" s="344" t="s">
        <v>114</v>
      </c>
      <c r="B10" s="302" t="s">
        <v>115</v>
      </c>
      <c r="C10" s="345" t="s">
        <v>211</v>
      </c>
      <c r="D10" s="346">
        <v>3</v>
      </c>
      <c r="E10" s="347"/>
      <c r="F10" s="40"/>
      <c r="G10" s="1259" t="s">
        <v>281</v>
      </c>
      <c r="H10" s="1260"/>
      <c r="I10" s="1260"/>
      <c r="J10" s="1260"/>
      <c r="K10" s="1260"/>
      <c r="L10" s="1260"/>
      <c r="M10" s="1260"/>
      <c r="N10" s="1260"/>
      <c r="O10" s="1260"/>
      <c r="P10" s="1260"/>
      <c r="Q10" s="1260"/>
    </row>
    <row r="11" spans="1:17" ht="43.5" hidden="1" customHeight="1" thickBot="1" x14ac:dyDescent="0.4">
      <c r="A11" s="320" t="s">
        <v>116</v>
      </c>
      <c r="B11" s="321" t="s">
        <v>117</v>
      </c>
      <c r="C11" s="337" t="s">
        <v>728</v>
      </c>
      <c r="D11" s="338" t="s">
        <v>729</v>
      </c>
      <c r="E11" s="318" t="s">
        <v>646</v>
      </c>
      <c r="F11" s="40" t="s">
        <v>283</v>
      </c>
      <c r="H11" s="339" t="s">
        <v>623</v>
      </c>
    </row>
    <row r="12" spans="1:17" ht="48" hidden="1" thickBot="1" x14ac:dyDescent="0.3">
      <c r="A12" s="344" t="s">
        <v>118</v>
      </c>
      <c r="B12" s="302" t="s">
        <v>104</v>
      </c>
      <c r="C12" s="345" t="s">
        <v>721</v>
      </c>
      <c r="D12" s="346">
        <v>1800</v>
      </c>
      <c r="E12" s="305" t="s">
        <v>641</v>
      </c>
      <c r="F12" s="40" t="s">
        <v>259</v>
      </c>
      <c r="G12" t="s">
        <v>638</v>
      </c>
      <c r="H12" t="s">
        <v>900</v>
      </c>
    </row>
    <row r="13" spans="1:17" ht="15.75" hidden="1" x14ac:dyDescent="0.25">
      <c r="A13" s="344" t="s">
        <v>730</v>
      </c>
      <c r="B13" s="302" t="s">
        <v>679</v>
      </c>
      <c r="C13" s="345"/>
      <c r="D13" s="346"/>
      <c r="E13" s="305"/>
      <c r="F13" s="306"/>
    </row>
    <row r="14" spans="1:17" ht="15.75" hidden="1" x14ac:dyDescent="0.25">
      <c r="A14" s="328" t="s">
        <v>731</v>
      </c>
      <c r="B14" s="329" t="s">
        <v>681</v>
      </c>
      <c r="C14" s="302" t="s">
        <v>660</v>
      </c>
      <c r="D14" s="346">
        <v>150</v>
      </c>
      <c r="E14" s="340"/>
      <c r="F14" s="306"/>
    </row>
    <row r="15" spans="1:17" ht="15.75" hidden="1" x14ac:dyDescent="0.25">
      <c r="A15" s="328" t="s">
        <v>732</v>
      </c>
      <c r="B15" s="329" t="s">
        <v>683</v>
      </c>
      <c r="C15" s="302" t="s">
        <v>660</v>
      </c>
      <c r="D15" s="346">
        <v>200</v>
      </c>
      <c r="E15" s="340"/>
      <c r="F15" s="306"/>
    </row>
    <row r="16" spans="1:17" ht="15.75" hidden="1" x14ac:dyDescent="0.25">
      <c r="A16" s="328" t="s">
        <v>733</v>
      </c>
      <c r="B16" s="302" t="s">
        <v>689</v>
      </c>
      <c r="C16" s="345"/>
      <c r="D16" s="346"/>
      <c r="E16" s="340"/>
      <c r="F16" s="306"/>
    </row>
    <row r="17" spans="1:9" ht="63" hidden="1" x14ac:dyDescent="0.25">
      <c r="A17" s="328" t="s">
        <v>734</v>
      </c>
      <c r="B17" s="302" t="s">
        <v>691</v>
      </c>
      <c r="C17" s="302" t="s">
        <v>692</v>
      </c>
      <c r="D17" s="345" t="s">
        <v>735</v>
      </c>
      <c r="E17" s="340"/>
      <c r="F17" s="306"/>
    </row>
    <row r="18" spans="1:9" ht="15.75" hidden="1" x14ac:dyDescent="0.25">
      <c r="A18" s="328" t="s">
        <v>736</v>
      </c>
      <c r="B18" s="329" t="s">
        <v>737</v>
      </c>
      <c r="C18" s="302" t="s">
        <v>696</v>
      </c>
      <c r="D18" s="346">
        <v>20</v>
      </c>
      <c r="E18" s="340"/>
      <c r="F18" s="306"/>
    </row>
    <row r="19" spans="1:9" ht="15.75" hidden="1" x14ac:dyDescent="0.25">
      <c r="A19" s="328" t="s">
        <v>738</v>
      </c>
      <c r="B19" s="302" t="s">
        <v>698</v>
      </c>
      <c r="C19" s="302"/>
      <c r="D19" s="346"/>
      <c r="E19" s="340"/>
      <c r="F19" s="306"/>
    </row>
    <row r="20" spans="1:9" ht="31.5" hidden="1" x14ac:dyDescent="0.25">
      <c r="A20" s="328" t="s">
        <v>739</v>
      </c>
      <c r="B20" s="302" t="s">
        <v>700</v>
      </c>
      <c r="C20" s="302" t="s">
        <v>701</v>
      </c>
      <c r="D20" s="346">
        <v>8</v>
      </c>
      <c r="E20" s="340"/>
      <c r="F20" s="306"/>
    </row>
    <row r="21" spans="1:9" ht="15.75" hidden="1" x14ac:dyDescent="0.25">
      <c r="A21" s="328" t="s">
        <v>740</v>
      </c>
      <c r="B21" s="329" t="s">
        <v>703</v>
      </c>
      <c r="C21" s="302" t="s">
        <v>704</v>
      </c>
      <c r="D21" s="346">
        <v>3</v>
      </c>
      <c r="E21" s="340"/>
      <c r="F21" s="306"/>
    </row>
    <row r="22" spans="1:9" hidden="1" x14ac:dyDescent="0.25"/>
    <row r="23" spans="1:9" hidden="1" x14ac:dyDescent="0.25"/>
    <row r="24" spans="1:9" hidden="1" x14ac:dyDescent="0.25"/>
    <row r="25" spans="1:9" s="828" customFormat="1" ht="27" customHeight="1" x14ac:dyDescent="0.25">
      <c r="A25" s="1254" t="s">
        <v>2397</v>
      </c>
      <c r="B25" s="1254"/>
      <c r="C25" s="1254"/>
      <c r="E25" s="835"/>
      <c r="F25" s="835" t="s">
        <v>2398</v>
      </c>
      <c r="G25" s="835"/>
      <c r="H25" s="835"/>
      <c r="I25" s="835"/>
    </row>
    <row r="26" spans="1:9" s="831" customFormat="1" x14ac:dyDescent="0.25">
      <c r="A26" s="829"/>
      <c r="B26" s="829"/>
      <c r="C26" s="829"/>
      <c r="D26" s="830"/>
      <c r="E26" s="830"/>
      <c r="F26" s="830"/>
      <c r="G26" s="830"/>
      <c r="H26" s="830"/>
      <c r="I26" s="830"/>
    </row>
    <row r="27" spans="1:9" s="831" customFormat="1" x14ac:dyDescent="0.25">
      <c r="A27" s="829"/>
      <c r="B27" s="829"/>
      <c r="C27" s="829"/>
      <c r="D27" s="830"/>
      <c r="E27" s="830"/>
      <c r="F27" s="830"/>
      <c r="G27" s="830"/>
      <c r="H27" s="830"/>
      <c r="I27" s="830"/>
    </row>
    <row r="28" spans="1:9" s="828" customFormat="1" ht="28.5" customHeight="1" x14ac:dyDescent="0.25">
      <c r="A28" s="1255" t="s">
        <v>2406</v>
      </c>
      <c r="B28" s="1255"/>
      <c r="C28" s="1255"/>
      <c r="D28" s="1255"/>
      <c r="E28" s="1255"/>
      <c r="F28" s="1255"/>
      <c r="G28" s="836"/>
      <c r="H28" s="836"/>
      <c r="I28" s="836"/>
    </row>
    <row r="29" spans="1:9" s="839" customFormat="1" ht="15.75" x14ac:dyDescent="0.25">
      <c r="A29" s="1256" t="s">
        <v>1112</v>
      </c>
      <c r="B29" s="1256"/>
      <c r="C29" s="1256"/>
      <c r="D29" s="1256"/>
      <c r="E29" s="1256"/>
      <c r="F29" s="1256"/>
      <c r="G29" s="838"/>
      <c r="H29" s="838"/>
      <c r="I29" s="838"/>
    </row>
    <row r="30" spans="1:9" s="828" customFormat="1" ht="15.75" x14ac:dyDescent="0.25">
      <c r="A30" s="840"/>
      <c r="B30" s="840"/>
      <c r="C30" s="840"/>
      <c r="D30" s="841"/>
      <c r="E30" s="841"/>
      <c r="F30" s="841"/>
      <c r="G30" s="829"/>
      <c r="H30" s="832"/>
      <c r="I30" s="832"/>
    </row>
    <row r="31" spans="1:9" s="828" customFormat="1" ht="81" customHeight="1" x14ac:dyDescent="0.25">
      <c r="A31" s="1258" t="s">
        <v>2399</v>
      </c>
      <c r="B31" s="1258"/>
      <c r="C31" s="1257" t="s">
        <v>2407</v>
      </c>
      <c r="D31" s="1257"/>
      <c r="E31" s="1257"/>
      <c r="F31" s="1257"/>
      <c r="G31" s="837"/>
      <c r="H31" s="837"/>
      <c r="I31" s="837"/>
    </row>
    <row r="32" spans="1:9" s="828" customFormat="1" ht="15.75" x14ac:dyDescent="0.25">
      <c r="A32" s="842"/>
      <c r="B32" s="842"/>
      <c r="C32" s="842"/>
      <c r="D32" s="840"/>
      <c r="E32" s="840"/>
      <c r="F32" s="840"/>
      <c r="G32" s="832"/>
      <c r="H32" s="832"/>
      <c r="I32" s="832"/>
    </row>
    <row r="33" spans="1:11" s="828" customFormat="1" ht="41.25" customHeight="1" x14ac:dyDescent="0.25">
      <c r="A33" s="1253" t="s">
        <v>1203</v>
      </c>
      <c r="B33" s="1253"/>
      <c r="C33" s="843"/>
      <c r="D33" s="843"/>
      <c r="E33" s="843"/>
      <c r="F33" s="843"/>
      <c r="G33" s="833"/>
      <c r="H33" s="833"/>
      <c r="I33" s="833"/>
    </row>
    <row r="34" spans="1:11" s="828" customFormat="1" ht="15.75" x14ac:dyDescent="0.25">
      <c r="A34" s="840"/>
      <c r="B34" s="840"/>
      <c r="C34" s="840"/>
      <c r="D34" s="840"/>
      <c r="E34" s="840"/>
      <c r="F34" s="840"/>
      <c r="G34" s="832"/>
      <c r="H34" s="832"/>
      <c r="I34" s="832"/>
    </row>
    <row r="35" spans="1:11" s="828" customFormat="1" ht="30" customHeight="1" x14ac:dyDescent="0.25">
      <c r="A35" s="1253" t="s">
        <v>2400</v>
      </c>
      <c r="B35" s="1253"/>
      <c r="C35" s="843" t="s">
        <v>2403</v>
      </c>
      <c r="D35" s="843"/>
      <c r="E35" s="843"/>
      <c r="F35" s="843"/>
      <c r="G35" s="833"/>
      <c r="H35" s="833"/>
      <c r="I35" s="833"/>
    </row>
    <row r="36" spans="1:11" s="294" customFormat="1" ht="38.25" x14ac:dyDescent="0.25">
      <c r="A36" s="291" t="s">
        <v>529</v>
      </c>
      <c r="B36" s="291" t="s">
        <v>528</v>
      </c>
      <c r="C36" s="291" t="s">
        <v>527</v>
      </c>
      <c r="D36" s="292" t="s">
        <v>526</v>
      </c>
      <c r="E36" s="293"/>
      <c r="F36" s="291" t="s">
        <v>525</v>
      </c>
    </row>
    <row r="37" spans="1:11" s="268" customFormat="1" ht="12.75" x14ac:dyDescent="0.2">
      <c r="A37" s="290">
        <v>1</v>
      </c>
      <c r="B37" s="290">
        <v>2</v>
      </c>
      <c r="C37" s="290">
        <v>3</v>
      </c>
      <c r="D37" s="290">
        <v>4</v>
      </c>
      <c r="E37" s="290"/>
      <c r="F37" s="290">
        <v>5</v>
      </c>
      <c r="G37" s="295"/>
    </row>
    <row r="38" spans="1:11" x14ac:dyDescent="0.25">
      <c r="A38" s="844"/>
      <c r="B38" s="845" t="s">
        <v>326</v>
      </c>
      <c r="C38" s="847">
        <v>2.5</v>
      </c>
      <c r="D38" s="847" t="s">
        <v>210</v>
      </c>
      <c r="E38" s="844"/>
      <c r="F38" s="844"/>
    </row>
    <row r="39" spans="1:11" s="2" customFormat="1" ht="89.25" x14ac:dyDescent="0.25">
      <c r="A39" s="854"/>
      <c r="B39" s="394" t="s">
        <v>2387</v>
      </c>
      <c r="C39" s="394" t="s">
        <v>2386</v>
      </c>
      <c r="D39" s="394" t="s">
        <v>2385</v>
      </c>
      <c r="E39" s="854"/>
      <c r="F39" s="855">
        <f>(118.75+118.75*C38)*1*D40*D41*D42*D43*D44*C57*1000</f>
        <v>1563481.1808000002</v>
      </c>
      <c r="G39" s="37"/>
      <c r="H39" s="37"/>
      <c r="I39"/>
      <c r="J39"/>
      <c r="K39"/>
    </row>
    <row r="40" spans="1:11" s="3" customFormat="1" x14ac:dyDescent="0.25">
      <c r="A40" s="866"/>
      <c r="B40" s="865" t="s">
        <v>4</v>
      </c>
      <c r="C40" s="865" t="s">
        <v>5</v>
      </c>
      <c r="D40" s="866">
        <v>0.4</v>
      </c>
      <c r="E40" s="866"/>
      <c r="F40" s="866"/>
      <c r="I40"/>
      <c r="J40"/>
      <c r="K40"/>
    </row>
    <row r="41" spans="1:11" ht="25.5" x14ac:dyDescent="0.25">
      <c r="A41" s="844"/>
      <c r="B41" s="394" t="s">
        <v>325</v>
      </c>
      <c r="C41" s="394"/>
      <c r="D41" s="854">
        <v>1.08</v>
      </c>
      <c r="E41" s="844"/>
      <c r="F41" s="844"/>
    </row>
    <row r="42" spans="1:11" ht="51" x14ac:dyDescent="0.25">
      <c r="A42" s="844"/>
      <c r="B42" s="394" t="s">
        <v>323</v>
      </c>
      <c r="C42" s="394"/>
      <c r="D42" s="854">
        <v>1.1000000000000001</v>
      </c>
      <c r="E42" s="844"/>
      <c r="F42" s="844"/>
    </row>
    <row r="43" spans="1:11" ht="63.75" x14ac:dyDescent="0.25">
      <c r="A43" s="844"/>
      <c r="B43" s="394" t="s">
        <v>324</v>
      </c>
      <c r="C43" s="394"/>
      <c r="D43" s="854">
        <v>1.2</v>
      </c>
      <c r="E43" s="844"/>
      <c r="F43" s="844"/>
    </row>
    <row r="44" spans="1:11" ht="51.75" x14ac:dyDescent="0.25">
      <c r="A44" s="844"/>
      <c r="B44" s="895" t="s">
        <v>321</v>
      </c>
      <c r="C44" s="895" t="s">
        <v>322</v>
      </c>
      <c r="D44" s="844">
        <v>1.24</v>
      </c>
      <c r="E44" s="844"/>
      <c r="F44" s="844"/>
    </row>
    <row r="45" spans="1:11" x14ac:dyDescent="0.25">
      <c r="A45" s="844"/>
      <c r="B45" s="896" t="s">
        <v>6</v>
      </c>
      <c r="C45" s="897">
        <f>SUM(C46:C55)</f>
        <v>1.0000000000000002</v>
      </c>
      <c r="D45" s="857"/>
      <c r="E45" s="916">
        <f>SUM(E46:E55)</f>
        <v>1.0000000000000002</v>
      </c>
      <c r="F45" s="856"/>
      <c r="G45" s="9"/>
      <c r="H45" s="9"/>
    </row>
    <row r="46" spans="1:11" hidden="1" outlineLevel="1" x14ac:dyDescent="0.25">
      <c r="A46" s="844"/>
      <c r="B46" s="900" t="s">
        <v>313</v>
      </c>
      <c r="C46" s="928">
        <v>0.08</v>
      </c>
      <c r="D46" s="844">
        <v>1</v>
      </c>
      <c r="E46" s="899">
        <f>C46*D46</f>
        <v>0.08</v>
      </c>
      <c r="F46" s="844"/>
    </row>
    <row r="47" spans="1:11" hidden="1" outlineLevel="1" x14ac:dyDescent="0.25">
      <c r="A47" s="844"/>
      <c r="B47" s="900" t="s">
        <v>314</v>
      </c>
      <c r="C47" s="928">
        <v>0.32</v>
      </c>
      <c r="D47" s="844">
        <v>1</v>
      </c>
      <c r="E47" s="899">
        <f t="shared" ref="E47:E55" si="0">C47*D47</f>
        <v>0.32</v>
      </c>
      <c r="F47" s="844"/>
    </row>
    <row r="48" spans="1:11" hidden="1" outlineLevel="1" x14ac:dyDescent="0.25">
      <c r="A48" s="844"/>
      <c r="B48" s="900" t="s">
        <v>315</v>
      </c>
      <c r="C48" s="928">
        <v>0.05</v>
      </c>
      <c r="D48" s="844">
        <v>1</v>
      </c>
      <c r="E48" s="899">
        <f t="shared" si="0"/>
        <v>0.05</v>
      </c>
      <c r="F48" s="844"/>
    </row>
    <row r="49" spans="1:11" hidden="1" outlineLevel="1" x14ac:dyDescent="0.25">
      <c r="A49" s="844"/>
      <c r="B49" s="900" t="s">
        <v>316</v>
      </c>
      <c r="C49" s="928">
        <v>0.1</v>
      </c>
      <c r="D49" s="844">
        <v>1</v>
      </c>
      <c r="E49" s="899">
        <f t="shared" si="0"/>
        <v>0.1</v>
      </c>
      <c r="F49" s="857"/>
      <c r="G49" s="6"/>
      <c r="H49" s="6"/>
    </row>
    <row r="50" spans="1:11" hidden="1" outlineLevel="1" x14ac:dyDescent="0.25">
      <c r="A50" s="844"/>
      <c r="B50" s="900" t="s">
        <v>317</v>
      </c>
      <c r="C50" s="928">
        <v>0.06</v>
      </c>
      <c r="D50" s="844">
        <v>1</v>
      </c>
      <c r="E50" s="899">
        <f t="shared" si="0"/>
        <v>0.06</v>
      </c>
      <c r="F50" s="857"/>
      <c r="G50" s="6"/>
      <c r="H50" s="6"/>
    </row>
    <row r="51" spans="1:11" hidden="1" outlineLevel="1" x14ac:dyDescent="0.25">
      <c r="A51" s="844"/>
      <c r="B51" s="900" t="s">
        <v>318</v>
      </c>
      <c r="C51" s="928">
        <v>0.03</v>
      </c>
      <c r="D51" s="844">
        <v>1</v>
      </c>
      <c r="E51" s="899">
        <f t="shared" si="0"/>
        <v>0.03</v>
      </c>
      <c r="F51" s="857"/>
      <c r="G51" s="6"/>
      <c r="H51" s="6"/>
    </row>
    <row r="52" spans="1:11" ht="25.5" hidden="1" outlineLevel="1" x14ac:dyDescent="0.25">
      <c r="A52" s="844"/>
      <c r="B52" s="900" t="s">
        <v>319</v>
      </c>
      <c r="C52" s="928">
        <v>0.01</v>
      </c>
      <c r="D52" s="844">
        <v>1</v>
      </c>
      <c r="E52" s="899">
        <f t="shared" si="0"/>
        <v>0.01</v>
      </c>
      <c r="F52" s="858"/>
      <c r="G52" s="7"/>
      <c r="H52" s="7"/>
      <c r="I52" s="8"/>
    </row>
    <row r="53" spans="1:11" hidden="1" outlineLevel="1" x14ac:dyDescent="0.25">
      <c r="A53" s="844"/>
      <c r="B53" s="900" t="s">
        <v>320</v>
      </c>
      <c r="C53" s="928">
        <v>0.06</v>
      </c>
      <c r="D53" s="844">
        <v>1</v>
      </c>
      <c r="E53" s="899">
        <f t="shared" si="0"/>
        <v>0.06</v>
      </c>
      <c r="F53" s="857"/>
      <c r="G53" s="6"/>
      <c r="H53" s="6"/>
    </row>
    <row r="54" spans="1:11" hidden="1" outlineLevel="1" x14ac:dyDescent="0.25">
      <c r="A54" s="844"/>
      <c r="B54" s="900" t="s">
        <v>30</v>
      </c>
      <c r="C54" s="928">
        <v>0.18</v>
      </c>
      <c r="D54" s="844">
        <v>1</v>
      </c>
      <c r="E54" s="899">
        <f t="shared" si="0"/>
        <v>0.18</v>
      </c>
      <c r="F54" s="844"/>
    </row>
    <row r="55" spans="1:11" hidden="1" outlineLevel="1" x14ac:dyDescent="0.25">
      <c r="A55" s="844"/>
      <c r="B55" s="844" t="s">
        <v>13</v>
      </c>
      <c r="C55" s="901">
        <v>0.11</v>
      </c>
      <c r="D55" s="844">
        <v>1</v>
      </c>
      <c r="E55" s="899">
        <f t="shared" si="0"/>
        <v>0.11</v>
      </c>
      <c r="F55" s="858"/>
      <c r="G55" s="7"/>
      <c r="H55" s="7"/>
      <c r="I55" s="8"/>
    </row>
    <row r="56" spans="1:11" s="19" customFormat="1" ht="15.75" collapsed="1" x14ac:dyDescent="0.25">
      <c r="A56" s="847"/>
      <c r="B56" s="847" t="s">
        <v>48</v>
      </c>
      <c r="C56" s="847"/>
      <c r="D56" s="847"/>
      <c r="E56" s="847"/>
      <c r="F56" s="847"/>
    </row>
    <row r="57" spans="1:11" s="19" customFormat="1" ht="15.75" x14ac:dyDescent="0.25">
      <c r="A57" s="847"/>
      <c r="B57" s="847" t="s">
        <v>49</v>
      </c>
      <c r="C57" s="847">
        <v>5.32</v>
      </c>
      <c r="D57" s="905"/>
      <c r="E57" s="847"/>
      <c r="F57" s="847"/>
    </row>
    <row r="58" spans="1:11" collapsed="1" x14ac:dyDescent="0.25">
      <c r="A58" s="854"/>
      <c r="B58" s="861" t="s">
        <v>73</v>
      </c>
      <c r="C58" s="862">
        <f>D5</f>
        <v>1800</v>
      </c>
      <c r="D58" s="862" t="s">
        <v>746</v>
      </c>
      <c r="E58" s="854"/>
      <c r="F58" s="854"/>
    </row>
    <row r="59" spans="1:11" s="2" customFormat="1" ht="127.5" x14ac:dyDescent="0.25">
      <c r="A59" s="854"/>
      <c r="B59" s="854" t="s">
        <v>1089</v>
      </c>
      <c r="C59" s="863" t="s">
        <v>1088</v>
      </c>
      <c r="D59" s="394" t="s">
        <v>1090</v>
      </c>
      <c r="E59" s="854"/>
      <c r="F59" s="855">
        <f>(75.97+0.013*1800)*1*D60*D61*D62*D63*C82*1000</f>
        <v>511663.09211062506</v>
      </c>
      <c r="I59"/>
      <c r="J59"/>
      <c r="K59"/>
    </row>
    <row r="60" spans="1:11" s="3" customFormat="1" x14ac:dyDescent="0.25">
      <c r="A60" s="866"/>
      <c r="B60" s="865" t="s">
        <v>4</v>
      </c>
      <c r="C60" s="865" t="s">
        <v>852</v>
      </c>
      <c r="D60" s="866">
        <v>0.5</v>
      </c>
      <c r="E60" s="866"/>
      <c r="F60" s="866"/>
      <c r="I60"/>
      <c r="J60"/>
      <c r="K60"/>
    </row>
    <row r="61" spans="1:11" ht="63.75" x14ac:dyDescent="0.25">
      <c r="A61" s="854"/>
      <c r="B61" s="394" t="s">
        <v>276</v>
      </c>
      <c r="C61" s="394" t="s">
        <v>329</v>
      </c>
      <c r="D61" s="867">
        <v>1.3</v>
      </c>
      <c r="E61" s="854"/>
      <c r="F61" s="854"/>
    </row>
    <row r="62" spans="1:11" ht="63.75" x14ac:dyDescent="0.25">
      <c r="A62" s="854"/>
      <c r="B62" s="394" t="s">
        <v>278</v>
      </c>
      <c r="C62" s="394" t="s">
        <v>328</v>
      </c>
      <c r="D62" s="868">
        <v>1.25</v>
      </c>
      <c r="E62" s="854"/>
      <c r="F62" s="854"/>
    </row>
    <row r="63" spans="1:11" ht="76.5" x14ac:dyDescent="0.25">
      <c r="A63" s="854"/>
      <c r="B63" s="394" t="s">
        <v>15</v>
      </c>
      <c r="C63" s="394" t="s">
        <v>275</v>
      </c>
      <c r="D63" s="854">
        <f>E64/1</f>
        <v>1.191225</v>
      </c>
      <c r="E63" s="854"/>
      <c r="F63" s="854"/>
    </row>
    <row r="64" spans="1:11" x14ac:dyDescent="0.25">
      <c r="A64" s="854"/>
      <c r="B64" s="390" t="s">
        <v>6</v>
      </c>
      <c r="C64" s="869">
        <f>SUM(C65:C80)</f>
        <v>1</v>
      </c>
      <c r="D64" s="870"/>
      <c r="E64" s="871">
        <f>SUM(E65:E80)</f>
        <v>1.191225</v>
      </c>
      <c r="F64" s="872"/>
      <c r="G64" s="9"/>
      <c r="H64" s="9"/>
    </row>
    <row r="65" spans="1:6" hidden="1" outlineLevel="1" x14ac:dyDescent="0.25">
      <c r="A65" s="854"/>
      <c r="B65" s="394" t="s">
        <v>20</v>
      </c>
      <c r="C65" s="873">
        <v>0.02</v>
      </c>
      <c r="D65" s="874">
        <v>1</v>
      </c>
      <c r="E65" s="875">
        <f>C65*D65</f>
        <v>0.02</v>
      </c>
      <c r="F65" s="854"/>
    </row>
    <row r="66" spans="1:6" hidden="1" outlineLevel="1" x14ac:dyDescent="0.25">
      <c r="A66" s="854"/>
      <c r="B66" s="394" t="s">
        <v>265</v>
      </c>
      <c r="C66" s="873">
        <v>0.02</v>
      </c>
      <c r="D66" s="874" t="s">
        <v>16</v>
      </c>
      <c r="E66" s="875">
        <f>C66*(1+0.3)</f>
        <v>2.6000000000000002E-2</v>
      </c>
      <c r="F66" s="854"/>
    </row>
    <row r="67" spans="1:6" ht="38.25" hidden="1" outlineLevel="1" x14ac:dyDescent="0.25">
      <c r="A67" s="854"/>
      <c r="B67" s="394" t="s">
        <v>266</v>
      </c>
      <c r="C67" s="873"/>
      <c r="D67" s="876">
        <v>1</v>
      </c>
      <c r="E67" s="873">
        <f>C67*D67</f>
        <v>0</v>
      </c>
      <c r="F67" s="854"/>
    </row>
    <row r="68" spans="1:6" hidden="1" outlineLevel="1" x14ac:dyDescent="0.25">
      <c r="A68" s="854"/>
      <c r="B68" s="877" t="s">
        <v>43</v>
      </c>
      <c r="C68" s="878">
        <v>0.245</v>
      </c>
      <c r="D68" s="874" t="s">
        <v>16</v>
      </c>
      <c r="E68" s="875">
        <f>C68*(1+0.3)</f>
        <v>0.31850000000000001</v>
      </c>
      <c r="F68" s="854"/>
    </row>
    <row r="69" spans="1:6" hidden="1" outlineLevel="1" x14ac:dyDescent="0.25">
      <c r="A69" s="854"/>
      <c r="B69" s="877" t="s">
        <v>267</v>
      </c>
      <c r="C69" s="878">
        <v>0.27500000000000002</v>
      </c>
      <c r="D69" s="874" t="s">
        <v>16</v>
      </c>
      <c r="E69" s="875">
        <f>C69*(1+0.3)</f>
        <v>0.35750000000000004</v>
      </c>
      <c r="F69" s="854"/>
    </row>
    <row r="70" spans="1:6" hidden="1" outlineLevel="1" x14ac:dyDescent="0.25">
      <c r="A70" s="854"/>
      <c r="B70" s="877" t="s">
        <v>268</v>
      </c>
      <c r="C70" s="878">
        <v>1.4999999999999999E-2</v>
      </c>
      <c r="D70" s="874" t="s">
        <v>16</v>
      </c>
      <c r="E70" s="875">
        <f>C70*(1+0.3)</f>
        <v>1.95E-2</v>
      </c>
      <c r="F70" s="854"/>
    </row>
    <row r="71" spans="1:6" hidden="1" outlineLevel="1" x14ac:dyDescent="0.25">
      <c r="A71" s="854"/>
      <c r="B71" s="877" t="s">
        <v>269</v>
      </c>
      <c r="C71" s="878">
        <v>2.5000000000000001E-2</v>
      </c>
      <c r="D71" s="879">
        <v>1</v>
      </c>
      <c r="E71" s="878">
        <f>C71*D71</f>
        <v>2.5000000000000001E-2</v>
      </c>
      <c r="F71" s="854"/>
    </row>
    <row r="72" spans="1:6" hidden="1" outlineLevel="1" x14ac:dyDescent="0.25">
      <c r="A72" s="854"/>
      <c r="B72" s="877" t="s">
        <v>37</v>
      </c>
      <c r="C72" s="878">
        <v>0.1</v>
      </c>
      <c r="D72" s="876">
        <v>1</v>
      </c>
      <c r="E72" s="878">
        <f>C72*D72</f>
        <v>0.1</v>
      </c>
      <c r="F72" s="854"/>
    </row>
    <row r="73" spans="1:6" hidden="1" outlineLevel="1" x14ac:dyDescent="0.25">
      <c r="A73" s="854"/>
      <c r="B73" s="877" t="s">
        <v>270</v>
      </c>
      <c r="C73" s="878">
        <v>2.5000000000000001E-2</v>
      </c>
      <c r="D73" s="879">
        <v>1</v>
      </c>
      <c r="E73" s="878">
        <f>C73*D73</f>
        <v>2.5000000000000001E-2</v>
      </c>
      <c r="F73" s="854"/>
    </row>
    <row r="74" spans="1:6" hidden="1" outlineLevel="1" x14ac:dyDescent="0.25">
      <c r="A74" s="854"/>
      <c r="B74" s="877" t="s">
        <v>271</v>
      </c>
      <c r="C74" s="878">
        <v>1.4999999999999999E-2</v>
      </c>
      <c r="D74" s="879">
        <v>1</v>
      </c>
      <c r="E74" s="878">
        <f>C74*D74</f>
        <v>1.4999999999999999E-2</v>
      </c>
      <c r="F74" s="854"/>
    </row>
    <row r="75" spans="1:6" hidden="1" outlineLevel="1" x14ac:dyDescent="0.25">
      <c r="A75" s="854"/>
      <c r="B75" s="394" t="s">
        <v>272</v>
      </c>
      <c r="C75" s="878">
        <v>0.06</v>
      </c>
      <c r="D75" s="874" t="s">
        <v>16</v>
      </c>
      <c r="E75" s="878">
        <f>C75*(1+0.3)</f>
        <v>7.8E-2</v>
      </c>
      <c r="F75" s="854"/>
    </row>
    <row r="76" spans="1:6" hidden="1" outlineLevel="1" x14ac:dyDescent="0.25">
      <c r="A76" s="854"/>
      <c r="B76" s="394" t="s">
        <v>30</v>
      </c>
      <c r="C76" s="878">
        <v>0.02</v>
      </c>
      <c r="D76" s="879">
        <v>1</v>
      </c>
      <c r="E76" s="878">
        <f>C76*D76</f>
        <v>0.02</v>
      </c>
      <c r="F76" s="854"/>
    </row>
    <row r="77" spans="1:6" hidden="1" outlineLevel="1" x14ac:dyDescent="0.25">
      <c r="A77" s="854"/>
      <c r="B77" s="394" t="s">
        <v>273</v>
      </c>
      <c r="C77" s="878">
        <v>0.01</v>
      </c>
      <c r="D77" s="876">
        <v>1</v>
      </c>
      <c r="E77" s="878">
        <f>C77*D77</f>
        <v>0.01</v>
      </c>
      <c r="F77" s="854"/>
    </row>
    <row r="78" spans="1:6" hidden="1" outlineLevel="1" x14ac:dyDescent="0.25">
      <c r="A78" s="854"/>
      <c r="B78" s="394" t="s">
        <v>274</v>
      </c>
      <c r="C78" s="878">
        <v>0.09</v>
      </c>
      <c r="D78" s="879">
        <v>1</v>
      </c>
      <c r="E78" s="878">
        <f>C78*D78</f>
        <v>0.09</v>
      </c>
      <c r="F78" s="854"/>
    </row>
    <row r="79" spans="1:6" hidden="1" outlineLevel="1" x14ac:dyDescent="0.25">
      <c r="A79" s="854"/>
      <c r="B79" s="394" t="s">
        <v>32</v>
      </c>
      <c r="C79" s="878">
        <v>0.03</v>
      </c>
      <c r="D79" s="879">
        <v>1</v>
      </c>
      <c r="E79" s="878">
        <f>C79*D79</f>
        <v>0.03</v>
      </c>
      <c r="F79" s="854"/>
    </row>
    <row r="80" spans="1:6" hidden="1" outlineLevel="1" x14ac:dyDescent="0.25">
      <c r="A80" s="854"/>
      <c r="B80" s="394" t="s">
        <v>212</v>
      </c>
      <c r="C80" s="878">
        <v>0.05</v>
      </c>
      <c r="D80" s="876"/>
      <c r="E80" s="875">
        <f>SUM(E65:E79)*C80</f>
        <v>5.6725000000000005E-2</v>
      </c>
      <c r="F80" s="854"/>
    </row>
    <row r="81" spans="1:11" s="19" customFormat="1" ht="15.75" collapsed="1" x14ac:dyDescent="0.25">
      <c r="A81" s="862"/>
      <c r="B81" s="862" t="s">
        <v>48</v>
      </c>
      <c r="C81" s="862"/>
      <c r="D81" s="862"/>
      <c r="E81" s="862"/>
      <c r="F81" s="862"/>
    </row>
    <row r="82" spans="1:11" s="19" customFormat="1" ht="15.75" x14ac:dyDescent="0.25">
      <c r="A82" s="862"/>
      <c r="B82" s="862" t="s">
        <v>49</v>
      </c>
      <c r="C82" s="862">
        <v>5.32</v>
      </c>
      <c r="D82" s="880"/>
      <c r="E82" s="862"/>
      <c r="F82" s="862"/>
    </row>
    <row r="83" spans="1:11" x14ac:dyDescent="0.25">
      <c r="A83" s="844"/>
      <c r="B83" s="845" t="s">
        <v>327</v>
      </c>
      <c r="C83" s="847">
        <v>1</v>
      </c>
      <c r="D83" s="847" t="s">
        <v>211</v>
      </c>
      <c r="E83" s="844"/>
      <c r="F83" s="844"/>
    </row>
    <row r="84" spans="1:11" s="2" customFormat="1" ht="102" x14ac:dyDescent="0.25">
      <c r="A84" s="854"/>
      <c r="B84" s="854"/>
      <c r="C84" s="863" t="s">
        <v>263</v>
      </c>
      <c r="D84" s="394" t="s">
        <v>881</v>
      </c>
      <c r="E84" s="854"/>
      <c r="F84" s="855">
        <f>12.49*1*D85*D86*C105*1000</f>
        <v>31661.235732000005</v>
      </c>
      <c r="I84"/>
      <c r="J84"/>
      <c r="K84"/>
    </row>
    <row r="85" spans="1:11" s="3" customFormat="1" x14ac:dyDescent="0.25">
      <c r="A85" s="866"/>
      <c r="B85" s="865" t="s">
        <v>4</v>
      </c>
      <c r="C85" s="865" t="s">
        <v>5</v>
      </c>
      <c r="D85" s="866">
        <v>0.4</v>
      </c>
      <c r="E85" s="866"/>
      <c r="F85" s="866"/>
      <c r="I85"/>
      <c r="J85"/>
      <c r="K85"/>
    </row>
    <row r="86" spans="1:11" ht="77.25" x14ac:dyDescent="0.25">
      <c r="A86" s="844"/>
      <c r="B86" s="895" t="s">
        <v>15</v>
      </c>
      <c r="C86" s="895" t="s">
        <v>275</v>
      </c>
      <c r="D86" s="844">
        <f>E87/1</f>
        <v>1.191225</v>
      </c>
      <c r="E86" s="844"/>
      <c r="F86" s="844"/>
    </row>
    <row r="87" spans="1:11" x14ac:dyDescent="0.25">
      <c r="A87" s="844"/>
      <c r="B87" s="896" t="s">
        <v>6</v>
      </c>
      <c r="C87" s="897">
        <f>SUM(C88:C103)</f>
        <v>1</v>
      </c>
      <c r="D87" s="857"/>
      <c r="E87" s="916">
        <f>SUM(E88:E103)</f>
        <v>1.191225</v>
      </c>
      <c r="F87" s="856"/>
      <c r="G87" s="9"/>
      <c r="H87" s="9"/>
    </row>
    <row r="88" spans="1:11" hidden="1" outlineLevel="1" x14ac:dyDescent="0.25">
      <c r="A88" s="844"/>
      <c r="B88" s="900" t="s">
        <v>20</v>
      </c>
      <c r="C88" s="901">
        <v>0.02</v>
      </c>
      <c r="D88" s="920">
        <v>1</v>
      </c>
      <c r="E88" s="899">
        <f>C88*D88</f>
        <v>0.02</v>
      </c>
      <c r="F88" s="844"/>
    </row>
    <row r="89" spans="1:11" hidden="1" outlineLevel="1" x14ac:dyDescent="0.25">
      <c r="A89" s="844"/>
      <c r="B89" s="900" t="s">
        <v>265</v>
      </c>
      <c r="C89" s="901">
        <v>0.02</v>
      </c>
      <c r="D89" s="920" t="s">
        <v>16</v>
      </c>
      <c r="E89" s="899">
        <f>C89*(1+0.3)</f>
        <v>2.6000000000000002E-2</v>
      </c>
      <c r="F89" s="844"/>
    </row>
    <row r="90" spans="1:11" ht="38.25" hidden="1" outlineLevel="1" x14ac:dyDescent="0.25">
      <c r="A90" s="844"/>
      <c r="B90" s="900" t="s">
        <v>266</v>
      </c>
      <c r="C90" s="901"/>
      <c r="D90" s="921">
        <v>1</v>
      </c>
      <c r="E90" s="901">
        <f>C90*D90</f>
        <v>0</v>
      </c>
      <c r="F90" s="844"/>
    </row>
    <row r="91" spans="1:11" hidden="1" outlineLevel="1" x14ac:dyDescent="0.25">
      <c r="A91" s="844"/>
      <c r="B91" s="903" t="s">
        <v>43</v>
      </c>
      <c r="C91" s="922">
        <v>0.245</v>
      </c>
      <c r="D91" s="920" t="s">
        <v>16</v>
      </c>
      <c r="E91" s="899">
        <f>C91*(1+0.3)</f>
        <v>0.31850000000000001</v>
      </c>
      <c r="F91" s="844"/>
    </row>
    <row r="92" spans="1:11" hidden="1" outlineLevel="1" x14ac:dyDescent="0.25">
      <c r="A92" s="844"/>
      <c r="B92" s="903" t="s">
        <v>267</v>
      </c>
      <c r="C92" s="922">
        <v>0.27500000000000002</v>
      </c>
      <c r="D92" s="920" t="s">
        <v>16</v>
      </c>
      <c r="E92" s="899">
        <f>C92*(1+0.3)</f>
        <v>0.35750000000000004</v>
      </c>
      <c r="F92" s="844"/>
    </row>
    <row r="93" spans="1:11" hidden="1" outlineLevel="1" x14ac:dyDescent="0.25">
      <c r="A93" s="844"/>
      <c r="B93" s="903" t="s">
        <v>268</v>
      </c>
      <c r="C93" s="922">
        <v>1.4999999999999999E-2</v>
      </c>
      <c r="D93" s="920" t="s">
        <v>16</v>
      </c>
      <c r="E93" s="899">
        <f>C93*(1+0.3)</f>
        <v>1.95E-2</v>
      </c>
      <c r="F93" s="844"/>
    </row>
    <row r="94" spans="1:11" hidden="1" outlineLevel="1" x14ac:dyDescent="0.25">
      <c r="A94" s="844"/>
      <c r="B94" s="903" t="s">
        <v>269</v>
      </c>
      <c r="C94" s="922">
        <v>2.5000000000000001E-2</v>
      </c>
      <c r="D94" s="902">
        <v>1</v>
      </c>
      <c r="E94" s="922">
        <f>C94*D94</f>
        <v>2.5000000000000001E-2</v>
      </c>
      <c r="F94" s="844"/>
    </row>
    <row r="95" spans="1:11" hidden="1" outlineLevel="1" x14ac:dyDescent="0.25">
      <c r="A95" s="844"/>
      <c r="B95" s="903" t="s">
        <v>37</v>
      </c>
      <c r="C95" s="922">
        <v>0.1</v>
      </c>
      <c r="D95" s="921">
        <v>1</v>
      </c>
      <c r="E95" s="922">
        <f>C95*D95</f>
        <v>0.1</v>
      </c>
      <c r="F95" s="844"/>
    </row>
    <row r="96" spans="1:11" hidden="1" outlineLevel="1" x14ac:dyDescent="0.25">
      <c r="A96" s="844"/>
      <c r="B96" s="903" t="s">
        <v>270</v>
      </c>
      <c r="C96" s="922">
        <v>2.5000000000000001E-2</v>
      </c>
      <c r="D96" s="902">
        <v>1</v>
      </c>
      <c r="E96" s="922">
        <f>C96*D96</f>
        <v>2.5000000000000001E-2</v>
      </c>
      <c r="F96" s="844"/>
    </row>
    <row r="97" spans="1:16" hidden="1" outlineLevel="1" x14ac:dyDescent="0.25">
      <c r="A97" s="844"/>
      <c r="B97" s="903" t="s">
        <v>271</v>
      </c>
      <c r="C97" s="922">
        <v>1.4999999999999999E-2</v>
      </c>
      <c r="D97" s="902">
        <v>1</v>
      </c>
      <c r="E97" s="922">
        <f>C97*D97</f>
        <v>1.4999999999999999E-2</v>
      </c>
      <c r="F97" s="844"/>
    </row>
    <row r="98" spans="1:16" hidden="1" outlineLevel="1" x14ac:dyDescent="0.25">
      <c r="A98" s="844"/>
      <c r="B98" s="900" t="s">
        <v>272</v>
      </c>
      <c r="C98" s="922">
        <v>0.06</v>
      </c>
      <c r="D98" s="920" t="s">
        <v>16</v>
      </c>
      <c r="E98" s="922">
        <f>C98*(1+0.3)</f>
        <v>7.8E-2</v>
      </c>
      <c r="F98" s="844"/>
    </row>
    <row r="99" spans="1:16" hidden="1" outlineLevel="1" x14ac:dyDescent="0.25">
      <c r="A99" s="844"/>
      <c r="B99" s="900" t="s">
        <v>30</v>
      </c>
      <c r="C99" s="922">
        <v>0.02</v>
      </c>
      <c r="D99" s="902">
        <v>1</v>
      </c>
      <c r="E99" s="922">
        <f>C99*D99</f>
        <v>0.02</v>
      </c>
      <c r="F99" s="844"/>
    </row>
    <row r="100" spans="1:16" hidden="1" outlineLevel="1" x14ac:dyDescent="0.25">
      <c r="A100" s="844"/>
      <c r="B100" s="900" t="s">
        <v>273</v>
      </c>
      <c r="C100" s="922">
        <v>0.01</v>
      </c>
      <c r="D100" s="921">
        <v>1</v>
      </c>
      <c r="E100" s="922">
        <f>C100*D100</f>
        <v>0.01</v>
      </c>
      <c r="F100" s="844"/>
    </row>
    <row r="101" spans="1:16" hidden="1" outlineLevel="1" x14ac:dyDescent="0.25">
      <c r="A101" s="844"/>
      <c r="B101" s="900" t="s">
        <v>274</v>
      </c>
      <c r="C101" s="922">
        <v>0.09</v>
      </c>
      <c r="D101" s="902">
        <v>1</v>
      </c>
      <c r="E101" s="922">
        <f>C101*D101</f>
        <v>0.09</v>
      </c>
      <c r="F101" s="844"/>
    </row>
    <row r="102" spans="1:16" hidden="1" outlineLevel="1" x14ac:dyDescent="0.25">
      <c r="A102" s="844"/>
      <c r="B102" s="900" t="s">
        <v>32</v>
      </c>
      <c r="C102" s="922">
        <v>0.03</v>
      </c>
      <c r="D102" s="902">
        <v>1</v>
      </c>
      <c r="E102" s="922">
        <f>C102*D102</f>
        <v>0.03</v>
      </c>
      <c r="F102" s="844"/>
    </row>
    <row r="103" spans="1:16" hidden="1" outlineLevel="1" x14ac:dyDescent="0.25">
      <c r="A103" s="844"/>
      <c r="B103" s="900" t="s">
        <v>212</v>
      </c>
      <c r="C103" s="922">
        <v>0.05</v>
      </c>
      <c r="D103" s="921"/>
      <c r="E103" s="899">
        <f>SUM(E88:E102)*C103</f>
        <v>5.6725000000000005E-2</v>
      </c>
      <c r="F103" s="844"/>
    </row>
    <row r="104" spans="1:16" s="19" customFormat="1" ht="15.75" collapsed="1" x14ac:dyDescent="0.25">
      <c r="A104" s="847"/>
      <c r="B104" s="847" t="s">
        <v>48</v>
      </c>
      <c r="C104" s="847"/>
      <c r="D104" s="847"/>
      <c r="E104" s="847"/>
      <c r="F104" s="847"/>
    </row>
    <row r="105" spans="1:16" s="19" customFormat="1" ht="15.75" x14ac:dyDescent="0.25">
      <c r="A105" s="847"/>
      <c r="B105" s="847" t="s">
        <v>49</v>
      </c>
      <c r="C105" s="847">
        <v>5.32</v>
      </c>
      <c r="D105" s="905"/>
      <c r="E105" s="847"/>
      <c r="F105" s="847"/>
    </row>
    <row r="106" spans="1:16" s="853" customFormat="1" x14ac:dyDescent="0.25">
      <c r="A106" s="845"/>
      <c r="B106" s="845" t="s">
        <v>71</v>
      </c>
      <c r="C106" s="848"/>
      <c r="D106" s="845">
        <f>D8+D9+D21</f>
        <v>39</v>
      </c>
      <c r="E106" s="849" t="s">
        <v>211</v>
      </c>
      <c r="F106" s="850"/>
      <c r="G106" s="851"/>
      <c r="H106" s="851"/>
      <c r="I106" s="852"/>
    </row>
    <row r="107" spans="1:16" s="2" customFormat="1" ht="76.5" x14ac:dyDescent="0.25">
      <c r="A107" s="854"/>
      <c r="B107" s="394" t="s">
        <v>905</v>
      </c>
      <c r="C107" s="394" t="s">
        <v>906</v>
      </c>
      <c r="D107" s="394" t="s">
        <v>903</v>
      </c>
      <c r="E107" s="854"/>
      <c r="F107" s="855">
        <f>19.082*D108*D109*D110*C130*1000</f>
        <v>403553.85428736033</v>
      </c>
      <c r="I107"/>
      <c r="J107"/>
      <c r="K107"/>
      <c r="O107" s="17"/>
      <c r="P107" s="17"/>
    </row>
    <row r="108" spans="1:16" s="3" customFormat="1" x14ac:dyDescent="0.25">
      <c r="A108" s="866"/>
      <c r="B108" s="865" t="s">
        <v>4</v>
      </c>
      <c r="C108" s="865" t="s">
        <v>5</v>
      </c>
      <c r="D108" s="866">
        <v>0.4</v>
      </c>
      <c r="E108" s="866"/>
      <c r="F108" s="866"/>
      <c r="I108"/>
      <c r="J108"/>
      <c r="K108"/>
    </row>
    <row r="109" spans="1:16" s="3" customFormat="1" ht="76.5" x14ac:dyDescent="0.25">
      <c r="A109" s="866"/>
      <c r="B109" s="394" t="s">
        <v>46</v>
      </c>
      <c r="C109" s="865" t="s">
        <v>904</v>
      </c>
      <c r="D109" s="866">
        <f>1+(D106-1)*0.2</f>
        <v>8.6000000000000014</v>
      </c>
      <c r="E109" s="866"/>
      <c r="F109" s="866"/>
      <c r="I109"/>
      <c r="J109"/>
      <c r="K109"/>
    </row>
    <row r="110" spans="1:16" s="2" customFormat="1" ht="76.5" x14ac:dyDescent="0.25">
      <c r="A110" s="854"/>
      <c r="B110" s="394" t="s">
        <v>15</v>
      </c>
      <c r="C110" s="394" t="s">
        <v>209</v>
      </c>
      <c r="D110" s="854">
        <f>E111/1</f>
        <v>1.1556000000000004</v>
      </c>
      <c r="E110" s="854"/>
      <c r="F110" s="854"/>
    </row>
    <row r="111" spans="1:16" x14ac:dyDescent="0.25">
      <c r="A111" s="844"/>
      <c r="B111" s="896" t="s">
        <v>6</v>
      </c>
      <c r="C111" s="897">
        <f>SUM(C112:C128)</f>
        <v>1.0000000000000002</v>
      </c>
      <c r="D111" s="857"/>
      <c r="E111" s="916">
        <f>SUM(E112:E128)</f>
        <v>1.1556000000000004</v>
      </c>
      <c r="F111" s="856"/>
      <c r="G111" s="9"/>
      <c r="H111" s="9"/>
    </row>
    <row r="112" spans="1:16" hidden="1" outlineLevel="1" x14ac:dyDescent="0.25">
      <c r="A112" s="844"/>
      <c r="B112" s="900" t="s">
        <v>20</v>
      </c>
      <c r="C112" s="901">
        <v>0.02</v>
      </c>
      <c r="D112" s="902">
        <v>1</v>
      </c>
      <c r="E112" s="899">
        <f>C112*D112</f>
        <v>0.02</v>
      </c>
      <c r="F112" s="857"/>
      <c r="G112" s="6"/>
      <c r="H112" s="6"/>
    </row>
    <row r="113" spans="1:9" hidden="1" outlineLevel="1" x14ac:dyDescent="0.25">
      <c r="A113" s="844"/>
      <c r="B113" s="900" t="s">
        <v>21</v>
      </c>
      <c r="C113" s="901">
        <v>0.04</v>
      </c>
      <c r="D113" s="844">
        <v>1</v>
      </c>
      <c r="E113" s="899">
        <f>C113*D113</f>
        <v>0.04</v>
      </c>
      <c r="F113" s="844"/>
    </row>
    <row r="114" spans="1:9" hidden="1" outlineLevel="1" x14ac:dyDescent="0.25">
      <c r="A114" s="844"/>
      <c r="B114" s="900" t="s">
        <v>22</v>
      </c>
      <c r="C114" s="901">
        <v>0.14000000000000001</v>
      </c>
      <c r="D114" s="902" t="s">
        <v>16</v>
      </c>
      <c r="E114" s="899">
        <f>C114*(1+0.3)</f>
        <v>0.18200000000000002</v>
      </c>
      <c r="F114" s="844"/>
    </row>
    <row r="115" spans="1:9" hidden="1" outlineLevel="1" x14ac:dyDescent="0.25">
      <c r="A115" s="844"/>
      <c r="B115" s="900" t="s">
        <v>23</v>
      </c>
      <c r="C115" s="901">
        <v>0.15</v>
      </c>
      <c r="D115" s="902" t="s">
        <v>16</v>
      </c>
      <c r="E115" s="899">
        <f>C115*(1+0.3)</f>
        <v>0.19500000000000001</v>
      </c>
      <c r="F115" s="844"/>
    </row>
    <row r="116" spans="1:9" ht="25.5" hidden="1" outlineLevel="1" x14ac:dyDescent="0.25">
      <c r="A116" s="844"/>
      <c r="B116" s="900" t="s">
        <v>36</v>
      </c>
      <c r="C116" s="901"/>
      <c r="D116" s="902"/>
      <c r="E116" s="899"/>
      <c r="F116" s="857"/>
      <c r="G116" s="6"/>
      <c r="H116" s="6"/>
    </row>
    <row r="117" spans="1:9" hidden="1" outlineLevel="1" x14ac:dyDescent="0.25">
      <c r="A117" s="844"/>
      <c r="B117" s="903" t="s">
        <v>37</v>
      </c>
      <c r="C117" s="901">
        <v>7.0000000000000007E-2</v>
      </c>
      <c r="D117" s="902">
        <v>1</v>
      </c>
      <c r="E117" s="899">
        <f>C117*D117</f>
        <v>7.0000000000000007E-2</v>
      </c>
      <c r="F117" s="857"/>
      <c r="G117" s="6"/>
      <c r="H117" s="6"/>
    </row>
    <row r="118" spans="1:9" hidden="1" outlineLevel="1" x14ac:dyDescent="0.25">
      <c r="A118" s="844"/>
      <c r="B118" s="903" t="s">
        <v>38</v>
      </c>
      <c r="C118" s="901">
        <v>0.04</v>
      </c>
      <c r="D118" s="902">
        <v>1</v>
      </c>
      <c r="E118" s="899">
        <f t="shared" ref="E118:E123" si="1">C118*D118</f>
        <v>0.04</v>
      </c>
      <c r="F118" s="857"/>
      <c r="G118" s="6"/>
      <c r="H118" s="6"/>
    </row>
    <row r="119" spans="1:9" hidden="1" outlineLevel="1" x14ac:dyDescent="0.25">
      <c r="A119" s="844"/>
      <c r="B119" s="903" t="s">
        <v>39</v>
      </c>
      <c r="C119" s="901">
        <v>0.04</v>
      </c>
      <c r="D119" s="902">
        <v>1</v>
      </c>
      <c r="E119" s="899">
        <f t="shared" si="1"/>
        <v>0.04</v>
      </c>
      <c r="F119" s="858"/>
      <c r="G119" s="7"/>
      <c r="H119" s="7"/>
      <c r="I119" s="8"/>
    </row>
    <row r="120" spans="1:9" hidden="1" outlineLevel="1" x14ac:dyDescent="0.25">
      <c r="A120" s="844"/>
      <c r="B120" s="903" t="s">
        <v>40</v>
      </c>
      <c r="C120" s="901">
        <v>0.12</v>
      </c>
      <c r="D120" s="902">
        <v>1</v>
      </c>
      <c r="E120" s="899">
        <f t="shared" si="1"/>
        <v>0.12</v>
      </c>
      <c r="F120" s="857"/>
      <c r="G120" s="6"/>
      <c r="H120" s="6"/>
    </row>
    <row r="121" spans="1:9" hidden="1" outlineLevel="1" x14ac:dyDescent="0.25">
      <c r="A121" s="844"/>
      <c r="B121" s="903" t="s">
        <v>41</v>
      </c>
      <c r="C121" s="901">
        <v>0.03</v>
      </c>
      <c r="D121" s="844">
        <v>1</v>
      </c>
      <c r="E121" s="899">
        <f t="shared" si="1"/>
        <v>0.03</v>
      </c>
      <c r="F121" s="844"/>
    </row>
    <row r="122" spans="1:9" hidden="1" outlineLevel="1" x14ac:dyDescent="0.25">
      <c r="A122" s="844"/>
      <c r="B122" s="903" t="s">
        <v>42</v>
      </c>
      <c r="C122" s="901">
        <v>0.02</v>
      </c>
      <c r="D122" s="921">
        <v>1</v>
      </c>
      <c r="E122" s="899">
        <f t="shared" si="1"/>
        <v>0.02</v>
      </c>
      <c r="F122" s="844"/>
    </row>
    <row r="123" spans="1:9" hidden="1" outlineLevel="1" x14ac:dyDescent="0.25">
      <c r="A123" s="844"/>
      <c r="B123" s="903" t="s">
        <v>43</v>
      </c>
      <c r="C123" s="901">
        <v>0.05</v>
      </c>
      <c r="D123" s="921">
        <v>1</v>
      </c>
      <c r="E123" s="899">
        <f t="shared" si="1"/>
        <v>0.05</v>
      </c>
      <c r="F123" s="844"/>
    </row>
    <row r="124" spans="1:9" hidden="1" outlineLevel="1" x14ac:dyDescent="0.25">
      <c r="A124" s="844"/>
      <c r="B124" s="900" t="s">
        <v>30</v>
      </c>
      <c r="C124" s="901">
        <v>0.06</v>
      </c>
      <c r="D124" s="902">
        <v>1</v>
      </c>
      <c r="E124" s="899">
        <f>C124*(1+0.3)</f>
        <v>7.8E-2</v>
      </c>
      <c r="F124" s="857"/>
      <c r="G124" s="6"/>
      <c r="H124" s="6"/>
    </row>
    <row r="125" spans="1:9" hidden="1" outlineLevel="1" x14ac:dyDescent="0.25">
      <c r="A125" s="844"/>
      <c r="B125" s="900" t="s">
        <v>44</v>
      </c>
      <c r="C125" s="901">
        <v>7.0000000000000007E-2</v>
      </c>
      <c r="D125" s="902">
        <v>1</v>
      </c>
      <c r="E125" s="899">
        <f>C125*(1+0.3)</f>
        <v>9.1000000000000011E-2</v>
      </c>
      <c r="F125" s="857"/>
      <c r="G125" s="6"/>
      <c r="H125" s="6"/>
    </row>
    <row r="126" spans="1:9" hidden="1" outlineLevel="1" x14ac:dyDescent="0.25">
      <c r="A126" s="844"/>
      <c r="B126" s="900" t="s">
        <v>32</v>
      </c>
      <c r="C126" s="901">
        <v>0.06</v>
      </c>
      <c r="D126" s="902">
        <v>1</v>
      </c>
      <c r="E126" s="899">
        <f>C126*(1+0.3)</f>
        <v>7.8E-2</v>
      </c>
      <c r="F126" s="857"/>
      <c r="G126" s="6"/>
      <c r="H126" s="6"/>
    </row>
    <row r="127" spans="1:9" hidden="1" outlineLevel="1" x14ac:dyDescent="0.25">
      <c r="A127" s="844"/>
      <c r="B127" s="900" t="s">
        <v>45</v>
      </c>
      <c r="C127" s="901">
        <v>0.02</v>
      </c>
      <c r="D127" s="902">
        <v>1</v>
      </c>
      <c r="E127" s="899">
        <f>C127*(1+0.3)</f>
        <v>2.6000000000000002E-2</v>
      </c>
      <c r="F127" s="857"/>
      <c r="G127" s="6"/>
      <c r="H127" s="6"/>
    </row>
    <row r="128" spans="1:9" hidden="1" outlineLevel="1" x14ac:dyDescent="0.25">
      <c r="A128" s="844"/>
      <c r="B128" s="900" t="s">
        <v>34</v>
      </c>
      <c r="C128" s="923">
        <v>7.0000000000000007E-2</v>
      </c>
      <c r="D128" s="844"/>
      <c r="E128" s="924">
        <f>SUM(E112:E127)*C128</f>
        <v>7.5600000000000028E-2</v>
      </c>
      <c r="F128" s="858"/>
      <c r="G128" s="7"/>
      <c r="H128" s="7"/>
      <c r="I128" s="8"/>
    </row>
    <row r="129" spans="1:11" s="19" customFormat="1" ht="15.75" collapsed="1" x14ac:dyDescent="0.25">
      <c r="A129" s="847"/>
      <c r="B129" s="847" t="s">
        <v>48</v>
      </c>
      <c r="C129" s="847"/>
      <c r="D129" s="847"/>
      <c r="E129" s="847"/>
      <c r="F129" s="847"/>
    </row>
    <row r="130" spans="1:11" s="19" customFormat="1" ht="15.75" x14ac:dyDescent="0.25">
      <c r="A130" s="847"/>
      <c r="B130" s="847" t="s">
        <v>49</v>
      </c>
      <c r="C130" s="847">
        <v>5.32</v>
      </c>
      <c r="D130" s="905"/>
      <c r="E130" s="847"/>
      <c r="F130" s="847"/>
    </row>
    <row r="131" spans="1:11" s="374" customFormat="1" x14ac:dyDescent="0.25">
      <c r="A131" s="844"/>
      <c r="B131" s="845" t="s">
        <v>190</v>
      </c>
      <c r="D131" s="846">
        <f>5*30</f>
        <v>150</v>
      </c>
      <c r="E131" s="847" t="s">
        <v>309</v>
      </c>
      <c r="F131" s="844"/>
    </row>
    <row r="132" spans="1:11" s="2" customFormat="1" ht="76.5" x14ac:dyDescent="0.25">
      <c r="A132" s="854"/>
      <c r="B132" s="394" t="s">
        <v>901</v>
      </c>
      <c r="C132" s="394" t="s">
        <v>951</v>
      </c>
      <c r="D132" s="394" t="s">
        <v>952</v>
      </c>
      <c r="E132" s="854"/>
      <c r="F132" s="855">
        <f>(89.55+0.08*30)*D133*D134*D135*C155*1000</f>
        <v>425097.68474880024</v>
      </c>
      <c r="G132" s="2" t="s">
        <v>307</v>
      </c>
      <c r="I132"/>
      <c r="J132"/>
      <c r="K132"/>
    </row>
    <row r="133" spans="1:11" s="3" customFormat="1" x14ac:dyDescent="0.25">
      <c r="A133" s="866"/>
      <c r="B133" s="865" t="s">
        <v>4</v>
      </c>
      <c r="C133" s="865" t="s">
        <v>5</v>
      </c>
      <c r="D133" s="866">
        <v>0.4</v>
      </c>
      <c r="E133" s="866"/>
      <c r="F133" s="866"/>
      <c r="I133"/>
      <c r="J133"/>
      <c r="K133"/>
    </row>
    <row r="134" spans="1:11" s="3" customFormat="1" ht="77.25" x14ac:dyDescent="0.25">
      <c r="A134" s="866"/>
      <c r="B134" s="895" t="s">
        <v>46</v>
      </c>
      <c r="C134" s="865" t="s">
        <v>902</v>
      </c>
      <c r="D134" s="866">
        <f>1+(5-1)*0.2</f>
        <v>1.8</v>
      </c>
      <c r="E134" s="866"/>
      <c r="F134" s="866"/>
      <c r="I134"/>
      <c r="J134"/>
      <c r="K134"/>
    </row>
    <row r="135" spans="1:11" ht="77.25" x14ac:dyDescent="0.25">
      <c r="A135" s="844"/>
      <c r="B135" s="895" t="s">
        <v>15</v>
      </c>
      <c r="C135" s="895" t="s">
        <v>215</v>
      </c>
      <c r="D135" s="844">
        <f>E136/1</f>
        <v>1.2069600000000005</v>
      </c>
      <c r="E135" s="844"/>
      <c r="F135" s="844"/>
    </row>
    <row r="136" spans="1:11" x14ac:dyDescent="0.25">
      <c r="A136" s="844"/>
      <c r="B136" s="896" t="s">
        <v>6</v>
      </c>
      <c r="C136" s="897">
        <f>SUM(C137:C153)</f>
        <v>1.0000000000000002</v>
      </c>
      <c r="D136" s="857"/>
      <c r="E136" s="916">
        <f>SUM(E137:E153)</f>
        <v>1.2069600000000005</v>
      </c>
      <c r="F136" s="856"/>
      <c r="G136" s="9"/>
      <c r="H136" s="9"/>
    </row>
    <row r="137" spans="1:11" hidden="1" outlineLevel="1" x14ac:dyDescent="0.25">
      <c r="A137" s="844"/>
      <c r="B137" s="900" t="s">
        <v>20</v>
      </c>
      <c r="C137" s="901">
        <v>0.02</v>
      </c>
      <c r="D137" s="902">
        <v>1</v>
      </c>
      <c r="E137" s="899">
        <f>C137*D137</f>
        <v>0.02</v>
      </c>
      <c r="F137" s="857"/>
      <c r="G137" s="6"/>
      <c r="H137" s="6"/>
    </row>
    <row r="138" spans="1:11" hidden="1" outlineLevel="1" x14ac:dyDescent="0.25">
      <c r="A138" s="844"/>
      <c r="B138" s="900" t="s">
        <v>21</v>
      </c>
      <c r="C138" s="901">
        <v>0.04</v>
      </c>
      <c r="D138" s="844">
        <v>1</v>
      </c>
      <c r="E138" s="899">
        <f>C138*D138</f>
        <v>0.04</v>
      </c>
      <c r="F138" s="844"/>
    </row>
    <row r="139" spans="1:11" hidden="1" outlineLevel="1" x14ac:dyDescent="0.25">
      <c r="A139" s="844"/>
      <c r="B139" s="900" t="s">
        <v>22</v>
      </c>
      <c r="C139" s="901">
        <v>0.14000000000000001</v>
      </c>
      <c r="D139" s="902" t="s">
        <v>16</v>
      </c>
      <c r="E139" s="899">
        <f>C139*(1+0.3)</f>
        <v>0.18200000000000002</v>
      </c>
      <c r="F139" s="844"/>
    </row>
    <row r="140" spans="1:11" hidden="1" outlineLevel="1" x14ac:dyDescent="0.25">
      <c r="A140" s="844"/>
      <c r="B140" s="900" t="s">
        <v>23</v>
      </c>
      <c r="C140" s="901">
        <v>0.15</v>
      </c>
      <c r="D140" s="902" t="s">
        <v>16</v>
      </c>
      <c r="E140" s="899">
        <f>C140*(1+0.3)</f>
        <v>0.19500000000000001</v>
      </c>
      <c r="F140" s="844"/>
    </row>
    <row r="141" spans="1:11" ht="25.5" hidden="1" outlineLevel="1" x14ac:dyDescent="0.25">
      <c r="A141" s="844"/>
      <c r="B141" s="900" t="s">
        <v>36</v>
      </c>
      <c r="C141" s="901"/>
      <c r="D141" s="902"/>
      <c r="E141" s="899">
        <f>C141*(1+0.3)</f>
        <v>0</v>
      </c>
      <c r="F141" s="857"/>
      <c r="G141" s="6"/>
      <c r="H141" s="6"/>
    </row>
    <row r="142" spans="1:11" hidden="1" outlineLevel="1" x14ac:dyDescent="0.25">
      <c r="A142" s="844"/>
      <c r="B142" s="903" t="s">
        <v>37</v>
      </c>
      <c r="C142" s="901">
        <v>7.0000000000000007E-2</v>
      </c>
      <c r="D142" s="902" t="s">
        <v>16</v>
      </c>
      <c r="E142" s="899">
        <f>C142*(1+0.3)</f>
        <v>9.1000000000000011E-2</v>
      </c>
      <c r="F142" s="857"/>
      <c r="G142" s="6"/>
      <c r="H142" s="6"/>
    </row>
    <row r="143" spans="1:11" hidden="1" outlineLevel="1" x14ac:dyDescent="0.25">
      <c r="A143" s="844"/>
      <c r="B143" s="903" t="s">
        <v>38</v>
      </c>
      <c r="C143" s="901">
        <v>0.04</v>
      </c>
      <c r="D143" s="902" t="s">
        <v>16</v>
      </c>
      <c r="E143" s="899">
        <f t="shared" ref="E143:E148" si="2">C143*(1+0.3)</f>
        <v>5.2000000000000005E-2</v>
      </c>
      <c r="F143" s="857"/>
      <c r="G143" s="6"/>
      <c r="H143" s="6"/>
    </row>
    <row r="144" spans="1:11" hidden="1" outlineLevel="1" x14ac:dyDescent="0.25">
      <c r="A144" s="844"/>
      <c r="B144" s="903" t="s">
        <v>39</v>
      </c>
      <c r="C144" s="901">
        <v>0.04</v>
      </c>
      <c r="D144" s="902" t="s">
        <v>16</v>
      </c>
      <c r="E144" s="899">
        <f t="shared" si="2"/>
        <v>5.2000000000000005E-2</v>
      </c>
      <c r="F144" s="858"/>
      <c r="G144" s="7"/>
      <c r="H144" s="7"/>
      <c r="I144" s="8"/>
    </row>
    <row r="145" spans="1:18" hidden="1" outlineLevel="1" x14ac:dyDescent="0.25">
      <c r="A145" s="844"/>
      <c r="B145" s="903" t="s">
        <v>40</v>
      </c>
      <c r="C145" s="901">
        <v>0.12</v>
      </c>
      <c r="D145" s="902" t="s">
        <v>16</v>
      </c>
      <c r="E145" s="899">
        <f t="shared" si="2"/>
        <v>0.156</v>
      </c>
      <c r="F145" s="857"/>
      <c r="G145" s="6"/>
      <c r="H145" s="6"/>
    </row>
    <row r="146" spans="1:18" hidden="1" outlineLevel="1" x14ac:dyDescent="0.25">
      <c r="A146" s="844"/>
      <c r="B146" s="903" t="s">
        <v>41</v>
      </c>
      <c r="C146" s="901">
        <v>0.03</v>
      </c>
      <c r="D146" s="902" t="s">
        <v>16</v>
      </c>
      <c r="E146" s="899">
        <f t="shared" si="2"/>
        <v>3.9E-2</v>
      </c>
      <c r="F146" s="844"/>
    </row>
    <row r="147" spans="1:18" hidden="1" outlineLevel="1" x14ac:dyDescent="0.25">
      <c r="A147" s="844"/>
      <c r="B147" s="903" t="s">
        <v>42</v>
      </c>
      <c r="C147" s="901">
        <v>0.02</v>
      </c>
      <c r="D147" s="902" t="s">
        <v>16</v>
      </c>
      <c r="E147" s="899">
        <f t="shared" si="2"/>
        <v>2.6000000000000002E-2</v>
      </c>
      <c r="F147" s="844"/>
    </row>
    <row r="148" spans="1:18" hidden="1" outlineLevel="1" x14ac:dyDescent="0.25">
      <c r="A148" s="844"/>
      <c r="B148" s="903" t="s">
        <v>43</v>
      </c>
      <c r="C148" s="901">
        <v>0.05</v>
      </c>
      <c r="D148" s="902" t="s">
        <v>16</v>
      </c>
      <c r="E148" s="899">
        <f t="shared" si="2"/>
        <v>6.5000000000000002E-2</v>
      </c>
      <c r="F148" s="844"/>
    </row>
    <row r="149" spans="1:18" hidden="1" outlineLevel="1" x14ac:dyDescent="0.25">
      <c r="A149" s="844"/>
      <c r="B149" s="900" t="s">
        <v>30</v>
      </c>
      <c r="C149" s="901">
        <v>0.06</v>
      </c>
      <c r="D149" s="902">
        <v>1</v>
      </c>
      <c r="E149" s="899">
        <f>C149*D149</f>
        <v>0.06</v>
      </c>
      <c r="F149" s="857"/>
      <c r="G149" s="6"/>
      <c r="H149" s="6"/>
    </row>
    <row r="150" spans="1:18" hidden="1" outlineLevel="1" x14ac:dyDescent="0.25">
      <c r="A150" s="844"/>
      <c r="B150" s="900" t="s">
        <v>44</v>
      </c>
      <c r="C150" s="901">
        <v>7.0000000000000007E-2</v>
      </c>
      <c r="D150" s="902">
        <v>1</v>
      </c>
      <c r="E150" s="899">
        <f>C150*D150</f>
        <v>7.0000000000000007E-2</v>
      </c>
      <c r="F150" s="858"/>
      <c r="G150" s="7"/>
      <c r="H150" s="7"/>
      <c r="I150" s="8"/>
    </row>
    <row r="151" spans="1:18" hidden="1" outlineLevel="1" x14ac:dyDescent="0.25">
      <c r="A151" s="844"/>
      <c r="B151" s="900" t="s">
        <v>32</v>
      </c>
      <c r="C151" s="901">
        <v>0.06</v>
      </c>
      <c r="D151" s="902">
        <v>1</v>
      </c>
      <c r="E151" s="899">
        <f>C151*D151</f>
        <v>0.06</v>
      </c>
      <c r="F151" s="857"/>
      <c r="G151" s="6"/>
      <c r="H151" s="6"/>
    </row>
    <row r="152" spans="1:18" hidden="1" outlineLevel="1" x14ac:dyDescent="0.25">
      <c r="A152" s="844"/>
      <c r="B152" s="900" t="s">
        <v>45</v>
      </c>
      <c r="C152" s="901">
        <v>0.02</v>
      </c>
      <c r="D152" s="902">
        <v>1</v>
      </c>
      <c r="E152" s="899">
        <f>C152*D152</f>
        <v>0.02</v>
      </c>
      <c r="F152" s="844"/>
    </row>
    <row r="153" spans="1:18" hidden="1" outlineLevel="1" x14ac:dyDescent="0.25">
      <c r="A153" s="844"/>
      <c r="B153" s="844" t="s">
        <v>13</v>
      </c>
      <c r="C153" s="901">
        <v>7.0000000000000007E-2</v>
      </c>
      <c r="D153" s="844"/>
      <c r="E153" s="917">
        <f>SUM(E137:E152)*C153</f>
        <v>7.896000000000003E-2</v>
      </c>
      <c r="F153" s="858"/>
      <c r="G153" s="7"/>
      <c r="H153" s="7"/>
      <c r="I153" s="8"/>
    </row>
    <row r="154" spans="1:18" s="19" customFormat="1" ht="15.75" collapsed="1" x14ac:dyDescent="0.25">
      <c r="A154" s="847"/>
      <c r="B154" s="847" t="s">
        <v>48</v>
      </c>
      <c r="C154" s="847"/>
      <c r="D154" s="847"/>
      <c r="E154" s="847"/>
      <c r="F154" s="847"/>
    </row>
    <row r="155" spans="1:18" s="19" customFormat="1" ht="15.75" x14ac:dyDescent="0.25">
      <c r="A155" s="847"/>
      <c r="B155" s="847" t="s">
        <v>49</v>
      </c>
      <c r="C155" s="847">
        <v>5.32</v>
      </c>
      <c r="D155" s="905"/>
      <c r="E155" s="847"/>
      <c r="F155" s="847"/>
    </row>
    <row r="156" spans="1:18" s="11" customFormat="1" x14ac:dyDescent="0.25">
      <c r="A156" s="847"/>
      <c r="B156" s="845" t="str">
        <f>B12</f>
        <v>Ливневые лотки</v>
      </c>
      <c r="C156" s="847"/>
      <c r="D156" s="847">
        <v>1800</v>
      </c>
      <c r="E156" s="847" t="s">
        <v>746</v>
      </c>
      <c r="F156" s="847"/>
      <c r="I156" s="13"/>
    </row>
    <row r="157" spans="1:18" s="2" customFormat="1" ht="76.5" x14ac:dyDescent="0.25">
      <c r="A157" s="854"/>
      <c r="B157" s="854" t="s">
        <v>907</v>
      </c>
      <c r="C157" s="394" t="s">
        <v>909</v>
      </c>
      <c r="D157" s="394" t="s">
        <v>910</v>
      </c>
      <c r="E157" s="854"/>
      <c r="F157" s="855">
        <f>(155.6+0.015*(0.4*1000+0.6*1800))*1*D158*D159*D160*D161*C173*1000</f>
        <v>923431.80238848028</v>
      </c>
      <c r="I157"/>
      <c r="J157"/>
      <c r="K157"/>
      <c r="Q157" s="17"/>
      <c r="R157" s="17"/>
    </row>
    <row r="158" spans="1:18" s="3" customFormat="1" x14ac:dyDescent="0.25">
      <c r="A158" s="866"/>
      <c r="B158" s="865" t="s">
        <v>4</v>
      </c>
      <c r="C158" s="865" t="s">
        <v>5</v>
      </c>
      <c r="D158" s="866">
        <v>0.6</v>
      </c>
      <c r="E158" s="866"/>
      <c r="F158" s="866"/>
      <c r="I158"/>
      <c r="J158"/>
      <c r="K158"/>
    </row>
    <row r="159" spans="1:18" s="3" customFormat="1" ht="51" x14ac:dyDescent="0.25">
      <c r="A159" s="866"/>
      <c r="B159" s="394" t="s">
        <v>889</v>
      </c>
      <c r="C159" s="865" t="s">
        <v>250</v>
      </c>
      <c r="D159" s="866">
        <v>1.1000000000000001</v>
      </c>
      <c r="E159" s="866"/>
      <c r="F159" s="866"/>
      <c r="I159"/>
      <c r="J159"/>
      <c r="K159"/>
    </row>
    <row r="160" spans="1:18" s="3" customFormat="1" ht="63.75" x14ac:dyDescent="0.25">
      <c r="A160" s="866"/>
      <c r="B160" s="394" t="s">
        <v>888</v>
      </c>
      <c r="C160" s="865" t="s">
        <v>250</v>
      </c>
      <c r="D160" s="866">
        <v>1.2</v>
      </c>
      <c r="E160" s="866"/>
      <c r="F160" s="866"/>
      <c r="I160"/>
      <c r="J160"/>
      <c r="K160"/>
    </row>
    <row r="161" spans="1:18" ht="77.25" x14ac:dyDescent="0.25">
      <c r="A161" s="844"/>
      <c r="B161" s="895" t="s">
        <v>15</v>
      </c>
      <c r="C161" s="394" t="s">
        <v>887</v>
      </c>
      <c r="D161" s="854">
        <f>E162/1</f>
        <v>1.2326400000000002</v>
      </c>
      <c r="E161" s="844"/>
      <c r="F161" s="844"/>
    </row>
    <row r="162" spans="1:18" x14ac:dyDescent="0.25">
      <c r="A162" s="844"/>
      <c r="B162" s="896" t="s">
        <v>6</v>
      </c>
      <c r="C162" s="897">
        <f>SUM(C163:C171)</f>
        <v>1</v>
      </c>
      <c r="D162" s="857"/>
      <c r="E162" s="925">
        <f>SUM(E163:E171)</f>
        <v>1.2326400000000002</v>
      </c>
      <c r="F162" s="899"/>
      <c r="G162" s="4"/>
      <c r="H162" s="4"/>
    </row>
    <row r="163" spans="1:18" hidden="1" outlineLevel="1" x14ac:dyDescent="0.25">
      <c r="A163" s="844"/>
      <c r="B163" s="900" t="s">
        <v>20</v>
      </c>
      <c r="C163" s="901">
        <v>0.02</v>
      </c>
      <c r="D163" s="844">
        <v>1</v>
      </c>
      <c r="E163" s="899">
        <f>C163*D163</f>
        <v>0.02</v>
      </c>
      <c r="F163" s="899"/>
      <c r="G163" s="4"/>
      <c r="H163" s="4"/>
    </row>
    <row r="164" spans="1:18" hidden="1" outlineLevel="1" x14ac:dyDescent="0.25">
      <c r="A164" s="844"/>
      <c r="B164" s="900" t="s">
        <v>265</v>
      </c>
      <c r="C164" s="901">
        <v>0.04</v>
      </c>
      <c r="D164" s="902" t="s">
        <v>16</v>
      </c>
      <c r="E164" s="899">
        <f>C164*(1+0.3)</f>
        <v>5.2000000000000005E-2</v>
      </c>
      <c r="F164" s="899"/>
      <c r="G164" s="4"/>
      <c r="H164" s="4"/>
    </row>
    <row r="165" spans="1:18" ht="38.25" hidden="1" outlineLevel="1" x14ac:dyDescent="0.25">
      <c r="A165" s="844"/>
      <c r="B165" s="900" t="s">
        <v>266</v>
      </c>
      <c r="C165" s="901"/>
      <c r="D165" s="902"/>
      <c r="E165" s="899"/>
      <c r="F165" s="899"/>
      <c r="G165" s="4"/>
      <c r="H165" s="4"/>
    </row>
    <row r="166" spans="1:18" hidden="1" outlineLevel="1" x14ac:dyDescent="0.25">
      <c r="A166" s="844"/>
      <c r="B166" s="903" t="s">
        <v>43</v>
      </c>
      <c r="C166" s="901">
        <v>0.33</v>
      </c>
      <c r="D166" s="902" t="s">
        <v>16</v>
      </c>
      <c r="E166" s="899">
        <f>C166*(1+0.3)</f>
        <v>0.42900000000000005</v>
      </c>
      <c r="F166" s="899"/>
      <c r="G166" s="4"/>
      <c r="H166" s="4"/>
    </row>
    <row r="167" spans="1:18" hidden="1" outlineLevel="1" x14ac:dyDescent="0.25">
      <c r="A167" s="844"/>
      <c r="B167" s="903" t="s">
        <v>267</v>
      </c>
      <c r="C167" s="901">
        <v>0.37</v>
      </c>
      <c r="D167" s="902" t="s">
        <v>16</v>
      </c>
      <c r="E167" s="899">
        <f>C167*(1+0.3)</f>
        <v>0.48099999999999998</v>
      </c>
      <c r="F167" s="899"/>
      <c r="G167" s="4"/>
      <c r="H167" s="4"/>
    </row>
    <row r="168" spans="1:18" hidden="1" outlineLevel="1" x14ac:dyDescent="0.25">
      <c r="A168" s="844"/>
      <c r="B168" s="900" t="s">
        <v>30</v>
      </c>
      <c r="C168" s="901">
        <v>7.0000000000000007E-2</v>
      </c>
      <c r="D168" s="844">
        <v>1</v>
      </c>
      <c r="E168" s="899">
        <f>C168*D168</f>
        <v>7.0000000000000007E-2</v>
      </c>
      <c r="F168" s="899"/>
      <c r="G168" s="4"/>
      <c r="H168" s="4"/>
    </row>
    <row r="169" spans="1:18" hidden="1" outlineLevel="1" x14ac:dyDescent="0.25">
      <c r="A169" s="844"/>
      <c r="B169" s="900" t="s">
        <v>274</v>
      </c>
      <c r="C169" s="901">
        <v>0.09</v>
      </c>
      <c r="D169" s="844">
        <v>1</v>
      </c>
      <c r="E169" s="899">
        <f>C169*D169</f>
        <v>0.09</v>
      </c>
      <c r="F169" s="899"/>
      <c r="G169" s="4"/>
      <c r="H169" s="4"/>
    </row>
    <row r="170" spans="1:18" hidden="1" outlineLevel="1" x14ac:dyDescent="0.25">
      <c r="A170" s="844"/>
      <c r="B170" s="900" t="s">
        <v>32</v>
      </c>
      <c r="C170" s="901">
        <v>0.01</v>
      </c>
      <c r="D170" s="844">
        <v>1</v>
      </c>
      <c r="E170" s="899">
        <f>C170*D170</f>
        <v>0.01</v>
      </c>
      <c r="F170" s="899"/>
      <c r="G170" s="4"/>
      <c r="H170" s="4"/>
      <c r="I170" s="8"/>
    </row>
    <row r="171" spans="1:18" hidden="1" outlineLevel="1" x14ac:dyDescent="0.25">
      <c r="A171" s="844"/>
      <c r="B171" s="900" t="s">
        <v>34</v>
      </c>
      <c r="C171" s="901">
        <v>7.0000000000000007E-2</v>
      </c>
      <c r="D171" s="902"/>
      <c r="E171" s="904">
        <f>SUM(E163:E170)*C171</f>
        <v>8.0640000000000017E-2</v>
      </c>
      <c r="F171" s="904"/>
      <c r="G171" s="14"/>
      <c r="H171" s="14"/>
    </row>
    <row r="172" spans="1:18" s="19" customFormat="1" ht="15.75" collapsed="1" x14ac:dyDescent="0.25">
      <c r="A172" s="847"/>
      <c r="B172" s="847" t="s">
        <v>48</v>
      </c>
      <c r="C172" s="847"/>
      <c r="D172" s="847"/>
      <c r="E172" s="847"/>
      <c r="F172" s="847"/>
    </row>
    <row r="173" spans="1:18" s="19" customFormat="1" ht="15.75" x14ac:dyDescent="0.25">
      <c r="A173" s="847"/>
      <c r="B173" s="847" t="s">
        <v>49</v>
      </c>
      <c r="C173" s="847">
        <v>5.32</v>
      </c>
      <c r="D173" s="905"/>
      <c r="E173" s="847"/>
      <c r="F173" s="847"/>
    </row>
    <row r="174" spans="1:18" s="11" customFormat="1" x14ac:dyDescent="0.25">
      <c r="A174" s="847"/>
      <c r="B174" s="845" t="s">
        <v>706</v>
      </c>
      <c r="C174" s="847"/>
      <c r="D174" s="847">
        <f>D14</f>
        <v>150</v>
      </c>
      <c r="E174" s="847" t="s">
        <v>746</v>
      </c>
      <c r="F174" s="847"/>
      <c r="I174" s="13"/>
    </row>
    <row r="175" spans="1:18" s="2" customFormat="1" ht="63.75" x14ac:dyDescent="0.25">
      <c r="A175" s="854"/>
      <c r="B175" s="394" t="s">
        <v>834</v>
      </c>
      <c r="C175" s="394" t="s">
        <v>836</v>
      </c>
      <c r="D175" s="394" t="s">
        <v>925</v>
      </c>
      <c r="E175" s="854"/>
      <c r="F175" s="855">
        <f>(39+ 0*(0.4*500+0.6*150))*D176*D177*D178*C198*1000</f>
        <v>49756.160563200006</v>
      </c>
      <c r="I175"/>
      <c r="J175"/>
      <c r="K175"/>
      <c r="Q175" s="17"/>
      <c r="R175" s="17"/>
    </row>
    <row r="176" spans="1:18" s="3" customFormat="1" x14ac:dyDescent="0.25">
      <c r="A176" s="866"/>
      <c r="B176" s="865" t="s">
        <v>4</v>
      </c>
      <c r="C176" s="865" t="s">
        <v>720</v>
      </c>
      <c r="D176" s="866">
        <v>0.36</v>
      </c>
      <c r="E176" s="866"/>
      <c r="F176" s="866"/>
      <c r="I176"/>
      <c r="J176"/>
      <c r="K176"/>
    </row>
    <row r="177" spans="1:11" s="3" customFormat="1" ht="38.25" x14ac:dyDescent="0.25">
      <c r="A177" s="866"/>
      <c r="B177" s="394" t="s">
        <v>835</v>
      </c>
      <c r="C177" s="854" t="s">
        <v>530</v>
      </c>
      <c r="D177" s="867">
        <f>150/(500*0.5)</f>
        <v>0.6</v>
      </c>
      <c r="E177" s="866"/>
      <c r="F177" s="866"/>
      <c r="I177"/>
      <c r="J177"/>
      <c r="K177"/>
    </row>
    <row r="178" spans="1:11" ht="77.25" x14ac:dyDescent="0.25">
      <c r="A178" s="844"/>
      <c r="B178" s="895" t="s">
        <v>15</v>
      </c>
      <c r="C178" s="394" t="s">
        <v>35</v>
      </c>
      <c r="D178" s="854">
        <f>E179/1</f>
        <v>1.1102400000000001</v>
      </c>
      <c r="E178" s="844"/>
      <c r="F178" s="844"/>
    </row>
    <row r="179" spans="1:11" x14ac:dyDescent="0.25">
      <c r="A179" s="844"/>
      <c r="B179" s="896" t="s">
        <v>6</v>
      </c>
      <c r="C179" s="897">
        <f>SUM(C180:C196)</f>
        <v>0.99999999999999989</v>
      </c>
      <c r="D179" s="857"/>
      <c r="E179" s="898">
        <f>SUM(E180:E196)</f>
        <v>1.1102400000000001</v>
      </c>
      <c r="F179" s="899"/>
      <c r="G179" s="4"/>
      <c r="H179" s="4"/>
    </row>
    <row r="180" spans="1:11" hidden="1" outlineLevel="1" x14ac:dyDescent="0.25">
      <c r="A180" s="844"/>
      <c r="B180" s="900" t="s">
        <v>20</v>
      </c>
      <c r="C180" s="901">
        <v>0.02</v>
      </c>
      <c r="D180" s="844">
        <v>1</v>
      </c>
      <c r="E180" s="899">
        <f>C180*D180</f>
        <v>0.02</v>
      </c>
      <c r="F180" s="844"/>
    </row>
    <row r="181" spans="1:11" hidden="1" outlineLevel="1" x14ac:dyDescent="0.25">
      <c r="A181" s="844"/>
      <c r="B181" s="900" t="s">
        <v>21</v>
      </c>
      <c r="C181" s="901">
        <v>0.02</v>
      </c>
      <c r="D181" s="844">
        <v>1</v>
      </c>
      <c r="E181" s="899">
        <f>C181*D181</f>
        <v>0.02</v>
      </c>
      <c r="F181" s="844"/>
    </row>
    <row r="182" spans="1:11" hidden="1" outlineLevel="1" x14ac:dyDescent="0.25">
      <c r="A182" s="844"/>
      <c r="B182" s="900" t="s">
        <v>22</v>
      </c>
      <c r="C182" s="901">
        <v>0.06</v>
      </c>
      <c r="D182" s="902" t="s">
        <v>16</v>
      </c>
      <c r="E182" s="899">
        <f>C182*(1+0.3)</f>
        <v>7.8E-2</v>
      </c>
      <c r="F182" s="844"/>
    </row>
    <row r="183" spans="1:11" hidden="1" outlineLevel="1" x14ac:dyDescent="0.25">
      <c r="A183" s="844"/>
      <c r="B183" s="900" t="s">
        <v>23</v>
      </c>
      <c r="C183" s="901">
        <v>0.12</v>
      </c>
      <c r="D183" s="902" t="s">
        <v>16</v>
      </c>
      <c r="E183" s="899">
        <f>C183*(1+0.3)</f>
        <v>0.156</v>
      </c>
      <c r="F183" s="844"/>
    </row>
    <row r="184" spans="1:11" ht="25.5" hidden="1" outlineLevel="1" x14ac:dyDescent="0.25">
      <c r="A184" s="844"/>
      <c r="B184" s="900" t="s">
        <v>343</v>
      </c>
      <c r="C184" s="901"/>
      <c r="D184" s="902"/>
      <c r="E184" s="899"/>
      <c r="F184" s="844"/>
    </row>
    <row r="185" spans="1:11" hidden="1" outlineLevel="1" x14ac:dyDescent="0.25">
      <c r="A185" s="844"/>
      <c r="B185" s="903" t="s">
        <v>37</v>
      </c>
      <c r="C185" s="901">
        <v>0.16</v>
      </c>
      <c r="D185" s="902" t="s">
        <v>16</v>
      </c>
      <c r="E185" s="899">
        <f>C185*(1+0.3)</f>
        <v>0.20800000000000002</v>
      </c>
      <c r="F185" s="844"/>
    </row>
    <row r="186" spans="1:11" hidden="1" outlineLevel="1" x14ac:dyDescent="0.25">
      <c r="A186" s="844"/>
      <c r="B186" s="903" t="s">
        <v>38</v>
      </c>
      <c r="C186" s="901">
        <v>0.02</v>
      </c>
      <c r="D186" s="844">
        <v>1</v>
      </c>
      <c r="E186" s="899">
        <f>C186*D186</f>
        <v>0.02</v>
      </c>
      <c r="F186" s="844"/>
    </row>
    <row r="187" spans="1:11" hidden="1" outlineLevel="1" x14ac:dyDescent="0.25">
      <c r="A187" s="844"/>
      <c r="B187" s="903" t="s">
        <v>39</v>
      </c>
      <c r="C187" s="901">
        <v>0.02</v>
      </c>
      <c r="D187" s="844">
        <v>1</v>
      </c>
      <c r="E187" s="899">
        <f t="shared" ref="E187:E188" si="3">C187*D187</f>
        <v>0.02</v>
      </c>
      <c r="F187" s="844"/>
    </row>
    <row r="188" spans="1:11" hidden="1" outlineLevel="1" x14ac:dyDescent="0.25">
      <c r="A188" s="844"/>
      <c r="B188" s="903" t="s">
        <v>40</v>
      </c>
      <c r="C188" s="901">
        <v>0.1</v>
      </c>
      <c r="D188" s="844">
        <v>1</v>
      </c>
      <c r="E188" s="899">
        <f t="shared" si="3"/>
        <v>0.1</v>
      </c>
      <c r="F188" s="844"/>
    </row>
    <row r="189" spans="1:11" hidden="1" outlineLevel="1" x14ac:dyDescent="0.25">
      <c r="A189" s="844"/>
      <c r="B189" s="903" t="s">
        <v>41</v>
      </c>
      <c r="C189" s="901">
        <v>0.02</v>
      </c>
      <c r="D189" s="902" t="s">
        <v>16</v>
      </c>
      <c r="E189" s="899">
        <f>C189*(1+0.3)</f>
        <v>2.6000000000000002E-2</v>
      </c>
      <c r="F189" s="844"/>
    </row>
    <row r="190" spans="1:11" hidden="1" outlineLevel="1" x14ac:dyDescent="0.25">
      <c r="A190" s="844"/>
      <c r="B190" s="903" t="s">
        <v>42</v>
      </c>
      <c r="C190" s="901">
        <v>0.01</v>
      </c>
      <c r="D190" s="844">
        <v>1</v>
      </c>
      <c r="E190" s="899">
        <f t="shared" ref="E190:E195" si="4">C190*D190</f>
        <v>0.01</v>
      </c>
      <c r="F190" s="844"/>
    </row>
    <row r="191" spans="1:11" hidden="1" outlineLevel="1" x14ac:dyDescent="0.25">
      <c r="A191" s="844"/>
      <c r="B191" s="903" t="s">
        <v>43</v>
      </c>
      <c r="C191" s="901">
        <v>0.18</v>
      </c>
      <c r="D191" s="844">
        <v>1</v>
      </c>
      <c r="E191" s="899">
        <f t="shared" si="4"/>
        <v>0.18</v>
      </c>
      <c r="F191" s="844"/>
    </row>
    <row r="192" spans="1:11" hidden="1" outlineLevel="1" x14ac:dyDescent="0.25">
      <c r="A192" s="844"/>
      <c r="B192" s="900" t="s">
        <v>30</v>
      </c>
      <c r="C192" s="901">
        <v>0.03</v>
      </c>
      <c r="D192" s="844">
        <v>1</v>
      </c>
      <c r="E192" s="899">
        <f t="shared" si="4"/>
        <v>0.03</v>
      </c>
      <c r="F192" s="844"/>
    </row>
    <row r="193" spans="1:18" hidden="1" outlineLevel="1" x14ac:dyDescent="0.25">
      <c r="A193" s="844"/>
      <c r="B193" s="900" t="s">
        <v>44</v>
      </c>
      <c r="C193" s="901">
        <v>0.09</v>
      </c>
      <c r="D193" s="844">
        <v>1</v>
      </c>
      <c r="E193" s="899">
        <f t="shared" si="4"/>
        <v>0.09</v>
      </c>
      <c r="F193" s="844"/>
    </row>
    <row r="194" spans="1:18" hidden="1" outlineLevel="1" x14ac:dyDescent="0.25">
      <c r="A194" s="844"/>
      <c r="B194" s="900" t="s">
        <v>32</v>
      </c>
      <c r="C194" s="901">
        <v>0.06</v>
      </c>
      <c r="D194" s="844">
        <v>1</v>
      </c>
      <c r="E194" s="899">
        <f t="shared" si="4"/>
        <v>0.06</v>
      </c>
      <c r="F194" s="844"/>
    </row>
    <row r="195" spans="1:18" hidden="1" outlineLevel="1" x14ac:dyDescent="0.25">
      <c r="A195" s="844"/>
      <c r="B195" s="900" t="s">
        <v>45</v>
      </c>
      <c r="C195" s="901">
        <v>0.01</v>
      </c>
      <c r="D195" s="844">
        <v>1</v>
      </c>
      <c r="E195" s="899">
        <f t="shared" si="4"/>
        <v>0.01</v>
      </c>
      <c r="F195" s="844"/>
    </row>
    <row r="196" spans="1:18" hidden="1" outlineLevel="1" x14ac:dyDescent="0.25">
      <c r="A196" s="844"/>
      <c r="B196" s="900" t="s">
        <v>34</v>
      </c>
      <c r="C196" s="901">
        <v>0.08</v>
      </c>
      <c r="D196" s="902"/>
      <c r="E196" s="904">
        <f>SUM(E180:E195)*C196</f>
        <v>8.2240000000000008E-2</v>
      </c>
      <c r="F196" s="904"/>
      <c r="G196" s="14"/>
      <c r="H196" s="14"/>
    </row>
    <row r="197" spans="1:18" s="19" customFormat="1" ht="15.75" collapsed="1" x14ac:dyDescent="0.25">
      <c r="A197" s="847"/>
      <c r="B197" s="847" t="s">
        <v>48</v>
      </c>
      <c r="C197" s="847"/>
      <c r="D197" s="847"/>
      <c r="E197" s="847"/>
      <c r="F197" s="847"/>
    </row>
    <row r="198" spans="1:18" s="19" customFormat="1" ht="15.75" x14ac:dyDescent="0.25">
      <c r="A198" s="847"/>
      <c r="B198" s="847" t="s">
        <v>49</v>
      </c>
      <c r="C198" s="847">
        <v>5.32</v>
      </c>
      <c r="D198" s="905"/>
      <c r="E198" s="847"/>
      <c r="F198" s="847"/>
    </row>
    <row r="199" spans="1:18" s="356" customFormat="1" ht="15.75" x14ac:dyDescent="0.25">
      <c r="A199" s="847"/>
      <c r="B199" s="847" t="s">
        <v>683</v>
      </c>
      <c r="C199" s="847"/>
      <c r="D199" s="929">
        <f>D15</f>
        <v>200</v>
      </c>
      <c r="E199" s="847" t="s">
        <v>746</v>
      </c>
      <c r="F199" s="847"/>
    </row>
    <row r="200" spans="1:18" s="2" customFormat="1" ht="38.25" x14ac:dyDescent="0.25">
      <c r="A200" s="854"/>
      <c r="B200" s="394" t="s">
        <v>837</v>
      </c>
      <c r="C200" s="394" t="s">
        <v>838</v>
      </c>
      <c r="D200" s="394" t="s">
        <v>840</v>
      </c>
      <c r="E200" s="854"/>
      <c r="F200" s="855">
        <f>31*1*D201*D202*C221*1000</f>
        <v>79725.626400000008</v>
      </c>
      <c r="I200"/>
      <c r="J200"/>
      <c r="K200"/>
      <c r="Q200" s="17"/>
      <c r="R200" s="17"/>
    </row>
    <row r="201" spans="1:18" s="3" customFormat="1" x14ac:dyDescent="0.25">
      <c r="A201" s="866"/>
      <c r="B201" s="865" t="s">
        <v>4</v>
      </c>
      <c r="C201" s="865" t="s">
        <v>5</v>
      </c>
      <c r="D201" s="866">
        <v>0.4</v>
      </c>
      <c r="E201" s="866"/>
      <c r="F201" s="866"/>
      <c r="I201"/>
      <c r="J201"/>
      <c r="K201"/>
    </row>
    <row r="202" spans="1:18" s="2" customFormat="1" ht="76.5" x14ac:dyDescent="0.25">
      <c r="A202" s="854"/>
      <c r="B202" s="394" t="s">
        <v>15</v>
      </c>
      <c r="C202" s="394" t="s">
        <v>839</v>
      </c>
      <c r="D202" s="854">
        <f>E203/1</f>
        <v>1.20855</v>
      </c>
      <c r="E202" s="854"/>
      <c r="F202" s="854"/>
    </row>
    <row r="203" spans="1:18" x14ac:dyDescent="0.25">
      <c r="A203" s="844"/>
      <c r="B203" s="896" t="s">
        <v>6</v>
      </c>
      <c r="C203" s="897">
        <f>SUM(C204:C219)</f>
        <v>1</v>
      </c>
      <c r="D203" s="857"/>
      <c r="E203" s="916">
        <f>SUM(E204:E219)</f>
        <v>1.20855</v>
      </c>
      <c r="F203" s="856"/>
      <c r="G203" s="9"/>
      <c r="H203" s="9"/>
    </row>
    <row r="204" spans="1:18" hidden="1" outlineLevel="1" x14ac:dyDescent="0.25">
      <c r="A204" s="844"/>
      <c r="B204" s="900" t="s">
        <v>20</v>
      </c>
      <c r="C204" s="901">
        <v>0.02</v>
      </c>
      <c r="D204" s="902">
        <v>1</v>
      </c>
      <c r="E204" s="899">
        <f>C204*D204</f>
        <v>0.02</v>
      </c>
      <c r="F204" s="857"/>
      <c r="G204" s="6"/>
      <c r="H204" s="6"/>
    </row>
    <row r="205" spans="1:18" hidden="1" outlineLevel="1" x14ac:dyDescent="0.25">
      <c r="A205" s="844"/>
      <c r="B205" s="900" t="s">
        <v>265</v>
      </c>
      <c r="C205" s="901">
        <v>0.02</v>
      </c>
      <c r="D205" s="902" t="s">
        <v>16</v>
      </c>
      <c r="E205" s="899">
        <f>C205*(1+0.3)</f>
        <v>2.6000000000000002E-2</v>
      </c>
      <c r="F205" s="844"/>
    </row>
    <row r="206" spans="1:18" ht="38.25" hidden="1" outlineLevel="1" x14ac:dyDescent="0.25">
      <c r="A206" s="844"/>
      <c r="B206" s="900" t="s">
        <v>266</v>
      </c>
      <c r="C206" s="901"/>
      <c r="D206" s="902"/>
      <c r="E206" s="899"/>
      <c r="F206" s="844"/>
    </row>
    <row r="207" spans="1:18" hidden="1" outlineLevel="1" x14ac:dyDescent="0.25">
      <c r="A207" s="844"/>
      <c r="B207" s="903" t="s">
        <v>43</v>
      </c>
      <c r="C207" s="922">
        <v>0.245</v>
      </c>
      <c r="D207" s="902" t="s">
        <v>16</v>
      </c>
      <c r="E207" s="899">
        <f>C207*(1+0.3)</f>
        <v>0.31850000000000001</v>
      </c>
      <c r="F207" s="844"/>
    </row>
    <row r="208" spans="1:18" hidden="1" outlineLevel="1" x14ac:dyDescent="0.25">
      <c r="A208" s="844"/>
      <c r="B208" s="903" t="s">
        <v>267</v>
      </c>
      <c r="C208" s="899">
        <v>0.27500000000000002</v>
      </c>
      <c r="D208" s="902" t="s">
        <v>16</v>
      </c>
      <c r="E208" s="899">
        <f>C208*(1+0.3)</f>
        <v>0.35750000000000004</v>
      </c>
      <c r="F208" s="857"/>
      <c r="G208" s="6"/>
      <c r="H208" s="6"/>
    </row>
    <row r="209" spans="1:18" hidden="1" outlineLevel="1" x14ac:dyDescent="0.25">
      <c r="A209" s="844"/>
      <c r="B209" s="903" t="s">
        <v>268</v>
      </c>
      <c r="C209" s="922">
        <v>1.4999999999999999E-2</v>
      </c>
      <c r="D209" s="902">
        <v>1</v>
      </c>
      <c r="E209" s="899">
        <f>C209*D209</f>
        <v>1.4999999999999999E-2</v>
      </c>
      <c r="F209" s="857"/>
      <c r="G209" s="6"/>
      <c r="H209" s="6"/>
    </row>
    <row r="210" spans="1:18" hidden="1" outlineLevel="1" x14ac:dyDescent="0.25">
      <c r="A210" s="844"/>
      <c r="B210" s="903" t="s">
        <v>269</v>
      </c>
      <c r="C210" s="922">
        <v>2.5000000000000001E-2</v>
      </c>
      <c r="D210" s="902">
        <v>1</v>
      </c>
      <c r="E210" s="899">
        <f t="shared" ref="E210:E215" si="5">C210*D210</f>
        <v>2.5000000000000001E-2</v>
      </c>
      <c r="F210" s="857"/>
      <c r="G210" s="6"/>
      <c r="H210" s="6"/>
    </row>
    <row r="211" spans="1:18" hidden="1" outlineLevel="1" x14ac:dyDescent="0.25">
      <c r="A211" s="844"/>
      <c r="B211" s="903" t="s">
        <v>37</v>
      </c>
      <c r="C211" s="922">
        <v>0.1</v>
      </c>
      <c r="D211" s="902">
        <v>1</v>
      </c>
      <c r="E211" s="899">
        <f t="shared" si="5"/>
        <v>0.1</v>
      </c>
      <c r="F211" s="858"/>
      <c r="G211" s="7"/>
      <c r="H211" s="7"/>
      <c r="I211" s="8"/>
    </row>
    <row r="212" spans="1:18" hidden="1" outlineLevel="1" x14ac:dyDescent="0.25">
      <c r="A212" s="844"/>
      <c r="B212" s="903" t="s">
        <v>270</v>
      </c>
      <c r="C212" s="922">
        <v>2.5000000000000001E-2</v>
      </c>
      <c r="D212" s="902">
        <v>1</v>
      </c>
      <c r="E212" s="899">
        <f t="shared" si="5"/>
        <v>2.5000000000000001E-2</v>
      </c>
      <c r="F212" s="857"/>
      <c r="G212" s="6"/>
      <c r="H212" s="6"/>
    </row>
    <row r="213" spans="1:18" hidden="1" outlineLevel="1" x14ac:dyDescent="0.25">
      <c r="A213" s="844"/>
      <c r="B213" s="903" t="s">
        <v>271</v>
      </c>
      <c r="C213" s="922">
        <v>1.4999999999999999E-2</v>
      </c>
      <c r="D213" s="844">
        <v>1</v>
      </c>
      <c r="E213" s="899">
        <f t="shared" si="5"/>
        <v>1.4999999999999999E-2</v>
      </c>
      <c r="F213" s="844"/>
    </row>
    <row r="214" spans="1:18" hidden="1" outlineLevel="1" x14ac:dyDescent="0.25">
      <c r="A214" s="844"/>
      <c r="B214" s="900" t="s">
        <v>272</v>
      </c>
      <c r="C214" s="901">
        <v>0.06</v>
      </c>
      <c r="D214" s="921">
        <v>1</v>
      </c>
      <c r="E214" s="899">
        <f t="shared" si="5"/>
        <v>0.06</v>
      </c>
      <c r="F214" s="844"/>
    </row>
    <row r="215" spans="1:18" hidden="1" outlineLevel="1" x14ac:dyDescent="0.25">
      <c r="A215" s="844"/>
      <c r="B215" s="900" t="s">
        <v>30</v>
      </c>
      <c r="C215" s="901">
        <v>0.02</v>
      </c>
      <c r="D215" s="921">
        <v>1</v>
      </c>
      <c r="E215" s="899">
        <f t="shared" si="5"/>
        <v>0.02</v>
      </c>
      <c r="F215" s="844"/>
    </row>
    <row r="216" spans="1:18" hidden="1" outlineLevel="1" x14ac:dyDescent="0.25">
      <c r="A216" s="844"/>
      <c r="B216" s="900" t="s">
        <v>273</v>
      </c>
      <c r="C216" s="901">
        <v>0.01</v>
      </c>
      <c r="D216" s="902">
        <v>1</v>
      </c>
      <c r="E216" s="899">
        <f>C216*(1+0.3)</f>
        <v>1.3000000000000001E-2</v>
      </c>
      <c r="F216" s="857"/>
      <c r="G216" s="6"/>
      <c r="H216" s="6"/>
    </row>
    <row r="217" spans="1:18" hidden="1" outlineLevel="1" x14ac:dyDescent="0.25">
      <c r="A217" s="844"/>
      <c r="B217" s="900" t="s">
        <v>274</v>
      </c>
      <c r="C217" s="901">
        <v>0.09</v>
      </c>
      <c r="D217" s="902">
        <v>1</v>
      </c>
      <c r="E217" s="899">
        <f>C217*(1+0.3)</f>
        <v>0.11699999999999999</v>
      </c>
      <c r="F217" s="857"/>
      <c r="G217" s="6"/>
      <c r="H217" s="6"/>
    </row>
    <row r="218" spans="1:18" hidden="1" outlineLevel="1" x14ac:dyDescent="0.25">
      <c r="A218" s="844"/>
      <c r="B218" s="900" t="s">
        <v>32</v>
      </c>
      <c r="C218" s="901">
        <v>0.03</v>
      </c>
      <c r="D218" s="902">
        <v>1</v>
      </c>
      <c r="E218" s="899">
        <f>C218*(1+0.3)</f>
        <v>3.9E-2</v>
      </c>
      <c r="F218" s="857"/>
      <c r="G218" s="6"/>
      <c r="H218" s="6"/>
    </row>
    <row r="219" spans="1:18" hidden="1" outlineLevel="1" x14ac:dyDescent="0.25">
      <c r="A219" s="844"/>
      <c r="B219" s="900" t="s">
        <v>34</v>
      </c>
      <c r="C219" s="923">
        <v>0.05</v>
      </c>
      <c r="D219" s="844"/>
      <c r="E219" s="924">
        <f>SUM(E204:E218)*C219</f>
        <v>5.7550000000000004E-2</v>
      </c>
      <c r="F219" s="858"/>
      <c r="G219" s="7"/>
      <c r="H219" s="7"/>
      <c r="I219" s="8"/>
    </row>
    <row r="220" spans="1:18" s="19" customFormat="1" ht="15.75" collapsed="1" x14ac:dyDescent="0.25">
      <c r="A220" s="847"/>
      <c r="B220" s="847" t="s">
        <v>48</v>
      </c>
      <c r="C220" s="847"/>
      <c r="D220" s="847"/>
      <c r="E220" s="847"/>
      <c r="F220" s="847"/>
    </row>
    <row r="221" spans="1:18" s="19" customFormat="1" ht="15.75" x14ac:dyDescent="0.25">
      <c r="A221" s="847"/>
      <c r="B221" s="847" t="s">
        <v>49</v>
      </c>
      <c r="C221" s="847">
        <v>5.32</v>
      </c>
      <c r="D221" s="905"/>
      <c r="E221" s="847"/>
      <c r="F221" s="847"/>
    </row>
    <row r="222" spans="1:18" s="11" customFormat="1" x14ac:dyDescent="0.25">
      <c r="A222" s="847"/>
      <c r="B222" s="845" t="s">
        <v>689</v>
      </c>
      <c r="C222" s="847"/>
      <c r="D222" s="847" t="str">
        <f>D11</f>
        <v>5/30.</v>
      </c>
      <c r="E222" s="847" t="s">
        <v>696</v>
      </c>
      <c r="F222" s="847"/>
      <c r="I222" s="13"/>
    </row>
    <row r="223" spans="1:18" s="2" customFormat="1" ht="51" x14ac:dyDescent="0.25">
      <c r="A223" s="854"/>
      <c r="B223" s="394" t="s">
        <v>841</v>
      </c>
      <c r="C223" s="394" t="s">
        <v>842</v>
      </c>
      <c r="D223" s="394" t="s">
        <v>845</v>
      </c>
      <c r="E223" s="854"/>
      <c r="F223" s="855">
        <f>(25.98+4.623*10)*1*D224*D225*C245*1000</f>
        <v>179132.80968576003</v>
      </c>
      <c r="I223"/>
      <c r="J223"/>
      <c r="K223"/>
      <c r="Q223" s="17"/>
      <c r="R223" s="17"/>
    </row>
    <row r="224" spans="1:18" s="3" customFormat="1" x14ac:dyDescent="0.25">
      <c r="A224" s="866"/>
      <c r="B224" s="865" t="s">
        <v>4</v>
      </c>
      <c r="C224" s="865" t="s">
        <v>844</v>
      </c>
      <c r="D224" s="866">
        <v>0.42</v>
      </c>
      <c r="E224" s="866"/>
      <c r="F224" s="866"/>
      <c r="I224"/>
      <c r="J224"/>
      <c r="K224"/>
    </row>
    <row r="225" spans="1:8" ht="77.25" x14ac:dyDescent="0.25">
      <c r="A225" s="844"/>
      <c r="B225" s="895" t="s">
        <v>15</v>
      </c>
      <c r="C225" s="394" t="s">
        <v>843</v>
      </c>
      <c r="D225" s="854">
        <f>E226/1</f>
        <v>1.1102400000000001</v>
      </c>
      <c r="E225" s="844"/>
      <c r="F225" s="844"/>
    </row>
    <row r="226" spans="1:8" x14ac:dyDescent="0.25">
      <c r="A226" s="844"/>
      <c r="B226" s="896" t="s">
        <v>6</v>
      </c>
      <c r="C226" s="897">
        <f>SUM(C227:C243)</f>
        <v>0.99999999999999989</v>
      </c>
      <c r="D226" s="857"/>
      <c r="E226" s="898">
        <f>SUM(E227:E243)</f>
        <v>1.1102400000000001</v>
      </c>
      <c r="F226" s="899"/>
      <c r="G226" s="4"/>
      <c r="H226" s="4"/>
    </row>
    <row r="227" spans="1:8" hidden="1" outlineLevel="1" x14ac:dyDescent="0.25">
      <c r="A227" s="844"/>
      <c r="B227" s="900" t="s">
        <v>20</v>
      </c>
      <c r="C227" s="901">
        <v>0.02</v>
      </c>
      <c r="D227" s="844">
        <v>1</v>
      </c>
      <c r="E227" s="899">
        <f>C227*D227</f>
        <v>0.02</v>
      </c>
      <c r="F227" s="844"/>
    </row>
    <row r="228" spans="1:8" hidden="1" outlineLevel="1" x14ac:dyDescent="0.25">
      <c r="A228" s="844"/>
      <c r="B228" s="900" t="s">
        <v>21</v>
      </c>
      <c r="C228" s="901">
        <v>0.02</v>
      </c>
      <c r="D228" s="844">
        <v>1</v>
      </c>
      <c r="E228" s="899">
        <f>C228*D228</f>
        <v>0.02</v>
      </c>
      <c r="F228" s="844"/>
    </row>
    <row r="229" spans="1:8" hidden="1" outlineLevel="1" x14ac:dyDescent="0.25">
      <c r="A229" s="844"/>
      <c r="B229" s="900" t="s">
        <v>22</v>
      </c>
      <c r="C229" s="901">
        <v>0.06</v>
      </c>
      <c r="D229" s="902" t="s">
        <v>16</v>
      </c>
      <c r="E229" s="899">
        <f>C229*(1+0.3)</f>
        <v>7.8E-2</v>
      </c>
      <c r="F229" s="844"/>
    </row>
    <row r="230" spans="1:8" hidden="1" outlineLevel="1" x14ac:dyDescent="0.25">
      <c r="A230" s="844"/>
      <c r="B230" s="900" t="s">
        <v>23</v>
      </c>
      <c r="C230" s="901">
        <v>0.12</v>
      </c>
      <c r="D230" s="902" t="s">
        <v>16</v>
      </c>
      <c r="E230" s="899">
        <f>C230*(1+0.3)</f>
        <v>0.156</v>
      </c>
      <c r="F230" s="844"/>
    </row>
    <row r="231" spans="1:8" ht="25.5" hidden="1" outlineLevel="1" x14ac:dyDescent="0.25">
      <c r="A231" s="844"/>
      <c r="B231" s="900" t="s">
        <v>343</v>
      </c>
      <c r="C231" s="901"/>
      <c r="D231" s="902"/>
      <c r="E231" s="899"/>
      <c r="F231" s="844"/>
    </row>
    <row r="232" spans="1:8" hidden="1" outlineLevel="1" x14ac:dyDescent="0.25">
      <c r="A232" s="844"/>
      <c r="B232" s="903" t="s">
        <v>37</v>
      </c>
      <c r="C232" s="901">
        <v>0.16</v>
      </c>
      <c r="D232" s="902" t="s">
        <v>16</v>
      </c>
      <c r="E232" s="899">
        <f>C232*(1+0.3)</f>
        <v>0.20800000000000002</v>
      </c>
      <c r="F232" s="844"/>
    </row>
    <row r="233" spans="1:8" hidden="1" outlineLevel="1" x14ac:dyDescent="0.25">
      <c r="A233" s="844"/>
      <c r="B233" s="903" t="s">
        <v>38</v>
      </c>
      <c r="C233" s="901">
        <v>0.02</v>
      </c>
      <c r="D233" s="844">
        <v>1</v>
      </c>
      <c r="E233" s="899">
        <f>C233*D233</f>
        <v>0.02</v>
      </c>
      <c r="F233" s="844"/>
    </row>
    <row r="234" spans="1:8" hidden="1" outlineLevel="1" x14ac:dyDescent="0.25">
      <c r="A234" s="844"/>
      <c r="B234" s="903" t="s">
        <v>39</v>
      </c>
      <c r="C234" s="901">
        <v>0.02</v>
      </c>
      <c r="D234" s="844">
        <v>1</v>
      </c>
      <c r="E234" s="899">
        <f t="shared" ref="E234:E235" si="6">C234*D234</f>
        <v>0.02</v>
      </c>
      <c r="F234" s="844"/>
    </row>
    <row r="235" spans="1:8" hidden="1" outlineLevel="1" x14ac:dyDescent="0.25">
      <c r="A235" s="844"/>
      <c r="B235" s="903" t="s">
        <v>40</v>
      </c>
      <c r="C235" s="901">
        <v>0.1</v>
      </c>
      <c r="D235" s="844">
        <v>1</v>
      </c>
      <c r="E235" s="899">
        <f t="shared" si="6"/>
        <v>0.1</v>
      </c>
      <c r="F235" s="844"/>
    </row>
    <row r="236" spans="1:8" hidden="1" outlineLevel="1" x14ac:dyDescent="0.25">
      <c r="A236" s="844"/>
      <c r="B236" s="903" t="s">
        <v>41</v>
      </c>
      <c r="C236" s="901">
        <v>0.02</v>
      </c>
      <c r="D236" s="902" t="s">
        <v>16</v>
      </c>
      <c r="E236" s="899">
        <f>C236*(1+0.3)</f>
        <v>2.6000000000000002E-2</v>
      </c>
      <c r="F236" s="844"/>
    </row>
    <row r="237" spans="1:8" hidden="1" outlineLevel="1" x14ac:dyDescent="0.25">
      <c r="A237" s="844"/>
      <c r="B237" s="903" t="s">
        <v>42</v>
      </c>
      <c r="C237" s="901">
        <v>0.01</v>
      </c>
      <c r="D237" s="844">
        <v>1</v>
      </c>
      <c r="E237" s="899">
        <f t="shared" ref="E237:E241" si="7">C237*D237</f>
        <v>0.01</v>
      </c>
      <c r="F237" s="844"/>
    </row>
    <row r="238" spans="1:8" hidden="1" outlineLevel="1" x14ac:dyDescent="0.25">
      <c r="A238" s="844"/>
      <c r="B238" s="903" t="s">
        <v>43</v>
      </c>
      <c r="C238" s="901">
        <v>0.18</v>
      </c>
      <c r="D238" s="844">
        <v>1</v>
      </c>
      <c r="E238" s="899">
        <f t="shared" si="7"/>
        <v>0.18</v>
      </c>
      <c r="F238" s="844"/>
    </row>
    <row r="239" spans="1:8" hidden="1" outlineLevel="1" x14ac:dyDescent="0.25">
      <c r="A239" s="844"/>
      <c r="B239" s="900" t="s">
        <v>30</v>
      </c>
      <c r="C239" s="901">
        <v>0.03</v>
      </c>
      <c r="D239" s="844">
        <v>1</v>
      </c>
      <c r="E239" s="899">
        <f t="shared" si="7"/>
        <v>0.03</v>
      </c>
      <c r="F239" s="844"/>
    </row>
    <row r="240" spans="1:8" hidden="1" outlineLevel="1" x14ac:dyDescent="0.25">
      <c r="A240" s="844"/>
      <c r="B240" s="900" t="s">
        <v>44</v>
      </c>
      <c r="C240" s="901">
        <v>0.09</v>
      </c>
      <c r="D240" s="844">
        <v>1</v>
      </c>
      <c r="E240" s="899">
        <f t="shared" si="7"/>
        <v>0.09</v>
      </c>
      <c r="F240" s="844"/>
    </row>
    <row r="241" spans="1:18" hidden="1" outlineLevel="1" x14ac:dyDescent="0.25">
      <c r="A241" s="844"/>
      <c r="B241" s="900" t="s">
        <v>32</v>
      </c>
      <c r="C241" s="901">
        <v>0.06</v>
      </c>
      <c r="D241" s="844">
        <v>1</v>
      </c>
      <c r="E241" s="899">
        <f t="shared" si="7"/>
        <v>0.06</v>
      </c>
      <c r="F241" s="844"/>
    </row>
    <row r="242" spans="1:18" hidden="1" outlineLevel="1" x14ac:dyDescent="0.25">
      <c r="A242" s="844"/>
      <c r="B242" s="900" t="s">
        <v>45</v>
      </c>
      <c r="C242" s="901">
        <v>0.01</v>
      </c>
      <c r="D242" s="844">
        <v>1</v>
      </c>
      <c r="E242" s="899">
        <f>C242*D242</f>
        <v>0.01</v>
      </c>
      <c r="F242" s="844"/>
    </row>
    <row r="243" spans="1:18" hidden="1" outlineLevel="1" x14ac:dyDescent="0.25">
      <c r="A243" s="844"/>
      <c r="B243" s="900" t="s">
        <v>34</v>
      </c>
      <c r="C243" s="901">
        <v>0.08</v>
      </c>
      <c r="D243" s="902"/>
      <c r="E243" s="904">
        <f>SUM(E227:E242)*C243</f>
        <v>8.2240000000000008E-2</v>
      </c>
      <c r="F243" s="904"/>
      <c r="G243" s="14"/>
      <c r="H243" s="14"/>
    </row>
    <row r="244" spans="1:18" s="19" customFormat="1" ht="15.75" collapsed="1" x14ac:dyDescent="0.25">
      <c r="A244" s="847"/>
      <c r="B244" s="847" t="s">
        <v>48</v>
      </c>
      <c r="C244" s="847"/>
      <c r="D244" s="847"/>
      <c r="E244" s="847"/>
      <c r="F244" s="847"/>
    </row>
    <row r="245" spans="1:18" s="19" customFormat="1" ht="15.75" x14ac:dyDescent="0.25">
      <c r="A245" s="847"/>
      <c r="B245" s="847" t="s">
        <v>49</v>
      </c>
      <c r="C245" s="847">
        <v>5.32</v>
      </c>
      <c r="D245" s="905"/>
      <c r="E245" s="847"/>
      <c r="F245" s="847"/>
    </row>
    <row r="246" spans="1:18" s="11" customFormat="1" x14ac:dyDescent="0.25">
      <c r="A246" s="847"/>
      <c r="B246" s="845" t="s">
        <v>848</v>
      </c>
      <c r="C246" s="847"/>
      <c r="D246" s="847">
        <v>6</v>
      </c>
      <c r="E246" s="847" t="s">
        <v>892</v>
      </c>
      <c r="F246" s="847"/>
      <c r="I246" s="13"/>
    </row>
    <row r="247" spans="1:18" s="2" customFormat="1" ht="51" x14ac:dyDescent="0.25">
      <c r="A247" s="854"/>
      <c r="B247" s="394" t="s">
        <v>853</v>
      </c>
      <c r="C247" s="394" t="s">
        <v>850</v>
      </c>
      <c r="D247" s="394" t="s">
        <v>891</v>
      </c>
      <c r="E247" s="854"/>
      <c r="F247" s="855">
        <f>(36.61+4.57*6)*1*D248*D249*C269*1000</f>
        <v>189095.85475200001</v>
      </c>
      <c r="I247"/>
      <c r="J247"/>
      <c r="K247"/>
      <c r="Q247" s="17"/>
      <c r="R247" s="17"/>
    </row>
    <row r="248" spans="1:18" s="3" customFormat="1" x14ac:dyDescent="0.25">
      <c r="A248" s="866"/>
      <c r="B248" s="865" t="s">
        <v>4</v>
      </c>
      <c r="C248" s="865" t="s">
        <v>852</v>
      </c>
      <c r="D248" s="866">
        <v>0.5</v>
      </c>
      <c r="E248" s="866"/>
      <c r="F248" s="866"/>
      <c r="I248"/>
      <c r="J248"/>
      <c r="K248"/>
    </row>
    <row r="249" spans="1:18" ht="77.25" x14ac:dyDescent="0.25">
      <c r="A249" s="844"/>
      <c r="B249" s="895" t="s">
        <v>15</v>
      </c>
      <c r="C249" s="394" t="s">
        <v>843</v>
      </c>
      <c r="D249" s="854">
        <f>E250/1</f>
        <v>1.1102400000000001</v>
      </c>
      <c r="E249" s="844"/>
      <c r="F249" s="844"/>
    </row>
    <row r="250" spans="1:18" x14ac:dyDescent="0.25">
      <c r="A250" s="844"/>
      <c r="B250" s="896" t="s">
        <v>6</v>
      </c>
      <c r="C250" s="897">
        <f>SUM(C251:C267)</f>
        <v>0.99999999999999989</v>
      </c>
      <c r="D250" s="857"/>
      <c r="E250" s="898">
        <f>SUM(E251:E267)</f>
        <v>1.1102400000000001</v>
      </c>
      <c r="F250" s="899"/>
      <c r="G250" s="4"/>
      <c r="H250" s="4"/>
    </row>
    <row r="251" spans="1:18" hidden="1" outlineLevel="1" x14ac:dyDescent="0.25">
      <c r="A251" s="844"/>
      <c r="B251" s="900" t="s">
        <v>20</v>
      </c>
      <c r="C251" s="901">
        <v>0.02</v>
      </c>
      <c r="D251" s="844">
        <v>1</v>
      </c>
      <c r="E251" s="899">
        <f>C251*D251</f>
        <v>0.02</v>
      </c>
      <c r="F251" s="844"/>
    </row>
    <row r="252" spans="1:18" hidden="1" outlineLevel="1" x14ac:dyDescent="0.25">
      <c r="A252" s="844"/>
      <c r="B252" s="900" t="s">
        <v>21</v>
      </c>
      <c r="C252" s="901">
        <v>0.02</v>
      </c>
      <c r="D252" s="844">
        <v>1</v>
      </c>
      <c r="E252" s="899">
        <f>C252*D252</f>
        <v>0.02</v>
      </c>
      <c r="F252" s="844"/>
    </row>
    <row r="253" spans="1:18" hidden="1" outlineLevel="1" x14ac:dyDescent="0.25">
      <c r="A253" s="844"/>
      <c r="B253" s="900" t="s">
        <v>22</v>
      </c>
      <c r="C253" s="901">
        <v>0.06</v>
      </c>
      <c r="D253" s="902" t="s">
        <v>16</v>
      </c>
      <c r="E253" s="899">
        <f>C253*(1+0.3)</f>
        <v>7.8E-2</v>
      </c>
      <c r="F253" s="844"/>
    </row>
    <row r="254" spans="1:18" hidden="1" outlineLevel="1" x14ac:dyDescent="0.25">
      <c r="A254" s="844"/>
      <c r="B254" s="900" t="s">
        <v>23</v>
      </c>
      <c r="C254" s="901">
        <v>0.12</v>
      </c>
      <c r="D254" s="902" t="s">
        <v>16</v>
      </c>
      <c r="E254" s="899">
        <f>C254*(1+0.3)</f>
        <v>0.156</v>
      </c>
      <c r="F254" s="844"/>
    </row>
    <row r="255" spans="1:18" ht="25.5" hidden="1" outlineLevel="1" x14ac:dyDescent="0.25">
      <c r="A255" s="844"/>
      <c r="B255" s="900" t="s">
        <v>343</v>
      </c>
      <c r="C255" s="901"/>
      <c r="D255" s="902"/>
      <c r="E255" s="899"/>
      <c r="F255" s="844"/>
    </row>
    <row r="256" spans="1:18" hidden="1" outlineLevel="1" x14ac:dyDescent="0.25">
      <c r="A256" s="844"/>
      <c r="B256" s="903" t="s">
        <v>37</v>
      </c>
      <c r="C256" s="901">
        <v>0.16</v>
      </c>
      <c r="D256" s="902" t="s">
        <v>16</v>
      </c>
      <c r="E256" s="899">
        <f>C256*(1+0.3)</f>
        <v>0.20800000000000002</v>
      </c>
      <c r="F256" s="844"/>
    </row>
    <row r="257" spans="1:18" hidden="1" outlineLevel="1" x14ac:dyDescent="0.25">
      <c r="A257" s="844"/>
      <c r="B257" s="903" t="s">
        <v>38</v>
      </c>
      <c r="C257" s="901">
        <v>0.02</v>
      </c>
      <c r="D257" s="844">
        <v>1</v>
      </c>
      <c r="E257" s="899">
        <f>C257*D257</f>
        <v>0.02</v>
      </c>
      <c r="F257" s="844"/>
    </row>
    <row r="258" spans="1:18" hidden="1" outlineLevel="1" x14ac:dyDescent="0.25">
      <c r="A258" s="844"/>
      <c r="B258" s="903" t="s">
        <v>39</v>
      </c>
      <c r="C258" s="901">
        <v>0.02</v>
      </c>
      <c r="D258" s="844">
        <v>1</v>
      </c>
      <c r="E258" s="899">
        <f t="shared" ref="E258:E259" si="8">C258*D258</f>
        <v>0.02</v>
      </c>
      <c r="F258" s="844"/>
    </row>
    <row r="259" spans="1:18" hidden="1" outlineLevel="1" x14ac:dyDescent="0.25">
      <c r="A259" s="844"/>
      <c r="B259" s="903" t="s">
        <v>40</v>
      </c>
      <c r="C259" s="901">
        <v>0.1</v>
      </c>
      <c r="D259" s="844">
        <v>1</v>
      </c>
      <c r="E259" s="899">
        <f t="shared" si="8"/>
        <v>0.1</v>
      </c>
      <c r="F259" s="844"/>
    </row>
    <row r="260" spans="1:18" hidden="1" outlineLevel="1" x14ac:dyDescent="0.25">
      <c r="A260" s="844"/>
      <c r="B260" s="903" t="s">
        <v>41</v>
      </c>
      <c r="C260" s="901">
        <v>0.02</v>
      </c>
      <c r="D260" s="902" t="s">
        <v>16</v>
      </c>
      <c r="E260" s="899">
        <f>C260*(1+0.3)</f>
        <v>2.6000000000000002E-2</v>
      </c>
      <c r="F260" s="844"/>
    </row>
    <row r="261" spans="1:18" hidden="1" outlineLevel="1" x14ac:dyDescent="0.25">
      <c r="A261" s="844"/>
      <c r="B261" s="903" t="s">
        <v>42</v>
      </c>
      <c r="C261" s="901">
        <v>0.01</v>
      </c>
      <c r="D261" s="844">
        <v>1</v>
      </c>
      <c r="E261" s="899">
        <f t="shared" ref="E261:E265" si="9">C261*D261</f>
        <v>0.01</v>
      </c>
      <c r="F261" s="844"/>
    </row>
    <row r="262" spans="1:18" hidden="1" outlineLevel="1" x14ac:dyDescent="0.25">
      <c r="A262" s="844"/>
      <c r="B262" s="903" t="s">
        <v>43</v>
      </c>
      <c r="C262" s="901">
        <v>0.18</v>
      </c>
      <c r="D262" s="844">
        <v>1</v>
      </c>
      <c r="E262" s="899">
        <f t="shared" si="9"/>
        <v>0.18</v>
      </c>
      <c r="F262" s="844"/>
    </row>
    <row r="263" spans="1:18" hidden="1" outlineLevel="1" x14ac:dyDescent="0.25">
      <c r="A263" s="844"/>
      <c r="B263" s="900" t="s">
        <v>30</v>
      </c>
      <c r="C263" s="901">
        <v>0.03</v>
      </c>
      <c r="D263" s="844">
        <v>1</v>
      </c>
      <c r="E263" s="899">
        <f t="shared" si="9"/>
        <v>0.03</v>
      </c>
      <c r="F263" s="844"/>
    </row>
    <row r="264" spans="1:18" hidden="1" outlineLevel="1" x14ac:dyDescent="0.25">
      <c r="A264" s="844"/>
      <c r="B264" s="900" t="s">
        <v>44</v>
      </c>
      <c r="C264" s="901">
        <v>0.09</v>
      </c>
      <c r="D264" s="844">
        <v>1</v>
      </c>
      <c r="E264" s="899">
        <f t="shared" si="9"/>
        <v>0.09</v>
      </c>
      <c r="F264" s="844"/>
    </row>
    <row r="265" spans="1:18" hidden="1" outlineLevel="1" x14ac:dyDescent="0.25">
      <c r="A265" s="844"/>
      <c r="B265" s="900" t="s">
        <v>32</v>
      </c>
      <c r="C265" s="901">
        <v>0.06</v>
      </c>
      <c r="D265" s="844">
        <v>1</v>
      </c>
      <c r="E265" s="899">
        <f t="shared" si="9"/>
        <v>0.06</v>
      </c>
      <c r="F265" s="844"/>
    </row>
    <row r="266" spans="1:18" hidden="1" outlineLevel="1" x14ac:dyDescent="0.25">
      <c r="A266" s="844"/>
      <c r="B266" s="900" t="s">
        <v>45</v>
      </c>
      <c r="C266" s="901">
        <v>0.01</v>
      </c>
      <c r="D266" s="844">
        <v>1</v>
      </c>
      <c r="E266" s="899">
        <f>C266*D266</f>
        <v>0.01</v>
      </c>
      <c r="F266" s="844"/>
    </row>
    <row r="267" spans="1:18" hidden="1" outlineLevel="1" x14ac:dyDescent="0.25">
      <c r="A267" s="844"/>
      <c r="B267" s="900" t="s">
        <v>34</v>
      </c>
      <c r="C267" s="901">
        <v>0.08</v>
      </c>
      <c r="D267" s="902"/>
      <c r="E267" s="904">
        <f>SUM(E251:E266)*C267</f>
        <v>8.2240000000000008E-2</v>
      </c>
      <c r="F267" s="904"/>
      <c r="G267" s="14"/>
      <c r="H267" s="14"/>
    </row>
    <row r="268" spans="1:18" s="19" customFormat="1" ht="15.75" collapsed="1" x14ac:dyDescent="0.25">
      <c r="A268" s="847"/>
      <c r="B268" s="847" t="s">
        <v>48</v>
      </c>
      <c r="C268" s="847"/>
      <c r="D268" s="847"/>
      <c r="E268" s="847"/>
      <c r="F268" s="847"/>
    </row>
    <row r="269" spans="1:18" s="19" customFormat="1" ht="15.75" x14ac:dyDescent="0.25">
      <c r="A269" s="847"/>
      <c r="B269" s="847" t="s">
        <v>49</v>
      </c>
      <c r="C269" s="847">
        <v>5.32</v>
      </c>
      <c r="D269" s="905"/>
      <c r="E269" s="847"/>
      <c r="F269" s="847"/>
    </row>
    <row r="270" spans="1:18" s="11" customFormat="1" x14ac:dyDescent="0.25">
      <c r="A270" s="847"/>
      <c r="B270" s="845" t="s">
        <v>859</v>
      </c>
      <c r="C270" s="847"/>
      <c r="D270" s="847"/>
      <c r="E270" s="847" t="s">
        <v>862</v>
      </c>
      <c r="F270" s="847"/>
      <c r="I270" s="13"/>
    </row>
    <row r="271" spans="1:18" s="2" customFormat="1" ht="38.25" x14ac:dyDescent="0.25">
      <c r="A271" s="854"/>
      <c r="B271" s="394" t="s">
        <v>860</v>
      </c>
      <c r="C271" s="394" t="s">
        <v>861</v>
      </c>
      <c r="D271" s="394" t="s">
        <v>865</v>
      </c>
      <c r="E271" s="854"/>
      <c r="F271" s="855">
        <f>39.55*D270*D273*D272*D274*C294*1000</f>
        <v>0</v>
      </c>
      <c r="I271"/>
      <c r="J271"/>
      <c r="K271"/>
      <c r="Q271" s="17"/>
      <c r="R271" s="17"/>
    </row>
    <row r="272" spans="1:18" s="3" customFormat="1" x14ac:dyDescent="0.25">
      <c r="A272" s="866"/>
      <c r="B272" s="865" t="s">
        <v>4</v>
      </c>
      <c r="C272" s="865" t="s">
        <v>852</v>
      </c>
      <c r="D272" s="866">
        <v>0.5</v>
      </c>
      <c r="E272" s="866"/>
      <c r="F272" s="866"/>
      <c r="I272"/>
      <c r="J272"/>
      <c r="K272"/>
    </row>
    <row r="273" spans="1:11" s="3" customFormat="1" x14ac:dyDescent="0.25">
      <c r="A273" s="866"/>
      <c r="B273" s="865" t="s">
        <v>863</v>
      </c>
      <c r="C273" s="865" t="s">
        <v>864</v>
      </c>
      <c r="D273" s="866">
        <v>0.2</v>
      </c>
      <c r="E273" s="866"/>
      <c r="F273" s="866"/>
      <c r="I273"/>
      <c r="J273"/>
      <c r="K273"/>
    </row>
    <row r="274" spans="1:11" ht="77.25" x14ac:dyDescent="0.25">
      <c r="A274" s="844"/>
      <c r="B274" s="895" t="s">
        <v>15</v>
      </c>
      <c r="C274" s="394" t="s">
        <v>843</v>
      </c>
      <c r="D274" s="854">
        <f>E275/1</f>
        <v>1.1102400000000001</v>
      </c>
      <c r="E274" s="844"/>
      <c r="F274" s="844"/>
    </row>
    <row r="275" spans="1:11" x14ac:dyDescent="0.25">
      <c r="A275" s="844"/>
      <c r="B275" s="896" t="s">
        <v>6</v>
      </c>
      <c r="C275" s="897">
        <f>SUM(C276:C292)</f>
        <v>0.99999999999999989</v>
      </c>
      <c r="D275" s="857"/>
      <c r="E275" s="898">
        <f>SUM(E276:E292)</f>
        <v>1.1102400000000001</v>
      </c>
      <c r="F275" s="899"/>
      <c r="G275" s="4"/>
      <c r="H275" s="4"/>
    </row>
    <row r="276" spans="1:11" hidden="1" outlineLevel="1" x14ac:dyDescent="0.25">
      <c r="A276" s="844"/>
      <c r="B276" s="900" t="s">
        <v>20</v>
      </c>
      <c r="C276" s="901">
        <v>0.02</v>
      </c>
      <c r="D276" s="844">
        <v>1</v>
      </c>
      <c r="E276" s="899">
        <f>C276*D276</f>
        <v>0.02</v>
      </c>
      <c r="F276" s="844"/>
    </row>
    <row r="277" spans="1:11" hidden="1" outlineLevel="1" x14ac:dyDescent="0.25">
      <c r="A277" s="844"/>
      <c r="B277" s="900" t="s">
        <v>21</v>
      </c>
      <c r="C277" s="901">
        <v>0.02</v>
      </c>
      <c r="D277" s="844">
        <v>1</v>
      </c>
      <c r="E277" s="899">
        <f>C277*D277</f>
        <v>0.02</v>
      </c>
      <c r="F277" s="844"/>
    </row>
    <row r="278" spans="1:11" hidden="1" outlineLevel="1" x14ac:dyDescent="0.25">
      <c r="A278" s="844"/>
      <c r="B278" s="900" t="s">
        <v>22</v>
      </c>
      <c r="C278" s="901">
        <v>0.06</v>
      </c>
      <c r="D278" s="902" t="s">
        <v>16</v>
      </c>
      <c r="E278" s="899">
        <f>C278*(1+0.3)</f>
        <v>7.8E-2</v>
      </c>
      <c r="F278" s="844"/>
    </row>
    <row r="279" spans="1:11" hidden="1" outlineLevel="1" x14ac:dyDescent="0.25">
      <c r="A279" s="844"/>
      <c r="B279" s="900" t="s">
        <v>23</v>
      </c>
      <c r="C279" s="901">
        <v>0.12</v>
      </c>
      <c r="D279" s="902" t="s">
        <v>16</v>
      </c>
      <c r="E279" s="899">
        <f>C279*(1+0.3)</f>
        <v>0.156</v>
      </c>
      <c r="F279" s="844"/>
    </row>
    <row r="280" spans="1:11" ht="25.5" hidden="1" outlineLevel="1" x14ac:dyDescent="0.25">
      <c r="A280" s="844"/>
      <c r="B280" s="900" t="s">
        <v>343</v>
      </c>
      <c r="C280" s="901"/>
      <c r="D280" s="902"/>
      <c r="E280" s="899"/>
      <c r="F280" s="844"/>
    </row>
    <row r="281" spans="1:11" hidden="1" outlineLevel="1" x14ac:dyDescent="0.25">
      <c r="A281" s="844"/>
      <c r="B281" s="903" t="s">
        <v>37</v>
      </c>
      <c r="C281" s="901">
        <v>0.16</v>
      </c>
      <c r="D281" s="902" t="s">
        <v>16</v>
      </c>
      <c r="E281" s="899">
        <f>C281*(1+0.3)</f>
        <v>0.20800000000000002</v>
      </c>
      <c r="F281" s="844"/>
    </row>
    <row r="282" spans="1:11" hidden="1" outlineLevel="1" x14ac:dyDescent="0.25">
      <c r="A282" s="844"/>
      <c r="B282" s="903" t="s">
        <v>38</v>
      </c>
      <c r="C282" s="901">
        <v>0.02</v>
      </c>
      <c r="D282" s="844">
        <v>1</v>
      </c>
      <c r="E282" s="899">
        <f>C282*D282</f>
        <v>0.02</v>
      </c>
      <c r="F282" s="844"/>
    </row>
    <row r="283" spans="1:11" hidden="1" outlineLevel="1" x14ac:dyDescent="0.25">
      <c r="A283" s="844"/>
      <c r="B283" s="903" t="s">
        <v>39</v>
      </c>
      <c r="C283" s="901">
        <v>0.02</v>
      </c>
      <c r="D283" s="844">
        <v>1</v>
      </c>
      <c r="E283" s="899">
        <f t="shared" ref="E283:E284" si="10">C283*D283</f>
        <v>0.02</v>
      </c>
      <c r="F283" s="844"/>
    </row>
    <row r="284" spans="1:11" hidden="1" outlineLevel="1" x14ac:dyDescent="0.25">
      <c r="A284" s="844"/>
      <c r="B284" s="903" t="s">
        <v>40</v>
      </c>
      <c r="C284" s="901">
        <v>0.1</v>
      </c>
      <c r="D284" s="844">
        <v>1</v>
      </c>
      <c r="E284" s="899">
        <f t="shared" si="10"/>
        <v>0.1</v>
      </c>
      <c r="F284" s="844"/>
    </row>
    <row r="285" spans="1:11" hidden="1" outlineLevel="1" x14ac:dyDescent="0.25">
      <c r="A285" s="844"/>
      <c r="B285" s="903" t="s">
        <v>41</v>
      </c>
      <c r="C285" s="901">
        <v>0.02</v>
      </c>
      <c r="D285" s="902" t="s">
        <v>16</v>
      </c>
      <c r="E285" s="899">
        <f>C285*(1+0.3)</f>
        <v>2.6000000000000002E-2</v>
      </c>
      <c r="F285" s="844"/>
    </row>
    <row r="286" spans="1:11" hidden="1" outlineLevel="1" x14ac:dyDescent="0.25">
      <c r="A286" s="844"/>
      <c r="B286" s="903" t="s">
        <v>42</v>
      </c>
      <c r="C286" s="901">
        <v>0.01</v>
      </c>
      <c r="D286" s="844">
        <v>1</v>
      </c>
      <c r="E286" s="899">
        <f t="shared" ref="E286:E290" si="11">C286*D286</f>
        <v>0.01</v>
      </c>
      <c r="F286" s="844"/>
    </row>
    <row r="287" spans="1:11" hidden="1" outlineLevel="1" x14ac:dyDescent="0.25">
      <c r="A287" s="844"/>
      <c r="B287" s="903" t="s">
        <v>43</v>
      </c>
      <c r="C287" s="901">
        <v>0.18</v>
      </c>
      <c r="D287" s="844">
        <v>1</v>
      </c>
      <c r="E287" s="899">
        <f t="shared" si="11"/>
        <v>0.18</v>
      </c>
      <c r="F287" s="844"/>
    </row>
    <row r="288" spans="1:11" hidden="1" outlineLevel="1" x14ac:dyDescent="0.25">
      <c r="A288" s="844"/>
      <c r="B288" s="900" t="s">
        <v>30</v>
      </c>
      <c r="C288" s="901">
        <v>0.03</v>
      </c>
      <c r="D288" s="844">
        <v>1</v>
      </c>
      <c r="E288" s="899">
        <f t="shared" si="11"/>
        <v>0.03</v>
      </c>
      <c r="F288" s="844"/>
    </row>
    <row r="289" spans="1:18" hidden="1" outlineLevel="1" x14ac:dyDescent="0.25">
      <c r="A289" s="844"/>
      <c r="B289" s="900" t="s">
        <v>44</v>
      </c>
      <c r="C289" s="901">
        <v>0.09</v>
      </c>
      <c r="D289" s="844">
        <v>1</v>
      </c>
      <c r="E289" s="899">
        <f t="shared" si="11"/>
        <v>0.09</v>
      </c>
      <c r="F289" s="844"/>
    </row>
    <row r="290" spans="1:18" hidden="1" outlineLevel="1" x14ac:dyDescent="0.25">
      <c r="A290" s="844"/>
      <c r="B290" s="900" t="s">
        <v>32</v>
      </c>
      <c r="C290" s="901">
        <v>0.06</v>
      </c>
      <c r="D290" s="844">
        <v>1</v>
      </c>
      <c r="E290" s="899">
        <f t="shared" si="11"/>
        <v>0.06</v>
      </c>
      <c r="F290" s="844"/>
    </row>
    <row r="291" spans="1:18" hidden="1" outlineLevel="1" x14ac:dyDescent="0.25">
      <c r="A291" s="844"/>
      <c r="B291" s="900" t="s">
        <v>45</v>
      </c>
      <c r="C291" s="901">
        <v>0.01</v>
      </c>
      <c r="D291" s="844">
        <v>1</v>
      </c>
      <c r="E291" s="899">
        <f>C291*D291</f>
        <v>0.01</v>
      </c>
      <c r="F291" s="844"/>
    </row>
    <row r="292" spans="1:18" hidden="1" outlineLevel="1" x14ac:dyDescent="0.25">
      <c r="A292" s="844"/>
      <c r="B292" s="900" t="s">
        <v>34</v>
      </c>
      <c r="C292" s="901">
        <v>0.08</v>
      </c>
      <c r="D292" s="902"/>
      <c r="E292" s="904">
        <f>SUM(E276:E291)*C292</f>
        <v>8.2240000000000008E-2</v>
      </c>
      <c r="F292" s="904"/>
      <c r="G292" s="14"/>
      <c r="H292" s="14"/>
    </row>
    <row r="293" spans="1:18" s="19" customFormat="1" ht="15.75" collapsed="1" x14ac:dyDescent="0.25">
      <c r="A293" s="847"/>
      <c r="B293" s="847" t="s">
        <v>48</v>
      </c>
      <c r="C293" s="847"/>
      <c r="D293" s="847"/>
      <c r="E293" s="847"/>
      <c r="F293" s="847"/>
    </row>
    <row r="294" spans="1:18" s="19" customFormat="1" ht="15.75" x14ac:dyDescent="0.25">
      <c r="A294" s="847"/>
      <c r="B294" s="847" t="s">
        <v>49</v>
      </c>
      <c r="C294" s="847">
        <v>5.32</v>
      </c>
      <c r="D294" s="905"/>
      <c r="E294" s="847"/>
      <c r="F294" s="847"/>
    </row>
    <row r="295" spans="1:18" s="11" customFormat="1" x14ac:dyDescent="0.25">
      <c r="A295" s="847"/>
      <c r="B295" s="845" t="s">
        <v>854</v>
      </c>
      <c r="C295" s="847"/>
      <c r="D295" s="847">
        <v>0</v>
      </c>
      <c r="E295" s="847" t="s">
        <v>855</v>
      </c>
      <c r="F295" s="847"/>
      <c r="I295" s="13"/>
    </row>
    <row r="296" spans="1:18" s="2" customFormat="1" ht="76.5" x14ac:dyDescent="0.25">
      <c r="A296" s="854"/>
      <c r="B296" s="394" t="s">
        <v>856</v>
      </c>
      <c r="C296" s="394" t="s">
        <v>857</v>
      </c>
      <c r="D296" s="394" t="s">
        <v>858</v>
      </c>
      <c r="E296" s="854"/>
      <c r="F296" s="855">
        <f>2.4*D295*D297*D298*C318*1000</f>
        <v>0</v>
      </c>
      <c r="I296"/>
      <c r="J296"/>
      <c r="K296"/>
      <c r="Q296" s="17"/>
      <c r="R296" s="17"/>
    </row>
    <row r="297" spans="1:18" s="3" customFormat="1" x14ac:dyDescent="0.25">
      <c r="A297" s="866"/>
      <c r="B297" s="865" t="s">
        <v>4</v>
      </c>
      <c r="C297" s="865" t="s">
        <v>852</v>
      </c>
      <c r="D297" s="866">
        <v>0.5</v>
      </c>
      <c r="E297" s="866"/>
      <c r="F297" s="866"/>
      <c r="I297"/>
      <c r="J297"/>
      <c r="K297"/>
    </row>
    <row r="298" spans="1:18" ht="77.25" x14ac:dyDescent="0.25">
      <c r="A298" s="844"/>
      <c r="B298" s="895" t="s">
        <v>15</v>
      </c>
      <c r="C298" s="394" t="s">
        <v>843</v>
      </c>
      <c r="D298" s="854">
        <f>E299/1</f>
        <v>1.1102400000000001</v>
      </c>
      <c r="E298" s="844"/>
      <c r="F298" s="844"/>
    </row>
    <row r="299" spans="1:18" x14ac:dyDescent="0.25">
      <c r="A299" s="844"/>
      <c r="B299" s="896" t="s">
        <v>6</v>
      </c>
      <c r="C299" s="897">
        <f>SUM(C300:C316)</f>
        <v>0.99999999999999989</v>
      </c>
      <c r="D299" s="857"/>
      <c r="E299" s="898">
        <f>SUM(E300:E316)</f>
        <v>1.1102400000000001</v>
      </c>
      <c r="F299" s="899"/>
      <c r="G299" s="4"/>
      <c r="H299" s="4"/>
    </row>
    <row r="300" spans="1:18" hidden="1" outlineLevel="1" x14ac:dyDescent="0.25">
      <c r="A300" s="844"/>
      <c r="B300" s="900" t="s">
        <v>20</v>
      </c>
      <c r="C300" s="901">
        <v>0.02</v>
      </c>
      <c r="D300" s="844">
        <v>1</v>
      </c>
      <c r="E300" s="899">
        <f>C300*D300</f>
        <v>0.02</v>
      </c>
      <c r="F300" s="844"/>
    </row>
    <row r="301" spans="1:18" hidden="1" outlineLevel="1" x14ac:dyDescent="0.25">
      <c r="A301" s="844"/>
      <c r="B301" s="900" t="s">
        <v>21</v>
      </c>
      <c r="C301" s="901">
        <v>0.02</v>
      </c>
      <c r="D301" s="844">
        <v>1</v>
      </c>
      <c r="E301" s="899">
        <f>C301*D301</f>
        <v>0.02</v>
      </c>
      <c r="F301" s="844"/>
    </row>
    <row r="302" spans="1:18" hidden="1" outlineLevel="1" x14ac:dyDescent="0.25">
      <c r="A302" s="844"/>
      <c r="B302" s="900" t="s">
        <v>22</v>
      </c>
      <c r="C302" s="901">
        <v>0.06</v>
      </c>
      <c r="D302" s="902" t="s">
        <v>16</v>
      </c>
      <c r="E302" s="899">
        <f>C302*(1+0.3)</f>
        <v>7.8E-2</v>
      </c>
      <c r="F302" s="844"/>
    </row>
    <row r="303" spans="1:18" hidden="1" outlineLevel="1" x14ac:dyDescent="0.25">
      <c r="A303" s="844"/>
      <c r="B303" s="900" t="s">
        <v>23</v>
      </c>
      <c r="C303" s="901">
        <v>0.12</v>
      </c>
      <c r="D303" s="902" t="s">
        <v>16</v>
      </c>
      <c r="E303" s="899">
        <f>C303*(1+0.3)</f>
        <v>0.156</v>
      </c>
      <c r="F303" s="844"/>
    </row>
    <row r="304" spans="1:18" ht="25.5" hidden="1" outlineLevel="1" x14ac:dyDescent="0.25">
      <c r="A304" s="844"/>
      <c r="B304" s="900" t="s">
        <v>343</v>
      </c>
      <c r="C304" s="901"/>
      <c r="D304" s="902"/>
      <c r="E304" s="899"/>
      <c r="F304" s="844"/>
    </row>
    <row r="305" spans="1:18" hidden="1" outlineLevel="1" x14ac:dyDescent="0.25">
      <c r="A305" s="844"/>
      <c r="B305" s="903" t="s">
        <v>37</v>
      </c>
      <c r="C305" s="901">
        <v>0.16</v>
      </c>
      <c r="D305" s="902" t="s">
        <v>16</v>
      </c>
      <c r="E305" s="899">
        <f>C305*(1+0.3)</f>
        <v>0.20800000000000002</v>
      </c>
      <c r="F305" s="844"/>
    </row>
    <row r="306" spans="1:18" hidden="1" outlineLevel="1" x14ac:dyDescent="0.25">
      <c r="A306" s="844"/>
      <c r="B306" s="903" t="s">
        <v>38</v>
      </c>
      <c r="C306" s="901">
        <v>0.02</v>
      </c>
      <c r="D306" s="844">
        <v>1</v>
      </c>
      <c r="E306" s="899">
        <f>C306*D306</f>
        <v>0.02</v>
      </c>
      <c r="F306" s="844"/>
    </row>
    <row r="307" spans="1:18" hidden="1" outlineLevel="1" x14ac:dyDescent="0.25">
      <c r="A307" s="844"/>
      <c r="B307" s="903" t="s">
        <v>39</v>
      </c>
      <c r="C307" s="901">
        <v>0.02</v>
      </c>
      <c r="D307" s="844">
        <v>1</v>
      </c>
      <c r="E307" s="899">
        <f t="shared" ref="E307:E308" si="12">C307*D307</f>
        <v>0.02</v>
      </c>
      <c r="F307" s="844"/>
    </row>
    <row r="308" spans="1:18" hidden="1" outlineLevel="1" x14ac:dyDescent="0.25">
      <c r="A308" s="844"/>
      <c r="B308" s="903" t="s">
        <v>40</v>
      </c>
      <c r="C308" s="901">
        <v>0.1</v>
      </c>
      <c r="D308" s="844">
        <v>1</v>
      </c>
      <c r="E308" s="899">
        <f t="shared" si="12"/>
        <v>0.1</v>
      </c>
      <c r="F308" s="844"/>
    </row>
    <row r="309" spans="1:18" hidden="1" outlineLevel="1" x14ac:dyDescent="0.25">
      <c r="A309" s="844"/>
      <c r="B309" s="903" t="s">
        <v>41</v>
      </c>
      <c r="C309" s="901">
        <v>0.02</v>
      </c>
      <c r="D309" s="902" t="s">
        <v>16</v>
      </c>
      <c r="E309" s="899">
        <f>C309*(1+0.3)</f>
        <v>2.6000000000000002E-2</v>
      </c>
      <c r="F309" s="844"/>
    </row>
    <row r="310" spans="1:18" hidden="1" outlineLevel="1" x14ac:dyDescent="0.25">
      <c r="A310" s="844"/>
      <c r="B310" s="903" t="s">
        <v>42</v>
      </c>
      <c r="C310" s="901">
        <v>0.01</v>
      </c>
      <c r="D310" s="844">
        <v>1</v>
      </c>
      <c r="E310" s="899">
        <f t="shared" ref="E310:E314" si="13">C310*D310</f>
        <v>0.01</v>
      </c>
      <c r="F310" s="844"/>
    </row>
    <row r="311" spans="1:18" hidden="1" outlineLevel="1" x14ac:dyDescent="0.25">
      <c r="A311" s="844"/>
      <c r="B311" s="903" t="s">
        <v>43</v>
      </c>
      <c r="C311" s="901">
        <v>0.18</v>
      </c>
      <c r="D311" s="844">
        <v>1</v>
      </c>
      <c r="E311" s="899">
        <f t="shared" si="13"/>
        <v>0.18</v>
      </c>
      <c r="F311" s="844"/>
    </row>
    <row r="312" spans="1:18" hidden="1" outlineLevel="1" x14ac:dyDescent="0.25">
      <c r="A312" s="844"/>
      <c r="B312" s="900" t="s">
        <v>30</v>
      </c>
      <c r="C312" s="901">
        <v>0.03</v>
      </c>
      <c r="D312" s="844">
        <v>1</v>
      </c>
      <c r="E312" s="899">
        <f t="shared" si="13"/>
        <v>0.03</v>
      </c>
      <c r="F312" s="844"/>
    </row>
    <row r="313" spans="1:18" hidden="1" outlineLevel="1" x14ac:dyDescent="0.25">
      <c r="A313" s="844"/>
      <c r="B313" s="900" t="s">
        <v>44</v>
      </c>
      <c r="C313" s="901">
        <v>0.09</v>
      </c>
      <c r="D313" s="844">
        <v>1</v>
      </c>
      <c r="E313" s="899">
        <f t="shared" si="13"/>
        <v>0.09</v>
      </c>
      <c r="F313" s="844"/>
    </row>
    <row r="314" spans="1:18" hidden="1" outlineLevel="1" x14ac:dyDescent="0.25">
      <c r="A314" s="844"/>
      <c r="B314" s="900" t="s">
        <v>32</v>
      </c>
      <c r="C314" s="901">
        <v>0.06</v>
      </c>
      <c r="D314" s="844">
        <v>1</v>
      </c>
      <c r="E314" s="899">
        <f t="shared" si="13"/>
        <v>0.06</v>
      </c>
      <c r="F314" s="844"/>
    </row>
    <row r="315" spans="1:18" hidden="1" outlineLevel="1" x14ac:dyDescent="0.25">
      <c r="A315" s="844"/>
      <c r="B315" s="900" t="s">
        <v>45</v>
      </c>
      <c r="C315" s="901">
        <v>0.01</v>
      </c>
      <c r="D315" s="844">
        <v>1</v>
      </c>
      <c r="E315" s="899">
        <f>C315*D315</f>
        <v>0.01</v>
      </c>
      <c r="F315" s="844"/>
    </row>
    <row r="316" spans="1:18" hidden="1" outlineLevel="1" x14ac:dyDescent="0.25">
      <c r="A316" s="844"/>
      <c r="B316" s="900" t="s">
        <v>34</v>
      </c>
      <c r="C316" s="901">
        <v>0.08</v>
      </c>
      <c r="D316" s="902"/>
      <c r="E316" s="904">
        <f>SUM(E300:E315)*C316</f>
        <v>8.2240000000000008E-2</v>
      </c>
      <c r="F316" s="904"/>
      <c r="G316" s="14"/>
      <c r="H316" s="14"/>
    </row>
    <row r="317" spans="1:18" s="19" customFormat="1" ht="15.75" collapsed="1" x14ac:dyDescent="0.25">
      <c r="A317" s="847"/>
      <c r="B317" s="847" t="s">
        <v>48</v>
      </c>
      <c r="C317" s="847"/>
      <c r="D317" s="847"/>
      <c r="E317" s="847"/>
      <c r="F317" s="847"/>
    </row>
    <row r="318" spans="1:18" s="19" customFormat="1" ht="15.75" x14ac:dyDescent="0.25">
      <c r="A318" s="847"/>
      <c r="B318" s="847" t="s">
        <v>49</v>
      </c>
      <c r="C318" s="847">
        <v>5.32</v>
      </c>
      <c r="D318" s="905"/>
      <c r="E318" s="847"/>
      <c r="F318" s="847"/>
    </row>
    <row r="319" spans="1:18" s="11" customFormat="1" x14ac:dyDescent="0.25">
      <c r="A319" s="847"/>
      <c r="B319" s="845" t="s">
        <v>698</v>
      </c>
      <c r="C319" s="847"/>
      <c r="D319" s="847">
        <v>1</v>
      </c>
      <c r="E319" s="847" t="s">
        <v>866</v>
      </c>
      <c r="F319" s="847"/>
      <c r="I319" s="13"/>
    </row>
    <row r="320" spans="1:18" s="2" customFormat="1" ht="38.25" x14ac:dyDescent="0.25">
      <c r="A320" s="854"/>
      <c r="B320" s="394" t="s">
        <v>860</v>
      </c>
      <c r="C320" s="394" t="s">
        <v>861</v>
      </c>
      <c r="D320" s="394" t="s">
        <v>865</v>
      </c>
      <c r="E320" s="854"/>
      <c r="F320" s="855">
        <f>39.55*D319*D322*D321*D323*C343*1000</f>
        <v>23360.115744000006</v>
      </c>
      <c r="I320"/>
      <c r="J320"/>
      <c r="K320"/>
      <c r="Q320" s="17"/>
      <c r="R320" s="17"/>
    </row>
    <row r="321" spans="1:11" s="3" customFormat="1" x14ac:dyDescent="0.25">
      <c r="A321" s="866"/>
      <c r="B321" s="865" t="s">
        <v>4</v>
      </c>
      <c r="C321" s="865" t="s">
        <v>852</v>
      </c>
      <c r="D321" s="866">
        <v>0.5</v>
      </c>
      <c r="E321" s="866"/>
      <c r="F321" s="866"/>
      <c r="I321"/>
      <c r="J321"/>
      <c r="K321"/>
    </row>
    <row r="322" spans="1:11" s="3" customFormat="1" x14ac:dyDescent="0.25">
      <c r="A322" s="866"/>
      <c r="B322" s="865" t="s">
        <v>863</v>
      </c>
      <c r="C322" s="865" t="s">
        <v>864</v>
      </c>
      <c r="D322" s="866">
        <v>0.2</v>
      </c>
      <c r="E322" s="866"/>
      <c r="F322" s="866"/>
      <c r="I322"/>
      <c r="J322"/>
      <c r="K322"/>
    </row>
    <row r="323" spans="1:11" ht="77.25" x14ac:dyDescent="0.25">
      <c r="A323" s="844"/>
      <c r="B323" s="895" t="s">
        <v>15</v>
      </c>
      <c r="C323" s="394" t="s">
        <v>843</v>
      </c>
      <c r="D323" s="854">
        <f>E324/1</f>
        <v>1.1102400000000001</v>
      </c>
      <c r="E323" s="844"/>
      <c r="F323" s="844"/>
    </row>
    <row r="324" spans="1:11" x14ac:dyDescent="0.25">
      <c r="A324" s="844"/>
      <c r="B324" s="896" t="s">
        <v>6</v>
      </c>
      <c r="C324" s="897">
        <f>SUM(C325:C341)</f>
        <v>0.99999999999999989</v>
      </c>
      <c r="D324" s="857"/>
      <c r="E324" s="898">
        <f>SUM(E325:E341)</f>
        <v>1.1102400000000001</v>
      </c>
      <c r="F324" s="899"/>
      <c r="G324" s="4"/>
      <c r="H324" s="4"/>
    </row>
    <row r="325" spans="1:11" hidden="1" outlineLevel="1" x14ac:dyDescent="0.25">
      <c r="A325" s="844"/>
      <c r="B325" s="900" t="s">
        <v>20</v>
      </c>
      <c r="C325" s="901">
        <v>0.02</v>
      </c>
      <c r="D325" s="844">
        <v>1</v>
      </c>
      <c r="E325" s="899">
        <f>C325*D325</f>
        <v>0.02</v>
      </c>
      <c r="F325" s="844"/>
    </row>
    <row r="326" spans="1:11" hidden="1" outlineLevel="1" x14ac:dyDescent="0.25">
      <c r="A326" s="844"/>
      <c r="B326" s="900" t="s">
        <v>21</v>
      </c>
      <c r="C326" s="901">
        <v>0.02</v>
      </c>
      <c r="D326" s="844">
        <v>1</v>
      </c>
      <c r="E326" s="899">
        <f>C326*D326</f>
        <v>0.02</v>
      </c>
      <c r="F326" s="844"/>
    </row>
    <row r="327" spans="1:11" hidden="1" outlineLevel="1" x14ac:dyDescent="0.25">
      <c r="A327" s="844"/>
      <c r="B327" s="900" t="s">
        <v>22</v>
      </c>
      <c r="C327" s="901">
        <v>0.06</v>
      </c>
      <c r="D327" s="902" t="s">
        <v>16</v>
      </c>
      <c r="E327" s="899">
        <f>C327*(1+0.3)</f>
        <v>7.8E-2</v>
      </c>
      <c r="F327" s="844"/>
    </row>
    <row r="328" spans="1:11" hidden="1" outlineLevel="1" x14ac:dyDescent="0.25">
      <c r="A328" s="844"/>
      <c r="B328" s="900" t="s">
        <v>23</v>
      </c>
      <c r="C328" s="901">
        <v>0.12</v>
      </c>
      <c r="D328" s="902" t="s">
        <v>16</v>
      </c>
      <c r="E328" s="899">
        <f>C328*(1+0.3)</f>
        <v>0.156</v>
      </c>
      <c r="F328" s="844"/>
    </row>
    <row r="329" spans="1:11" ht="25.5" hidden="1" outlineLevel="1" x14ac:dyDescent="0.25">
      <c r="A329" s="844"/>
      <c r="B329" s="900" t="s">
        <v>343</v>
      </c>
      <c r="C329" s="901"/>
      <c r="D329" s="902"/>
      <c r="E329" s="899"/>
      <c r="F329" s="844"/>
    </row>
    <row r="330" spans="1:11" hidden="1" outlineLevel="1" x14ac:dyDescent="0.25">
      <c r="A330" s="844"/>
      <c r="B330" s="903" t="s">
        <v>37</v>
      </c>
      <c r="C330" s="901">
        <v>0.16</v>
      </c>
      <c r="D330" s="902" t="s">
        <v>16</v>
      </c>
      <c r="E330" s="899">
        <f>C330*(1+0.3)</f>
        <v>0.20800000000000002</v>
      </c>
      <c r="F330" s="844"/>
    </row>
    <row r="331" spans="1:11" hidden="1" outlineLevel="1" x14ac:dyDescent="0.25">
      <c r="A331" s="844"/>
      <c r="B331" s="903" t="s">
        <v>38</v>
      </c>
      <c r="C331" s="901">
        <v>0.02</v>
      </c>
      <c r="D331" s="844">
        <v>1</v>
      </c>
      <c r="E331" s="899">
        <f>C331*D331</f>
        <v>0.02</v>
      </c>
      <c r="F331" s="844"/>
    </row>
    <row r="332" spans="1:11" hidden="1" outlineLevel="1" x14ac:dyDescent="0.25">
      <c r="A332" s="844"/>
      <c r="B332" s="903" t="s">
        <v>39</v>
      </c>
      <c r="C332" s="901">
        <v>0.02</v>
      </c>
      <c r="D332" s="844">
        <v>1</v>
      </c>
      <c r="E332" s="899">
        <f t="shared" ref="E332:E333" si="14">C332*D332</f>
        <v>0.02</v>
      </c>
      <c r="F332" s="844"/>
    </row>
    <row r="333" spans="1:11" hidden="1" outlineLevel="1" x14ac:dyDescent="0.25">
      <c r="A333" s="844"/>
      <c r="B333" s="903" t="s">
        <v>40</v>
      </c>
      <c r="C333" s="901">
        <v>0.1</v>
      </c>
      <c r="D333" s="844">
        <v>1</v>
      </c>
      <c r="E333" s="899">
        <f t="shared" si="14"/>
        <v>0.1</v>
      </c>
      <c r="F333" s="844"/>
    </row>
    <row r="334" spans="1:11" hidden="1" outlineLevel="1" x14ac:dyDescent="0.25">
      <c r="A334" s="844"/>
      <c r="B334" s="903" t="s">
        <v>41</v>
      </c>
      <c r="C334" s="901">
        <v>0.02</v>
      </c>
      <c r="D334" s="902" t="s">
        <v>16</v>
      </c>
      <c r="E334" s="899">
        <f>C334*(1+0.3)</f>
        <v>2.6000000000000002E-2</v>
      </c>
      <c r="F334" s="844"/>
    </row>
    <row r="335" spans="1:11" hidden="1" outlineLevel="1" x14ac:dyDescent="0.25">
      <c r="A335" s="844"/>
      <c r="B335" s="903" t="s">
        <v>42</v>
      </c>
      <c r="C335" s="901">
        <v>0.01</v>
      </c>
      <c r="D335" s="844">
        <v>1</v>
      </c>
      <c r="E335" s="899">
        <f t="shared" ref="E335:E339" si="15">C335*D335</f>
        <v>0.01</v>
      </c>
      <c r="F335" s="844"/>
    </row>
    <row r="336" spans="1:11" hidden="1" outlineLevel="1" x14ac:dyDescent="0.25">
      <c r="A336" s="844"/>
      <c r="B336" s="903" t="s">
        <v>43</v>
      </c>
      <c r="C336" s="901">
        <v>0.18</v>
      </c>
      <c r="D336" s="844">
        <v>1</v>
      </c>
      <c r="E336" s="899">
        <f t="shared" si="15"/>
        <v>0.18</v>
      </c>
      <c r="F336" s="844"/>
    </row>
    <row r="337" spans="1:18" hidden="1" outlineLevel="1" x14ac:dyDescent="0.25">
      <c r="A337" s="844"/>
      <c r="B337" s="900" t="s">
        <v>30</v>
      </c>
      <c r="C337" s="901">
        <v>0.03</v>
      </c>
      <c r="D337" s="844">
        <v>1</v>
      </c>
      <c r="E337" s="899">
        <f t="shared" si="15"/>
        <v>0.03</v>
      </c>
      <c r="F337" s="844"/>
    </row>
    <row r="338" spans="1:18" hidden="1" outlineLevel="1" x14ac:dyDescent="0.25">
      <c r="A338" s="844"/>
      <c r="B338" s="900" t="s">
        <v>44</v>
      </c>
      <c r="C338" s="901">
        <v>0.09</v>
      </c>
      <c r="D338" s="844">
        <v>1</v>
      </c>
      <c r="E338" s="899">
        <f t="shared" si="15"/>
        <v>0.09</v>
      </c>
      <c r="F338" s="844"/>
    </row>
    <row r="339" spans="1:18" hidden="1" outlineLevel="1" x14ac:dyDescent="0.25">
      <c r="A339" s="844"/>
      <c r="B339" s="900" t="s">
        <v>32</v>
      </c>
      <c r="C339" s="901">
        <v>0.06</v>
      </c>
      <c r="D339" s="844">
        <v>1</v>
      </c>
      <c r="E339" s="899">
        <f t="shared" si="15"/>
        <v>0.06</v>
      </c>
      <c r="F339" s="844"/>
    </row>
    <row r="340" spans="1:18" hidden="1" outlineLevel="1" x14ac:dyDescent="0.25">
      <c r="A340" s="844"/>
      <c r="B340" s="900" t="s">
        <v>45</v>
      </c>
      <c r="C340" s="901">
        <v>0.01</v>
      </c>
      <c r="D340" s="844">
        <v>1</v>
      </c>
      <c r="E340" s="899">
        <f>C340*D340</f>
        <v>0.01</v>
      </c>
      <c r="F340" s="844"/>
    </row>
    <row r="341" spans="1:18" hidden="1" outlineLevel="1" x14ac:dyDescent="0.25">
      <c r="A341" s="844"/>
      <c r="B341" s="900" t="s">
        <v>34</v>
      </c>
      <c r="C341" s="901">
        <v>0.08</v>
      </c>
      <c r="D341" s="902"/>
      <c r="E341" s="904">
        <f>SUM(E325:E340)*C341</f>
        <v>8.2240000000000008E-2</v>
      </c>
      <c r="F341" s="904"/>
      <c r="G341" s="14"/>
      <c r="H341" s="14"/>
    </row>
    <row r="342" spans="1:18" s="19" customFormat="1" ht="15.75" collapsed="1" x14ac:dyDescent="0.25">
      <c r="A342" s="847"/>
      <c r="B342" s="847" t="s">
        <v>48</v>
      </c>
      <c r="C342" s="847"/>
      <c r="D342" s="847"/>
      <c r="E342" s="847"/>
      <c r="F342" s="847"/>
    </row>
    <row r="343" spans="1:18" s="19" customFormat="1" ht="15.75" x14ac:dyDescent="0.25">
      <c r="A343" s="847"/>
      <c r="B343" s="847" t="s">
        <v>49</v>
      </c>
      <c r="C343" s="847">
        <v>5.32</v>
      </c>
      <c r="D343" s="905"/>
      <c r="E343" s="847"/>
      <c r="F343" s="847"/>
    </row>
    <row r="344" spans="1:18" s="11" customFormat="1" x14ac:dyDescent="0.25">
      <c r="A344" s="847"/>
      <c r="B344" s="845" t="s">
        <v>695</v>
      </c>
      <c r="C344" s="847"/>
      <c r="D344" s="847">
        <f>D18</f>
        <v>20</v>
      </c>
      <c r="E344" s="847" t="s">
        <v>893</v>
      </c>
      <c r="F344" s="847"/>
      <c r="I344" s="13"/>
    </row>
    <row r="345" spans="1:18" s="2" customFormat="1" ht="51" x14ac:dyDescent="0.25">
      <c r="A345" s="854"/>
      <c r="B345" s="394" t="s">
        <v>841</v>
      </c>
      <c r="C345" s="394" t="s">
        <v>842</v>
      </c>
      <c r="D345" s="394" t="s">
        <v>911</v>
      </c>
      <c r="E345" s="854"/>
      <c r="F345" s="855">
        <f>(25.98+4.623*20)*1*D346*D347*C367*1000</f>
        <v>293816.50712064002</v>
      </c>
      <c r="I345"/>
      <c r="J345"/>
      <c r="K345"/>
      <c r="Q345" s="17"/>
      <c r="R345" s="17"/>
    </row>
    <row r="346" spans="1:18" s="3" customFormat="1" x14ac:dyDescent="0.25">
      <c r="A346" s="866"/>
      <c r="B346" s="865" t="s">
        <v>4</v>
      </c>
      <c r="C346" s="865" t="s">
        <v>844</v>
      </c>
      <c r="D346" s="866">
        <v>0.42</v>
      </c>
      <c r="E346" s="866"/>
      <c r="F346" s="866"/>
      <c r="I346"/>
      <c r="J346"/>
      <c r="K346"/>
    </row>
    <row r="347" spans="1:18" ht="77.25" x14ac:dyDescent="0.25">
      <c r="A347" s="844"/>
      <c r="B347" s="895" t="s">
        <v>15</v>
      </c>
      <c r="C347" s="394" t="s">
        <v>843</v>
      </c>
      <c r="D347" s="854">
        <f>E348/1</f>
        <v>1.1102400000000001</v>
      </c>
      <c r="E347" s="844"/>
      <c r="F347" s="844"/>
    </row>
    <row r="348" spans="1:18" x14ac:dyDescent="0.25">
      <c r="A348" s="844"/>
      <c r="B348" s="896" t="s">
        <v>6</v>
      </c>
      <c r="C348" s="897">
        <f>SUM(C349:C365)</f>
        <v>0.99999999999999989</v>
      </c>
      <c r="D348" s="857"/>
      <c r="E348" s="898">
        <f>SUM(E349:E365)</f>
        <v>1.1102400000000001</v>
      </c>
      <c r="F348" s="899"/>
      <c r="G348" s="4"/>
      <c r="H348" s="4"/>
    </row>
    <row r="349" spans="1:18" hidden="1" outlineLevel="1" x14ac:dyDescent="0.25">
      <c r="A349" s="844"/>
      <c r="B349" s="900" t="s">
        <v>20</v>
      </c>
      <c r="C349" s="901">
        <v>0.02</v>
      </c>
      <c r="D349" s="844">
        <v>1</v>
      </c>
      <c r="E349" s="899">
        <f>C349*D349</f>
        <v>0.02</v>
      </c>
      <c r="F349" s="844"/>
    </row>
    <row r="350" spans="1:18" hidden="1" outlineLevel="1" x14ac:dyDescent="0.25">
      <c r="A350" s="844"/>
      <c r="B350" s="900" t="s">
        <v>21</v>
      </c>
      <c r="C350" s="901">
        <v>0.02</v>
      </c>
      <c r="D350" s="844">
        <v>1</v>
      </c>
      <c r="E350" s="899">
        <f>C350*D350</f>
        <v>0.02</v>
      </c>
      <c r="F350" s="844"/>
    </row>
    <row r="351" spans="1:18" hidden="1" outlineLevel="1" x14ac:dyDescent="0.25">
      <c r="A351" s="844"/>
      <c r="B351" s="900" t="s">
        <v>22</v>
      </c>
      <c r="C351" s="901">
        <v>0.06</v>
      </c>
      <c r="D351" s="902" t="s">
        <v>16</v>
      </c>
      <c r="E351" s="899">
        <f>C351*(1+0.3)</f>
        <v>7.8E-2</v>
      </c>
      <c r="F351" s="844"/>
    </row>
    <row r="352" spans="1:18" hidden="1" outlineLevel="1" x14ac:dyDescent="0.25">
      <c r="A352" s="844"/>
      <c r="B352" s="900" t="s">
        <v>23</v>
      </c>
      <c r="C352" s="901">
        <v>0.12</v>
      </c>
      <c r="D352" s="902" t="s">
        <v>16</v>
      </c>
      <c r="E352" s="899">
        <f>C352*(1+0.3)</f>
        <v>0.156</v>
      </c>
      <c r="F352" s="844"/>
    </row>
    <row r="353" spans="1:9" ht="25.5" hidden="1" outlineLevel="1" x14ac:dyDescent="0.25">
      <c r="A353" s="844"/>
      <c r="B353" s="900" t="s">
        <v>343</v>
      </c>
      <c r="C353" s="901"/>
      <c r="D353" s="902"/>
      <c r="E353" s="899"/>
      <c r="F353" s="844"/>
    </row>
    <row r="354" spans="1:9" hidden="1" outlineLevel="1" x14ac:dyDescent="0.25">
      <c r="A354" s="844"/>
      <c r="B354" s="903" t="s">
        <v>37</v>
      </c>
      <c r="C354" s="901">
        <v>0.16</v>
      </c>
      <c r="D354" s="902" t="s">
        <v>16</v>
      </c>
      <c r="E354" s="899">
        <f>C354*(1+0.3)</f>
        <v>0.20800000000000002</v>
      </c>
      <c r="F354" s="844"/>
    </row>
    <row r="355" spans="1:9" hidden="1" outlineLevel="1" x14ac:dyDescent="0.25">
      <c r="A355" s="844"/>
      <c r="B355" s="903" t="s">
        <v>38</v>
      </c>
      <c r="C355" s="901">
        <v>0.02</v>
      </c>
      <c r="D355" s="844">
        <v>1</v>
      </c>
      <c r="E355" s="899">
        <f>C355*D355</f>
        <v>0.02</v>
      </c>
      <c r="F355" s="844"/>
    </row>
    <row r="356" spans="1:9" hidden="1" outlineLevel="1" x14ac:dyDescent="0.25">
      <c r="A356" s="844"/>
      <c r="B356" s="903" t="s">
        <v>39</v>
      </c>
      <c r="C356" s="901">
        <v>0.02</v>
      </c>
      <c r="D356" s="844">
        <v>1</v>
      </c>
      <c r="E356" s="899">
        <f t="shared" ref="E356:E357" si="16">C356*D356</f>
        <v>0.02</v>
      </c>
      <c r="F356" s="844"/>
    </row>
    <row r="357" spans="1:9" hidden="1" outlineLevel="1" x14ac:dyDescent="0.25">
      <c r="A357" s="844"/>
      <c r="B357" s="903" t="s">
        <v>40</v>
      </c>
      <c r="C357" s="901">
        <v>0.1</v>
      </c>
      <c r="D357" s="844">
        <v>1</v>
      </c>
      <c r="E357" s="899">
        <f t="shared" si="16"/>
        <v>0.1</v>
      </c>
      <c r="F357" s="844"/>
    </row>
    <row r="358" spans="1:9" hidden="1" outlineLevel="1" x14ac:dyDescent="0.25">
      <c r="A358" s="844"/>
      <c r="B358" s="903" t="s">
        <v>41</v>
      </c>
      <c r="C358" s="901">
        <v>0.02</v>
      </c>
      <c r="D358" s="902" t="s">
        <v>16</v>
      </c>
      <c r="E358" s="899">
        <f>C358*(1+0.3)</f>
        <v>2.6000000000000002E-2</v>
      </c>
      <c r="F358" s="844"/>
    </row>
    <row r="359" spans="1:9" hidden="1" outlineLevel="1" x14ac:dyDescent="0.25">
      <c r="A359" s="844"/>
      <c r="B359" s="903" t="s">
        <v>42</v>
      </c>
      <c r="C359" s="901">
        <v>0.01</v>
      </c>
      <c r="D359" s="844">
        <v>1</v>
      </c>
      <c r="E359" s="899">
        <f t="shared" ref="E359:E363" si="17">C359*D359</f>
        <v>0.01</v>
      </c>
      <c r="F359" s="844"/>
    </row>
    <row r="360" spans="1:9" hidden="1" outlineLevel="1" x14ac:dyDescent="0.25">
      <c r="A360" s="844"/>
      <c r="B360" s="903" t="s">
        <v>43</v>
      </c>
      <c r="C360" s="901">
        <v>0.18</v>
      </c>
      <c r="D360" s="844">
        <v>1</v>
      </c>
      <c r="E360" s="899">
        <f t="shared" si="17"/>
        <v>0.18</v>
      </c>
      <c r="F360" s="844"/>
    </row>
    <row r="361" spans="1:9" hidden="1" outlineLevel="1" x14ac:dyDescent="0.25">
      <c r="A361" s="844"/>
      <c r="B361" s="900" t="s">
        <v>30</v>
      </c>
      <c r="C361" s="901">
        <v>0.03</v>
      </c>
      <c r="D361" s="844">
        <v>1</v>
      </c>
      <c r="E361" s="899">
        <f t="shared" si="17"/>
        <v>0.03</v>
      </c>
      <c r="F361" s="844"/>
    </row>
    <row r="362" spans="1:9" hidden="1" outlineLevel="1" x14ac:dyDescent="0.25">
      <c r="A362" s="844"/>
      <c r="B362" s="900" t="s">
        <v>44</v>
      </c>
      <c r="C362" s="901">
        <v>0.09</v>
      </c>
      <c r="D362" s="844">
        <v>1</v>
      </c>
      <c r="E362" s="899">
        <f t="shared" si="17"/>
        <v>0.09</v>
      </c>
      <c r="F362" s="844"/>
    </row>
    <row r="363" spans="1:9" hidden="1" outlineLevel="1" x14ac:dyDescent="0.25">
      <c r="A363" s="844"/>
      <c r="B363" s="900" t="s">
        <v>32</v>
      </c>
      <c r="C363" s="901">
        <v>0.06</v>
      </c>
      <c r="D363" s="844">
        <v>1</v>
      </c>
      <c r="E363" s="899">
        <f t="shared" si="17"/>
        <v>0.06</v>
      </c>
      <c r="F363" s="844"/>
    </row>
    <row r="364" spans="1:9" hidden="1" outlineLevel="1" x14ac:dyDescent="0.25">
      <c r="A364" s="844"/>
      <c r="B364" s="900" t="s">
        <v>45</v>
      </c>
      <c r="C364" s="901">
        <v>0.01</v>
      </c>
      <c r="D364" s="844">
        <v>1</v>
      </c>
      <c r="E364" s="899">
        <f>C364*D364</f>
        <v>0.01</v>
      </c>
      <c r="F364" s="844"/>
    </row>
    <row r="365" spans="1:9" hidden="1" outlineLevel="1" x14ac:dyDescent="0.25">
      <c r="A365" s="844"/>
      <c r="B365" s="900" t="s">
        <v>34</v>
      </c>
      <c r="C365" s="901">
        <v>0.08</v>
      </c>
      <c r="D365" s="902"/>
      <c r="E365" s="904">
        <f>SUM(E349:E364)*C365</f>
        <v>8.2240000000000008E-2</v>
      </c>
      <c r="F365" s="904"/>
      <c r="G365" s="14"/>
      <c r="H365" s="14"/>
    </row>
    <row r="366" spans="1:9" s="19" customFormat="1" ht="15.75" collapsed="1" x14ac:dyDescent="0.25">
      <c r="A366" s="847"/>
      <c r="B366" s="847" t="s">
        <v>48</v>
      </c>
      <c r="C366" s="847"/>
      <c r="D366" s="847"/>
      <c r="E366" s="847"/>
      <c r="F366" s="847"/>
    </row>
    <row r="367" spans="1:9" s="19" customFormat="1" ht="15.75" x14ac:dyDescent="0.25">
      <c r="A367" s="847"/>
      <c r="B367" s="847" t="s">
        <v>49</v>
      </c>
      <c r="C367" s="847">
        <v>5.32</v>
      </c>
      <c r="D367" s="905"/>
      <c r="E367" s="847"/>
      <c r="F367" s="847"/>
    </row>
    <row r="368" spans="1:9" s="11" customFormat="1" x14ac:dyDescent="0.25">
      <c r="A368" s="847"/>
      <c r="B368" s="845" t="s">
        <v>700</v>
      </c>
      <c r="C368" s="847"/>
      <c r="D368" s="847">
        <f>D20</f>
        <v>8</v>
      </c>
      <c r="E368" s="847" t="s">
        <v>895</v>
      </c>
      <c r="F368" s="847"/>
      <c r="I368" s="13"/>
    </row>
    <row r="369" spans="1:18" s="2" customFormat="1" ht="63.75" x14ac:dyDescent="0.25">
      <c r="A369" s="854"/>
      <c r="B369" s="394" t="s">
        <v>897</v>
      </c>
      <c r="C369" s="394" t="s">
        <v>898</v>
      </c>
      <c r="D369" s="394" t="s">
        <v>899</v>
      </c>
      <c r="E369" s="854"/>
      <c r="F369" s="855">
        <f>(1.39+0.102*(0.4*10+0.6*8))*1*D370*D371*C391*1000</f>
        <v>6485.5950372864008</v>
      </c>
      <c r="I369"/>
      <c r="J369"/>
      <c r="K369"/>
      <c r="Q369" s="17"/>
      <c r="R369" s="17"/>
    </row>
    <row r="370" spans="1:18" s="3" customFormat="1" x14ac:dyDescent="0.25">
      <c r="A370" s="866"/>
      <c r="B370" s="865" t="s">
        <v>4</v>
      </c>
      <c r="C370" s="865" t="s">
        <v>346</v>
      </c>
      <c r="D370" s="866">
        <v>0.48</v>
      </c>
      <c r="E370" s="866"/>
      <c r="F370" s="866"/>
      <c r="I370"/>
      <c r="J370"/>
      <c r="K370"/>
    </row>
    <row r="371" spans="1:18" ht="77.25" x14ac:dyDescent="0.25">
      <c r="A371" s="844"/>
      <c r="B371" s="895" t="s">
        <v>15</v>
      </c>
      <c r="C371" s="394" t="s">
        <v>843</v>
      </c>
      <c r="D371" s="854">
        <f>E372/1</f>
        <v>1.1102400000000001</v>
      </c>
      <c r="E371" s="844"/>
      <c r="F371" s="844"/>
    </row>
    <row r="372" spans="1:18" x14ac:dyDescent="0.25">
      <c r="A372" s="844"/>
      <c r="B372" s="896" t="s">
        <v>6</v>
      </c>
      <c r="C372" s="897">
        <f>SUM(C373:C389)</f>
        <v>0.99999999999999989</v>
      </c>
      <c r="D372" s="857"/>
      <c r="E372" s="898">
        <f>SUM(E373:E389)</f>
        <v>1.1102400000000001</v>
      </c>
      <c r="F372" s="899"/>
      <c r="G372" s="4"/>
      <c r="H372" s="4"/>
    </row>
    <row r="373" spans="1:18" hidden="1" outlineLevel="1" x14ac:dyDescent="0.25">
      <c r="A373" s="844"/>
      <c r="B373" s="900" t="s">
        <v>20</v>
      </c>
      <c r="C373" s="901">
        <v>0.02</v>
      </c>
      <c r="D373" s="844">
        <v>1</v>
      </c>
      <c r="E373" s="899">
        <f>C373*D373</f>
        <v>0.02</v>
      </c>
      <c r="F373" s="844"/>
    </row>
    <row r="374" spans="1:18" hidden="1" outlineLevel="1" x14ac:dyDescent="0.25">
      <c r="A374" s="844"/>
      <c r="B374" s="900" t="s">
        <v>21</v>
      </c>
      <c r="C374" s="901">
        <v>0.02</v>
      </c>
      <c r="D374" s="844">
        <v>1</v>
      </c>
      <c r="E374" s="899">
        <f>C374*D374</f>
        <v>0.02</v>
      </c>
      <c r="F374" s="844"/>
    </row>
    <row r="375" spans="1:18" hidden="1" outlineLevel="1" x14ac:dyDescent="0.25">
      <c r="A375" s="844"/>
      <c r="B375" s="900" t="s">
        <v>22</v>
      </c>
      <c r="C375" s="901">
        <v>0.06</v>
      </c>
      <c r="D375" s="902" t="s">
        <v>16</v>
      </c>
      <c r="E375" s="899">
        <f>C375*(1+0.3)</f>
        <v>7.8E-2</v>
      </c>
      <c r="F375" s="844"/>
    </row>
    <row r="376" spans="1:18" hidden="1" outlineLevel="1" x14ac:dyDescent="0.25">
      <c r="A376" s="844"/>
      <c r="B376" s="900" t="s">
        <v>23</v>
      </c>
      <c r="C376" s="901">
        <v>0.12</v>
      </c>
      <c r="D376" s="902" t="s">
        <v>16</v>
      </c>
      <c r="E376" s="899">
        <f>C376*(1+0.3)</f>
        <v>0.156</v>
      </c>
      <c r="F376" s="844"/>
    </row>
    <row r="377" spans="1:18" ht="25.5" hidden="1" outlineLevel="1" x14ac:dyDescent="0.25">
      <c r="A377" s="844"/>
      <c r="B377" s="900" t="s">
        <v>343</v>
      </c>
      <c r="C377" s="901"/>
      <c r="D377" s="902"/>
      <c r="E377" s="899"/>
      <c r="F377" s="844"/>
    </row>
    <row r="378" spans="1:18" hidden="1" outlineLevel="1" x14ac:dyDescent="0.25">
      <c r="A378" s="844"/>
      <c r="B378" s="903" t="s">
        <v>37</v>
      </c>
      <c r="C378" s="901">
        <v>0.16</v>
      </c>
      <c r="D378" s="902" t="s">
        <v>16</v>
      </c>
      <c r="E378" s="899">
        <f>C378*(1+0.3)</f>
        <v>0.20800000000000002</v>
      </c>
      <c r="F378" s="844"/>
    </row>
    <row r="379" spans="1:18" hidden="1" outlineLevel="1" x14ac:dyDescent="0.25">
      <c r="A379" s="844"/>
      <c r="B379" s="903" t="s">
        <v>38</v>
      </c>
      <c r="C379" s="901">
        <v>0.02</v>
      </c>
      <c r="D379" s="844">
        <v>1</v>
      </c>
      <c r="E379" s="899">
        <f>C379*D379</f>
        <v>0.02</v>
      </c>
      <c r="F379" s="844"/>
    </row>
    <row r="380" spans="1:18" hidden="1" outlineLevel="1" x14ac:dyDescent="0.25">
      <c r="A380" s="844"/>
      <c r="B380" s="903" t="s">
        <v>39</v>
      </c>
      <c r="C380" s="901">
        <v>0.02</v>
      </c>
      <c r="D380" s="844">
        <v>1</v>
      </c>
      <c r="E380" s="899">
        <f t="shared" ref="E380:E381" si="18">C380*D380</f>
        <v>0.02</v>
      </c>
      <c r="F380" s="844"/>
    </row>
    <row r="381" spans="1:18" hidden="1" outlineLevel="1" x14ac:dyDescent="0.25">
      <c r="A381" s="844"/>
      <c r="B381" s="903" t="s">
        <v>40</v>
      </c>
      <c r="C381" s="901">
        <v>0.1</v>
      </c>
      <c r="D381" s="844">
        <v>1</v>
      </c>
      <c r="E381" s="899">
        <f t="shared" si="18"/>
        <v>0.1</v>
      </c>
      <c r="F381" s="844"/>
    </row>
    <row r="382" spans="1:18" hidden="1" outlineLevel="1" x14ac:dyDescent="0.25">
      <c r="A382" s="844"/>
      <c r="B382" s="903" t="s">
        <v>41</v>
      </c>
      <c r="C382" s="901">
        <v>0.02</v>
      </c>
      <c r="D382" s="902" t="s">
        <v>16</v>
      </c>
      <c r="E382" s="899">
        <f>C382*(1+0.3)</f>
        <v>2.6000000000000002E-2</v>
      </c>
      <c r="F382" s="844"/>
    </row>
    <row r="383" spans="1:18" hidden="1" outlineLevel="1" x14ac:dyDescent="0.25">
      <c r="A383" s="844"/>
      <c r="B383" s="903" t="s">
        <v>42</v>
      </c>
      <c r="C383" s="901">
        <v>0.01</v>
      </c>
      <c r="D383" s="844">
        <v>1</v>
      </c>
      <c r="E383" s="899">
        <f t="shared" ref="E383:E387" si="19">C383*D383</f>
        <v>0.01</v>
      </c>
      <c r="F383" s="844"/>
    </row>
    <row r="384" spans="1:18" hidden="1" outlineLevel="1" x14ac:dyDescent="0.25">
      <c r="A384" s="844"/>
      <c r="B384" s="903" t="s">
        <v>43</v>
      </c>
      <c r="C384" s="901">
        <v>0.18</v>
      </c>
      <c r="D384" s="844">
        <v>1</v>
      </c>
      <c r="E384" s="899">
        <f t="shared" si="19"/>
        <v>0.18</v>
      </c>
      <c r="F384" s="844"/>
    </row>
    <row r="385" spans="1:18" hidden="1" outlineLevel="1" x14ac:dyDescent="0.25">
      <c r="A385" s="844"/>
      <c r="B385" s="900" t="s">
        <v>30</v>
      </c>
      <c r="C385" s="901">
        <v>0.03</v>
      </c>
      <c r="D385" s="844">
        <v>1</v>
      </c>
      <c r="E385" s="899">
        <f t="shared" si="19"/>
        <v>0.03</v>
      </c>
      <c r="F385" s="844"/>
    </row>
    <row r="386" spans="1:18" hidden="1" outlineLevel="1" x14ac:dyDescent="0.25">
      <c r="A386" s="844"/>
      <c r="B386" s="900" t="s">
        <v>44</v>
      </c>
      <c r="C386" s="901">
        <v>0.09</v>
      </c>
      <c r="D386" s="844">
        <v>1</v>
      </c>
      <c r="E386" s="899">
        <f t="shared" si="19"/>
        <v>0.09</v>
      </c>
      <c r="F386" s="844"/>
    </row>
    <row r="387" spans="1:18" hidden="1" outlineLevel="1" x14ac:dyDescent="0.25">
      <c r="A387" s="844"/>
      <c r="B387" s="900" t="s">
        <v>32</v>
      </c>
      <c r="C387" s="901">
        <v>0.06</v>
      </c>
      <c r="D387" s="844">
        <v>1</v>
      </c>
      <c r="E387" s="899">
        <f t="shared" si="19"/>
        <v>0.06</v>
      </c>
      <c r="F387" s="844"/>
    </row>
    <row r="388" spans="1:18" hidden="1" outlineLevel="1" x14ac:dyDescent="0.25">
      <c r="A388" s="844"/>
      <c r="B388" s="900" t="s">
        <v>45</v>
      </c>
      <c r="C388" s="901">
        <v>0.01</v>
      </c>
      <c r="D388" s="844">
        <v>1</v>
      </c>
      <c r="E388" s="899">
        <f>C388*D388</f>
        <v>0.01</v>
      </c>
      <c r="F388" s="844"/>
    </row>
    <row r="389" spans="1:18" hidden="1" outlineLevel="1" x14ac:dyDescent="0.25">
      <c r="A389" s="844"/>
      <c r="B389" s="900" t="s">
        <v>34</v>
      </c>
      <c r="C389" s="901">
        <v>0.08</v>
      </c>
      <c r="D389" s="902"/>
      <c r="E389" s="904">
        <f>SUM(E373:E388)*C389</f>
        <v>8.2240000000000008E-2</v>
      </c>
      <c r="F389" s="904"/>
      <c r="G389" s="14"/>
      <c r="H389" s="14"/>
    </row>
    <row r="390" spans="1:18" s="19" customFormat="1" ht="15.75" collapsed="1" x14ac:dyDescent="0.25">
      <c r="A390" s="847"/>
      <c r="B390" s="847" t="s">
        <v>48</v>
      </c>
      <c r="C390" s="847"/>
      <c r="D390" s="847"/>
      <c r="E390" s="847"/>
      <c r="F390" s="847"/>
    </row>
    <row r="391" spans="1:18" s="19" customFormat="1" ht="15.75" x14ac:dyDescent="0.25">
      <c r="A391" s="847"/>
      <c r="B391" s="847" t="s">
        <v>49</v>
      </c>
      <c r="C391" s="847">
        <v>5.32</v>
      </c>
      <c r="D391" s="905"/>
      <c r="E391" s="847"/>
      <c r="F391" s="847"/>
    </row>
    <row r="392" spans="1:18" s="11" customFormat="1" x14ac:dyDescent="0.25">
      <c r="A392" s="847"/>
      <c r="B392" s="845" t="s">
        <v>2374</v>
      </c>
      <c r="C392" s="847"/>
      <c r="D392" s="847">
        <v>260</v>
      </c>
      <c r="E392" s="847" t="s">
        <v>235</v>
      </c>
      <c r="F392" s="847"/>
      <c r="I392" s="13"/>
    </row>
    <row r="393" spans="1:18" s="2" customFormat="1" ht="63.75" x14ac:dyDescent="0.25">
      <c r="A393" s="854"/>
      <c r="B393" s="394" t="s">
        <v>2388</v>
      </c>
      <c r="C393" s="394" t="s">
        <v>2389</v>
      </c>
      <c r="D393" s="394" t="s">
        <v>2390</v>
      </c>
      <c r="E393" s="854"/>
      <c r="F393" s="855">
        <f>(381.92+0*(0.4*0.5+0.6*0.25))*1*D395*D394*D396*C416*1000</f>
        <v>56264.191639040015</v>
      </c>
      <c r="I393"/>
      <c r="J393"/>
      <c r="K393"/>
      <c r="Q393" s="17"/>
      <c r="R393" s="17"/>
    </row>
    <row r="394" spans="1:18" s="3" customFormat="1" x14ac:dyDescent="0.25">
      <c r="A394" s="866"/>
      <c r="B394" s="865" t="s">
        <v>4</v>
      </c>
      <c r="C394" s="865" t="s">
        <v>5</v>
      </c>
      <c r="D394" s="866">
        <v>0.4</v>
      </c>
      <c r="E394" s="866"/>
      <c r="F394" s="866"/>
      <c r="I394"/>
      <c r="J394"/>
      <c r="K394"/>
    </row>
    <row r="395" spans="1:18" ht="40.5" customHeight="1" x14ac:dyDescent="0.25">
      <c r="A395" s="854"/>
      <c r="B395" s="394" t="s">
        <v>3</v>
      </c>
      <c r="C395" s="854" t="s">
        <v>530</v>
      </c>
      <c r="D395" s="918">
        <v>0.1</v>
      </c>
      <c r="E395" s="844"/>
      <c r="F395" s="844"/>
    </row>
    <row r="396" spans="1:18" ht="77.25" x14ac:dyDescent="0.25">
      <c r="A396" s="844"/>
      <c r="B396" s="895" t="s">
        <v>15</v>
      </c>
      <c r="C396" s="394" t="s">
        <v>843</v>
      </c>
      <c r="D396" s="854">
        <f>E397/1</f>
        <v>0.69229000000000007</v>
      </c>
      <c r="E396" s="844"/>
      <c r="F396" s="844"/>
    </row>
    <row r="397" spans="1:18" x14ac:dyDescent="0.25">
      <c r="A397" s="844"/>
      <c r="B397" s="896" t="s">
        <v>6</v>
      </c>
      <c r="C397" s="897">
        <f>SUM(C398:C414)</f>
        <v>0.63000000000000012</v>
      </c>
      <c r="D397" s="857"/>
      <c r="E397" s="898">
        <f>SUM(E398:E414)</f>
        <v>0.69229000000000007</v>
      </c>
      <c r="F397" s="899"/>
      <c r="G397" s="4"/>
      <c r="H397" s="4"/>
    </row>
    <row r="398" spans="1:18" hidden="1" outlineLevel="1" x14ac:dyDescent="0.25">
      <c r="A398" s="844"/>
      <c r="B398" s="900" t="s">
        <v>20</v>
      </c>
      <c r="C398" s="901">
        <v>0.02</v>
      </c>
      <c r="D398" s="844">
        <v>1</v>
      </c>
      <c r="E398" s="899">
        <f>C398*D398</f>
        <v>0.02</v>
      </c>
      <c r="F398" s="844"/>
    </row>
    <row r="399" spans="1:18" hidden="1" outlineLevel="1" x14ac:dyDescent="0.25">
      <c r="A399" s="844"/>
      <c r="B399" s="900" t="s">
        <v>21</v>
      </c>
      <c r="C399" s="901">
        <v>0.04</v>
      </c>
      <c r="D399" s="844">
        <v>1</v>
      </c>
      <c r="E399" s="899">
        <f>C399*D399</f>
        <v>0.04</v>
      </c>
      <c r="F399" s="844"/>
    </row>
    <row r="400" spans="1:18" hidden="1" outlineLevel="1" x14ac:dyDescent="0.25">
      <c r="A400" s="844"/>
      <c r="B400" s="900" t="s">
        <v>22</v>
      </c>
      <c r="C400" s="901">
        <v>0.14000000000000001</v>
      </c>
      <c r="D400" s="902" t="s">
        <v>16</v>
      </c>
      <c r="E400" s="899">
        <f>C400*(1+0.3)</f>
        <v>0.18200000000000002</v>
      </c>
      <c r="F400" s="844"/>
    </row>
    <row r="401" spans="1:8" hidden="1" outlineLevel="1" x14ac:dyDescent="0.25">
      <c r="A401" s="844"/>
      <c r="B401" s="900" t="s">
        <v>23</v>
      </c>
      <c r="C401" s="901">
        <v>0.15</v>
      </c>
      <c r="D401" s="902" t="s">
        <v>16</v>
      </c>
      <c r="E401" s="899">
        <f>C401*(1+0.3)</f>
        <v>0.19500000000000001</v>
      </c>
      <c r="F401" s="844"/>
    </row>
    <row r="402" spans="1:8" ht="25.5" hidden="1" outlineLevel="1" x14ac:dyDescent="0.25">
      <c r="A402" s="844"/>
      <c r="B402" s="900" t="s">
        <v>36</v>
      </c>
      <c r="C402" s="901"/>
      <c r="D402" s="902"/>
      <c r="E402" s="899"/>
      <c r="F402" s="844"/>
    </row>
    <row r="403" spans="1:8" hidden="1" outlineLevel="1" x14ac:dyDescent="0.25">
      <c r="A403" s="844"/>
      <c r="B403" s="903" t="s">
        <v>37</v>
      </c>
      <c r="C403" s="901"/>
      <c r="D403" s="902">
        <v>1</v>
      </c>
      <c r="E403" s="899">
        <f>C403*D403</f>
        <v>0</v>
      </c>
      <c r="F403" s="844"/>
    </row>
    <row r="404" spans="1:8" hidden="1" outlineLevel="1" x14ac:dyDescent="0.25">
      <c r="A404" s="844"/>
      <c r="B404" s="903" t="s">
        <v>38</v>
      </c>
      <c r="C404" s="901"/>
      <c r="D404" s="844">
        <v>1</v>
      </c>
      <c r="E404" s="899">
        <f t="shared" ref="E404:E413" si="20">C404*D404</f>
        <v>0</v>
      </c>
      <c r="F404" s="844"/>
    </row>
    <row r="405" spans="1:8" hidden="1" outlineLevel="1" x14ac:dyDescent="0.25">
      <c r="A405" s="844"/>
      <c r="B405" s="903" t="s">
        <v>39</v>
      </c>
      <c r="C405" s="901"/>
      <c r="D405" s="844">
        <v>1</v>
      </c>
      <c r="E405" s="899">
        <f t="shared" si="20"/>
        <v>0</v>
      </c>
      <c r="F405" s="844"/>
    </row>
    <row r="406" spans="1:8" hidden="1" outlineLevel="1" x14ac:dyDescent="0.25">
      <c r="A406" s="844"/>
      <c r="B406" s="903" t="s">
        <v>40</v>
      </c>
      <c r="C406" s="901"/>
      <c r="D406" s="844">
        <v>1</v>
      </c>
      <c r="E406" s="899">
        <f t="shared" si="20"/>
        <v>0</v>
      </c>
      <c r="F406" s="844"/>
    </row>
    <row r="407" spans="1:8" hidden="1" outlineLevel="1" x14ac:dyDescent="0.25">
      <c r="A407" s="844"/>
      <c r="B407" s="903" t="s">
        <v>41</v>
      </c>
      <c r="C407" s="901"/>
      <c r="D407" s="902">
        <v>1</v>
      </c>
      <c r="E407" s="899">
        <f t="shared" si="20"/>
        <v>0</v>
      </c>
      <c r="F407" s="844"/>
    </row>
    <row r="408" spans="1:8" hidden="1" outlineLevel="1" x14ac:dyDescent="0.25">
      <c r="A408" s="844"/>
      <c r="B408" s="903" t="s">
        <v>42</v>
      </c>
      <c r="C408" s="901"/>
      <c r="D408" s="844">
        <v>1</v>
      </c>
      <c r="E408" s="899">
        <f t="shared" si="20"/>
        <v>0</v>
      </c>
      <c r="F408" s="844"/>
    </row>
    <row r="409" spans="1:8" hidden="1" outlineLevel="1" x14ac:dyDescent="0.25">
      <c r="A409" s="844"/>
      <c r="B409" s="903" t="s">
        <v>43</v>
      </c>
      <c r="C409" s="901"/>
      <c r="D409" s="844">
        <v>1</v>
      </c>
      <c r="E409" s="899">
        <f t="shared" si="20"/>
        <v>0</v>
      </c>
      <c r="F409" s="844"/>
    </row>
    <row r="410" spans="1:8" hidden="1" outlineLevel="1" x14ac:dyDescent="0.25">
      <c r="A410" s="844"/>
      <c r="B410" s="900" t="s">
        <v>30</v>
      </c>
      <c r="C410" s="901">
        <v>0.06</v>
      </c>
      <c r="D410" s="844">
        <v>1</v>
      </c>
      <c r="E410" s="899">
        <f t="shared" si="20"/>
        <v>0.06</v>
      </c>
      <c r="F410" s="844"/>
    </row>
    <row r="411" spans="1:8" hidden="1" outlineLevel="1" x14ac:dyDescent="0.25">
      <c r="A411" s="844"/>
      <c r="B411" s="900" t="s">
        <v>44</v>
      </c>
      <c r="C411" s="901">
        <v>7.0000000000000007E-2</v>
      </c>
      <c r="D411" s="844">
        <v>1</v>
      </c>
      <c r="E411" s="899">
        <f t="shared" si="20"/>
        <v>7.0000000000000007E-2</v>
      </c>
      <c r="F411" s="844"/>
    </row>
    <row r="412" spans="1:8" hidden="1" outlineLevel="1" x14ac:dyDescent="0.25">
      <c r="A412" s="844"/>
      <c r="B412" s="900" t="s">
        <v>32</v>
      </c>
      <c r="C412" s="901">
        <v>0.06</v>
      </c>
      <c r="D412" s="844">
        <v>1</v>
      </c>
      <c r="E412" s="899">
        <f t="shared" si="20"/>
        <v>0.06</v>
      </c>
      <c r="F412" s="844"/>
    </row>
    <row r="413" spans="1:8" hidden="1" outlineLevel="1" x14ac:dyDescent="0.25">
      <c r="A413" s="844"/>
      <c r="B413" s="900" t="s">
        <v>45</v>
      </c>
      <c r="C413" s="901">
        <v>0.02</v>
      </c>
      <c r="D413" s="844">
        <v>1</v>
      </c>
      <c r="E413" s="899">
        <f t="shared" si="20"/>
        <v>0.02</v>
      </c>
      <c r="F413" s="844"/>
    </row>
    <row r="414" spans="1:8" hidden="1" outlineLevel="1" x14ac:dyDescent="0.25">
      <c r="A414" s="844"/>
      <c r="B414" s="900" t="s">
        <v>34</v>
      </c>
      <c r="C414" s="901">
        <v>7.0000000000000007E-2</v>
      </c>
      <c r="D414" s="902"/>
      <c r="E414" s="904">
        <f>SUM(E398:E413)*C414</f>
        <v>4.5290000000000004E-2</v>
      </c>
      <c r="F414" s="904"/>
      <c r="G414" s="14"/>
      <c r="H414" s="14"/>
    </row>
    <row r="415" spans="1:8" s="19" customFormat="1" ht="15.75" collapsed="1" x14ac:dyDescent="0.25">
      <c r="A415" s="847"/>
      <c r="B415" s="847" t="s">
        <v>48</v>
      </c>
      <c r="C415" s="847"/>
      <c r="D415" s="847"/>
      <c r="E415" s="847"/>
      <c r="F415" s="847"/>
    </row>
    <row r="416" spans="1:8" s="19" customFormat="1" ht="15.75" x14ac:dyDescent="0.25">
      <c r="A416" s="847"/>
      <c r="B416" s="847" t="s">
        <v>49</v>
      </c>
      <c r="C416" s="847">
        <v>5.32</v>
      </c>
      <c r="D416" s="905"/>
      <c r="E416" s="847"/>
      <c r="F416" s="847"/>
    </row>
    <row r="417" spans="1:10" s="36" customFormat="1" ht="38.25" x14ac:dyDescent="0.2">
      <c r="A417" s="926"/>
      <c r="B417" s="891" t="s">
        <v>930</v>
      </c>
      <c r="C417" s="892">
        <v>0.04</v>
      </c>
      <c r="D417" s="927"/>
      <c r="E417" s="926"/>
      <c r="F417" s="855">
        <f>SUM(F83:F393)*C417</f>
        <v>106455.25752394268</v>
      </c>
      <c r="G417" s="34"/>
      <c r="H417" s="34"/>
      <c r="I417" s="33"/>
      <c r="J417" s="35"/>
    </row>
    <row r="418" spans="1:10" ht="15.75" x14ac:dyDescent="0.25">
      <c r="A418" s="844"/>
      <c r="B418" s="289" t="s">
        <v>50</v>
      </c>
      <c r="C418" s="844"/>
      <c r="D418" s="844"/>
      <c r="E418" s="844"/>
      <c r="F418" s="859">
        <f>SUM(F39:F417)</f>
        <v>4842980.968533135</v>
      </c>
    </row>
    <row r="419" spans="1:10" ht="15.75" x14ac:dyDescent="0.25">
      <c r="A419" s="844"/>
      <c r="B419" s="289" t="s">
        <v>51</v>
      </c>
      <c r="C419" s="844"/>
      <c r="D419" s="844"/>
      <c r="E419" s="844"/>
      <c r="F419" s="860">
        <f>F418*0.2</f>
        <v>968596.193706627</v>
      </c>
    </row>
    <row r="420" spans="1:10" ht="15.75" x14ac:dyDescent="0.25">
      <c r="A420" s="844"/>
      <c r="B420" s="289" t="s">
        <v>52</v>
      </c>
      <c r="C420" s="844"/>
      <c r="D420" s="844"/>
      <c r="E420" s="844"/>
      <c r="F420" s="859">
        <f>SUM(F418:F419)</f>
        <v>5811577.162239762</v>
      </c>
    </row>
    <row r="421" spans="1:10" x14ac:dyDescent="0.25">
      <c r="A421" s="374"/>
      <c r="B421" s="374"/>
      <c r="C421" s="374"/>
      <c r="D421" s="374"/>
      <c r="E421" s="374"/>
      <c r="F421" s="374"/>
    </row>
    <row r="422" spans="1:10" x14ac:dyDescent="0.25">
      <c r="A422" s="374"/>
      <c r="B422" s="374"/>
      <c r="C422" s="374"/>
      <c r="D422" s="374"/>
      <c r="E422" s="374"/>
      <c r="F422" s="374"/>
    </row>
  </sheetData>
  <mergeCells count="9">
    <mergeCell ref="A31:B31"/>
    <mergeCell ref="C31:F31"/>
    <mergeCell ref="A33:B33"/>
    <mergeCell ref="A35:B35"/>
    <mergeCell ref="B1:E1"/>
    <mergeCell ref="G10:Q10"/>
    <mergeCell ref="A25:C25"/>
    <mergeCell ref="A28:F28"/>
    <mergeCell ref="A29:F29"/>
  </mergeCells>
  <pageMargins left="0.7" right="0.7" top="0.75" bottom="0.75" header="0.3" footer="0.3"/>
  <pageSetup paperSize="9" scale="55" orientation="portrait" r:id="rId1"/>
  <colBreaks count="1" manualBreakCount="1">
    <brk id="6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3"/>
  <sheetViews>
    <sheetView view="pageBreakPreview" topLeftCell="A450" zoomScaleNormal="100" zoomScaleSheetLayoutView="100" workbookViewId="0">
      <selection activeCell="E474" sqref="E474"/>
    </sheetView>
  </sheetViews>
  <sheetFormatPr defaultRowHeight="15" outlineLevelRow="1" x14ac:dyDescent="0.25"/>
  <cols>
    <col min="1" max="1" width="9.5703125" customWidth="1"/>
    <col min="2" max="2" width="52.28515625" customWidth="1"/>
    <col min="3" max="3" width="44.42578125" customWidth="1"/>
    <col min="4" max="4" width="22.85546875" customWidth="1"/>
    <col min="5" max="5" width="12.5703125" customWidth="1"/>
    <col min="6" max="6" width="19.42578125" customWidth="1"/>
    <col min="7" max="7" width="16.5703125" customWidth="1"/>
  </cols>
  <sheetData>
    <row r="1" spans="1:7" ht="15.75" hidden="1" x14ac:dyDescent="0.25">
      <c r="A1" s="319"/>
      <c r="B1" s="1237" t="s">
        <v>119</v>
      </c>
      <c r="C1" s="1237"/>
      <c r="D1" s="1237"/>
      <c r="E1" s="1238"/>
      <c r="F1" s="308"/>
    </row>
    <row r="2" spans="1:7" ht="16.5" hidden="1" thickBot="1" x14ac:dyDescent="0.3">
      <c r="A2" s="301" t="s">
        <v>120</v>
      </c>
      <c r="B2" s="302" t="s">
        <v>65</v>
      </c>
      <c r="C2" s="303" t="s">
        <v>0</v>
      </c>
      <c r="D2" s="304">
        <v>1.6</v>
      </c>
      <c r="E2" s="309"/>
      <c r="F2" s="40"/>
    </row>
    <row r="3" spans="1:7" ht="32.25" hidden="1" thickBot="1" x14ac:dyDescent="0.3">
      <c r="A3" s="301" t="s">
        <v>121</v>
      </c>
      <c r="B3" s="302" t="s">
        <v>122</v>
      </c>
      <c r="C3" s="303" t="s">
        <v>620</v>
      </c>
      <c r="D3" s="304">
        <v>900</v>
      </c>
      <c r="E3" s="305" t="s">
        <v>641</v>
      </c>
      <c r="F3" s="40" t="s">
        <v>284</v>
      </c>
      <c r="G3" t="s">
        <v>659</v>
      </c>
    </row>
    <row r="4" spans="1:7" ht="16.5" hidden="1" thickBot="1" x14ac:dyDescent="0.3">
      <c r="A4" s="301" t="s">
        <v>123</v>
      </c>
      <c r="B4" s="302" t="s">
        <v>124</v>
      </c>
      <c r="C4" s="303" t="s">
        <v>183</v>
      </c>
      <c r="D4" s="304">
        <v>100</v>
      </c>
      <c r="E4" s="305" t="s">
        <v>623</v>
      </c>
      <c r="F4" s="40" t="s">
        <v>286</v>
      </c>
    </row>
    <row r="5" spans="1:7" ht="24" hidden="1" customHeight="1" thickBot="1" x14ac:dyDescent="0.3">
      <c r="A5" s="301" t="s">
        <v>125</v>
      </c>
      <c r="B5" s="302" t="s">
        <v>73</v>
      </c>
      <c r="C5" s="303" t="s">
        <v>620</v>
      </c>
      <c r="D5" s="304">
        <v>450</v>
      </c>
      <c r="E5" s="305" t="s">
        <v>641</v>
      </c>
      <c r="F5" s="40" t="s">
        <v>262</v>
      </c>
      <c r="G5" t="s">
        <v>672</v>
      </c>
    </row>
    <row r="6" spans="1:7" ht="115.5" hidden="1" customHeight="1" thickBot="1" x14ac:dyDescent="0.3">
      <c r="A6" s="301" t="s">
        <v>126</v>
      </c>
      <c r="B6" s="302" t="s">
        <v>127</v>
      </c>
      <c r="C6" s="303" t="s">
        <v>0</v>
      </c>
      <c r="D6" s="304">
        <v>1</v>
      </c>
      <c r="E6" s="305" t="s">
        <v>662</v>
      </c>
      <c r="F6" s="327" t="s">
        <v>291</v>
      </c>
    </row>
    <row r="7" spans="1:7" ht="52.5" hidden="1" customHeight="1" thickBot="1" x14ac:dyDescent="0.3">
      <c r="A7" s="301" t="s">
        <v>128</v>
      </c>
      <c r="B7" s="302" t="s">
        <v>71</v>
      </c>
      <c r="C7" s="303"/>
      <c r="D7" s="304"/>
      <c r="E7" s="305" t="s">
        <v>673</v>
      </c>
      <c r="F7" s="40" t="s">
        <v>256</v>
      </c>
      <c r="G7" t="s">
        <v>626</v>
      </c>
    </row>
    <row r="8" spans="1:7" ht="16.5" hidden="1" thickBot="1" x14ac:dyDescent="0.3">
      <c r="A8" s="301" t="s">
        <v>674</v>
      </c>
      <c r="B8" s="302" t="s">
        <v>628</v>
      </c>
      <c r="C8" s="303" t="s">
        <v>211</v>
      </c>
      <c r="D8" s="304">
        <v>6</v>
      </c>
      <c r="E8" s="305"/>
      <c r="F8" s="40"/>
    </row>
    <row r="9" spans="1:7" ht="16.5" hidden="1" thickBot="1" x14ac:dyDescent="0.3">
      <c r="A9" s="301" t="s">
        <v>675</v>
      </c>
      <c r="B9" s="302" t="s">
        <v>632</v>
      </c>
      <c r="C9" s="303" t="s">
        <v>211</v>
      </c>
      <c r="D9" s="304">
        <v>3</v>
      </c>
      <c r="E9" s="305"/>
      <c r="F9" s="40"/>
    </row>
    <row r="10" spans="1:7" ht="16.5" hidden="1" thickBot="1" x14ac:dyDescent="0.3">
      <c r="A10" s="301" t="s">
        <v>129</v>
      </c>
      <c r="B10" s="302" t="s">
        <v>79</v>
      </c>
      <c r="C10" s="303" t="s">
        <v>211</v>
      </c>
      <c r="D10" s="304">
        <v>15</v>
      </c>
      <c r="E10" s="305" t="s">
        <v>676</v>
      </c>
      <c r="F10" s="40" t="s">
        <v>254</v>
      </c>
    </row>
    <row r="11" spans="1:7" ht="16.5" hidden="1" thickBot="1" x14ac:dyDescent="0.3">
      <c r="A11" s="320" t="s">
        <v>130</v>
      </c>
      <c r="B11" s="321" t="s">
        <v>82</v>
      </c>
      <c r="C11" s="322" t="s">
        <v>668</v>
      </c>
      <c r="D11" s="323" t="s">
        <v>669</v>
      </c>
      <c r="E11" s="305" t="s">
        <v>676</v>
      </c>
      <c r="F11" s="40" t="s">
        <v>254</v>
      </c>
      <c r="G11" t="s">
        <v>638</v>
      </c>
    </row>
    <row r="12" spans="1:7" ht="174" hidden="1" thickBot="1" x14ac:dyDescent="0.3">
      <c r="A12" s="301" t="s">
        <v>131</v>
      </c>
      <c r="B12" s="302" t="s">
        <v>132</v>
      </c>
      <c r="C12" s="303" t="s">
        <v>622</v>
      </c>
      <c r="D12" s="304">
        <v>1</v>
      </c>
      <c r="E12" s="318" t="s">
        <v>670</v>
      </c>
      <c r="F12" s="315" t="s">
        <v>677</v>
      </c>
      <c r="G12" t="s">
        <v>650</v>
      </c>
    </row>
    <row r="13" spans="1:7" ht="15.75" hidden="1" x14ac:dyDescent="0.25">
      <c r="A13" s="301" t="s">
        <v>678</v>
      </c>
      <c r="B13" s="302" t="s">
        <v>679</v>
      </c>
      <c r="C13" s="303"/>
      <c r="D13" s="304"/>
      <c r="E13" s="318"/>
      <c r="F13" s="306"/>
    </row>
    <row r="14" spans="1:7" ht="15.75" hidden="1" x14ac:dyDescent="0.25">
      <c r="A14" s="328" t="s">
        <v>680</v>
      </c>
      <c r="B14" s="329" t="s">
        <v>681</v>
      </c>
      <c r="C14" s="302" t="s">
        <v>660</v>
      </c>
      <c r="D14" s="304">
        <v>300</v>
      </c>
      <c r="E14" s="330"/>
      <c r="F14" s="306"/>
    </row>
    <row r="15" spans="1:7" ht="15.75" hidden="1" x14ac:dyDescent="0.25">
      <c r="A15" s="328" t="s">
        <v>682</v>
      </c>
      <c r="B15" s="329" t="s">
        <v>683</v>
      </c>
      <c r="C15" s="302" t="s">
        <v>660</v>
      </c>
      <c r="D15" s="304">
        <v>400</v>
      </c>
      <c r="E15" s="330"/>
      <c r="F15" s="306"/>
    </row>
    <row r="16" spans="1:7" ht="15.75" hidden="1" x14ac:dyDescent="0.25">
      <c r="A16" s="328" t="s">
        <v>684</v>
      </c>
      <c r="B16" s="329" t="s">
        <v>685</v>
      </c>
      <c r="C16" s="302" t="s">
        <v>660</v>
      </c>
      <c r="D16" s="304">
        <v>400</v>
      </c>
      <c r="E16" s="330"/>
      <c r="F16" s="306"/>
    </row>
    <row r="17" spans="1:9" ht="15.75" hidden="1" x14ac:dyDescent="0.25">
      <c r="A17" s="328" t="s">
        <v>686</v>
      </c>
      <c r="B17" s="329" t="s">
        <v>687</v>
      </c>
      <c r="C17" s="302" t="s">
        <v>660</v>
      </c>
      <c r="D17" s="304">
        <v>400</v>
      </c>
      <c r="E17" s="330"/>
      <c r="F17" s="306"/>
    </row>
    <row r="18" spans="1:9" ht="15.75" hidden="1" x14ac:dyDescent="0.25">
      <c r="A18" s="328" t="s">
        <v>688</v>
      </c>
      <c r="B18" s="329" t="s">
        <v>689</v>
      </c>
      <c r="C18" s="302"/>
      <c r="D18" s="304"/>
      <c r="E18" s="330"/>
      <c r="F18" s="306"/>
    </row>
    <row r="19" spans="1:9" ht="63" hidden="1" x14ac:dyDescent="0.25">
      <c r="A19" s="328" t="s">
        <v>690</v>
      </c>
      <c r="B19" s="302" t="s">
        <v>691</v>
      </c>
      <c r="C19" s="302" t="s">
        <v>692</v>
      </c>
      <c r="D19" s="303" t="s">
        <v>693</v>
      </c>
      <c r="E19" s="330"/>
      <c r="F19" s="306"/>
    </row>
    <row r="20" spans="1:9" ht="15.75" hidden="1" x14ac:dyDescent="0.25">
      <c r="A20" s="328" t="s">
        <v>694</v>
      </c>
      <c r="B20" s="329" t="s">
        <v>695</v>
      </c>
      <c r="C20" s="302" t="s">
        <v>696</v>
      </c>
      <c r="D20" s="304">
        <v>26</v>
      </c>
      <c r="E20" s="330"/>
      <c r="F20" s="306"/>
    </row>
    <row r="21" spans="1:9" ht="15.75" hidden="1" x14ac:dyDescent="0.25">
      <c r="A21" s="328" t="s">
        <v>697</v>
      </c>
      <c r="B21" s="302" t="s">
        <v>698</v>
      </c>
      <c r="C21" s="302"/>
      <c r="D21" s="304"/>
      <c r="E21" s="330"/>
      <c r="F21" s="306"/>
    </row>
    <row r="22" spans="1:9" ht="31.5" hidden="1" x14ac:dyDescent="0.25">
      <c r="A22" s="328" t="s">
        <v>699</v>
      </c>
      <c r="B22" s="302" t="s">
        <v>700</v>
      </c>
      <c r="C22" s="302" t="s">
        <v>701</v>
      </c>
      <c r="D22" s="304">
        <v>10</v>
      </c>
      <c r="E22" s="330"/>
      <c r="F22" s="306"/>
    </row>
    <row r="23" spans="1:9" ht="15.75" hidden="1" x14ac:dyDescent="0.25">
      <c r="A23" s="328" t="s">
        <v>702</v>
      </c>
      <c r="B23" s="329" t="s">
        <v>703</v>
      </c>
      <c r="C23" s="302" t="s">
        <v>704</v>
      </c>
      <c r="D23" s="304">
        <v>0</v>
      </c>
      <c r="E23" s="330"/>
      <c r="F23" s="306"/>
    </row>
    <row r="24" spans="1:9" hidden="1" x14ac:dyDescent="0.25"/>
    <row r="25" spans="1:9" hidden="1" x14ac:dyDescent="0.25"/>
    <row r="26" spans="1:9" hidden="1" x14ac:dyDescent="0.25"/>
    <row r="27" spans="1:9" s="828" customFormat="1" ht="27" customHeight="1" x14ac:dyDescent="0.25">
      <c r="A27" s="1254" t="s">
        <v>2397</v>
      </c>
      <c r="B27" s="1254"/>
      <c r="C27" s="1254"/>
      <c r="E27" s="835"/>
      <c r="F27" s="835" t="s">
        <v>2398</v>
      </c>
      <c r="G27" s="835"/>
      <c r="H27" s="835"/>
      <c r="I27" s="835"/>
    </row>
    <row r="28" spans="1:9" s="831" customFormat="1" x14ac:dyDescent="0.25">
      <c r="A28" s="829"/>
      <c r="B28" s="829"/>
      <c r="C28" s="829"/>
      <c r="D28" s="830"/>
      <c r="E28" s="830"/>
      <c r="F28" s="830"/>
      <c r="G28" s="830"/>
      <c r="H28" s="830"/>
      <c r="I28" s="830"/>
    </row>
    <row r="29" spans="1:9" s="831" customFormat="1" x14ac:dyDescent="0.25">
      <c r="A29" s="829"/>
      <c r="B29" s="829"/>
      <c r="C29" s="829"/>
      <c r="D29" s="830"/>
      <c r="E29" s="830"/>
      <c r="F29" s="830"/>
      <c r="G29" s="830"/>
      <c r="H29" s="830"/>
      <c r="I29" s="830"/>
    </row>
    <row r="30" spans="1:9" s="828" customFormat="1" ht="28.5" customHeight="1" x14ac:dyDescent="0.25">
      <c r="A30" s="1255" t="s">
        <v>2408</v>
      </c>
      <c r="B30" s="1255"/>
      <c r="C30" s="1255"/>
      <c r="D30" s="1255"/>
      <c r="E30" s="1255"/>
      <c r="F30" s="1255"/>
      <c r="G30" s="836"/>
      <c r="H30" s="836"/>
      <c r="I30" s="836"/>
    </row>
    <row r="31" spans="1:9" s="839" customFormat="1" ht="15.75" x14ac:dyDescent="0.25">
      <c r="A31" s="1256" t="s">
        <v>1112</v>
      </c>
      <c r="B31" s="1256"/>
      <c r="C31" s="1256"/>
      <c r="D31" s="1256"/>
      <c r="E31" s="1256"/>
      <c r="F31" s="1256"/>
      <c r="G31" s="838"/>
      <c r="H31" s="838"/>
      <c r="I31" s="838"/>
    </row>
    <row r="32" spans="1:9" s="828" customFormat="1" ht="15.75" x14ac:dyDescent="0.25">
      <c r="A32" s="840"/>
      <c r="B32" s="840"/>
      <c r="C32" s="840"/>
      <c r="D32" s="841"/>
      <c r="E32" s="841"/>
      <c r="F32" s="841"/>
      <c r="G32" s="829"/>
      <c r="H32" s="832"/>
      <c r="I32" s="832"/>
    </row>
    <row r="33" spans="1:11" s="828" customFormat="1" ht="81" customHeight="1" x14ac:dyDescent="0.25">
      <c r="A33" s="1258" t="s">
        <v>2399</v>
      </c>
      <c r="B33" s="1258"/>
      <c r="C33" s="1257" t="s">
        <v>2409</v>
      </c>
      <c r="D33" s="1257"/>
      <c r="E33" s="1257"/>
      <c r="F33" s="1257"/>
      <c r="G33" s="837"/>
      <c r="H33" s="837"/>
      <c r="I33" s="837"/>
    </row>
    <row r="34" spans="1:11" s="828" customFormat="1" ht="15.75" x14ac:dyDescent="0.25">
      <c r="A34" s="842"/>
      <c r="B34" s="842"/>
      <c r="C34" s="842"/>
      <c r="D34" s="840"/>
      <c r="E34" s="840"/>
      <c r="F34" s="840"/>
      <c r="G34" s="832"/>
      <c r="H34" s="832"/>
      <c r="I34" s="832"/>
    </row>
    <row r="35" spans="1:11" s="828" customFormat="1" ht="41.25" customHeight="1" x14ac:dyDescent="0.25">
      <c r="A35" s="1253" t="s">
        <v>1203</v>
      </c>
      <c r="B35" s="1253"/>
      <c r="C35" s="843"/>
      <c r="D35" s="843"/>
      <c r="E35" s="843"/>
      <c r="F35" s="843"/>
      <c r="G35" s="833"/>
      <c r="H35" s="833"/>
      <c r="I35" s="833"/>
    </row>
    <row r="36" spans="1:11" s="828" customFormat="1" ht="15.75" x14ac:dyDescent="0.25">
      <c r="A36" s="840"/>
      <c r="B36" s="840"/>
      <c r="C36" s="840"/>
      <c r="D36" s="840"/>
      <c r="E36" s="840"/>
      <c r="F36" s="840"/>
      <c r="G36" s="832"/>
      <c r="H36" s="832"/>
      <c r="I36" s="832"/>
    </row>
    <row r="37" spans="1:11" s="828" customFormat="1" ht="30" customHeight="1" x14ac:dyDescent="0.25">
      <c r="A37" s="1253" t="s">
        <v>2400</v>
      </c>
      <c r="B37" s="1253"/>
      <c r="C37" s="843" t="s">
        <v>2403</v>
      </c>
      <c r="D37" s="843"/>
      <c r="E37" s="843"/>
      <c r="F37" s="843"/>
      <c r="G37" s="833"/>
      <c r="H37" s="833"/>
      <c r="I37" s="833"/>
    </row>
    <row r="38" spans="1:11" s="294" customFormat="1" ht="25.5" x14ac:dyDescent="0.25">
      <c r="A38" s="298" t="s">
        <v>529</v>
      </c>
      <c r="B38" s="298" t="s">
        <v>528</v>
      </c>
      <c r="C38" s="298" t="s">
        <v>527</v>
      </c>
      <c r="D38" s="271" t="s">
        <v>526</v>
      </c>
      <c r="E38" s="377"/>
      <c r="F38" s="298" t="s">
        <v>525</v>
      </c>
    </row>
    <row r="39" spans="1:11" s="268" customFormat="1" ht="12.75" x14ac:dyDescent="0.2">
      <c r="A39" s="298">
        <v>1</v>
      </c>
      <c r="B39" s="298">
        <v>2</v>
      </c>
      <c r="C39" s="298">
        <v>3</v>
      </c>
      <c r="D39" s="298">
        <v>4</v>
      </c>
      <c r="E39" s="298"/>
      <c r="F39" s="298">
        <v>5</v>
      </c>
      <c r="G39" s="295"/>
    </row>
    <row r="40" spans="1:11" x14ac:dyDescent="0.25">
      <c r="A40" s="854"/>
      <c r="B40" s="861" t="s">
        <v>122</v>
      </c>
      <c r="C40" s="862">
        <v>1</v>
      </c>
      <c r="D40" s="862" t="s">
        <v>304</v>
      </c>
      <c r="E40" s="854"/>
      <c r="F40" s="854"/>
    </row>
    <row r="41" spans="1:11" s="2" customFormat="1" ht="51" x14ac:dyDescent="0.25">
      <c r="A41" s="854"/>
      <c r="B41" s="854" t="s">
        <v>931</v>
      </c>
      <c r="C41" s="394" t="s">
        <v>303</v>
      </c>
      <c r="D41" s="864" t="s">
        <v>305</v>
      </c>
      <c r="E41" s="854"/>
      <c r="F41" s="855">
        <f>42.32*1*D43*D42*D44*C64*1000</f>
        <v>27173.787110400015</v>
      </c>
      <c r="G41" s="37"/>
      <c r="H41" s="37"/>
      <c r="I41"/>
      <c r="J41"/>
      <c r="K41"/>
    </row>
    <row r="42" spans="1:11" s="3" customFormat="1" x14ac:dyDescent="0.25">
      <c r="A42" s="866"/>
      <c r="B42" s="865" t="s">
        <v>4</v>
      </c>
      <c r="C42" s="865" t="s">
        <v>5</v>
      </c>
      <c r="D42" s="866">
        <v>0.4</v>
      </c>
      <c r="E42" s="866"/>
      <c r="F42" s="866"/>
      <c r="I42"/>
      <c r="J42"/>
      <c r="K42"/>
    </row>
    <row r="43" spans="1:11" ht="102" x14ac:dyDescent="0.25">
      <c r="A43" s="854"/>
      <c r="B43" s="394" t="s">
        <v>310</v>
      </c>
      <c r="C43" s="394" t="s">
        <v>311</v>
      </c>
      <c r="D43" s="854">
        <v>0.25</v>
      </c>
      <c r="E43" s="854"/>
      <c r="F43" s="854"/>
    </row>
    <row r="44" spans="1:11" ht="89.25" x14ac:dyDescent="0.25">
      <c r="A44" s="854"/>
      <c r="B44" s="394" t="s">
        <v>15</v>
      </c>
      <c r="C44" s="394" t="s">
        <v>215</v>
      </c>
      <c r="D44" s="854">
        <f>E45/1</f>
        <v>1.2069600000000005</v>
      </c>
      <c r="E44" s="854"/>
      <c r="F44" s="854"/>
    </row>
    <row r="45" spans="1:11" x14ac:dyDescent="0.25">
      <c r="A45" s="854"/>
      <c r="B45" s="390" t="s">
        <v>6</v>
      </c>
      <c r="C45" s="869">
        <f>SUM(C46:C62)</f>
        <v>1.0000000000000002</v>
      </c>
      <c r="D45" s="870"/>
      <c r="E45" s="871">
        <f>SUM(E46:E62)</f>
        <v>1.2069600000000005</v>
      </c>
      <c r="F45" s="872"/>
      <c r="G45" s="9"/>
      <c r="H45" s="9"/>
    </row>
    <row r="46" spans="1:11" hidden="1" outlineLevel="1" x14ac:dyDescent="0.25">
      <c r="A46" s="854"/>
      <c r="B46" s="394" t="s">
        <v>20</v>
      </c>
      <c r="C46" s="873">
        <v>0.02</v>
      </c>
      <c r="D46" s="879">
        <v>1</v>
      </c>
      <c r="E46" s="875">
        <f>C46*D46</f>
        <v>0.02</v>
      </c>
      <c r="F46" s="870"/>
      <c r="G46" s="6"/>
      <c r="H46" s="6"/>
    </row>
    <row r="47" spans="1:11" hidden="1" outlineLevel="1" x14ac:dyDescent="0.25">
      <c r="A47" s="854"/>
      <c r="B47" s="394" t="s">
        <v>21</v>
      </c>
      <c r="C47" s="873">
        <v>0.04</v>
      </c>
      <c r="D47" s="854">
        <v>1</v>
      </c>
      <c r="E47" s="875">
        <f>C47*D47</f>
        <v>0.04</v>
      </c>
      <c r="F47" s="854"/>
    </row>
    <row r="48" spans="1:11" hidden="1" outlineLevel="1" x14ac:dyDescent="0.25">
      <c r="A48" s="854"/>
      <c r="B48" s="394" t="s">
        <v>22</v>
      </c>
      <c r="C48" s="873">
        <v>0.14000000000000001</v>
      </c>
      <c r="D48" s="879" t="s">
        <v>16</v>
      </c>
      <c r="E48" s="875">
        <f>C48*(1+0.3)</f>
        <v>0.18200000000000002</v>
      </c>
      <c r="F48" s="854"/>
    </row>
    <row r="49" spans="1:9" hidden="1" outlineLevel="1" x14ac:dyDescent="0.25">
      <c r="A49" s="854"/>
      <c r="B49" s="394" t="s">
        <v>23</v>
      </c>
      <c r="C49" s="873">
        <v>0.15</v>
      </c>
      <c r="D49" s="879" t="s">
        <v>16</v>
      </c>
      <c r="E49" s="875">
        <f>C49*(1+0.3)</f>
        <v>0.19500000000000001</v>
      </c>
      <c r="F49" s="854"/>
    </row>
    <row r="50" spans="1:9" ht="25.5" hidden="1" outlineLevel="1" x14ac:dyDescent="0.25">
      <c r="A50" s="854"/>
      <c r="B50" s="394" t="s">
        <v>36</v>
      </c>
      <c r="C50" s="873"/>
      <c r="D50" s="879"/>
      <c r="E50" s="875">
        <f>C50*(1+0.3)</f>
        <v>0</v>
      </c>
      <c r="F50" s="870"/>
      <c r="G50" s="6"/>
      <c r="H50" s="6"/>
    </row>
    <row r="51" spans="1:9" hidden="1" outlineLevel="1" x14ac:dyDescent="0.25">
      <c r="A51" s="854"/>
      <c r="B51" s="877" t="s">
        <v>37</v>
      </c>
      <c r="C51" s="873">
        <v>7.0000000000000007E-2</v>
      </c>
      <c r="D51" s="879" t="s">
        <v>16</v>
      </c>
      <c r="E51" s="875">
        <f>C51*(1+0.3)</f>
        <v>9.1000000000000011E-2</v>
      </c>
      <c r="F51" s="870"/>
      <c r="G51" s="6"/>
      <c r="H51" s="6"/>
    </row>
    <row r="52" spans="1:9" hidden="1" outlineLevel="1" x14ac:dyDescent="0.25">
      <c r="A52" s="854"/>
      <c r="B52" s="877" t="s">
        <v>38</v>
      </c>
      <c r="C52" s="873">
        <v>0.04</v>
      </c>
      <c r="D52" s="879" t="s">
        <v>16</v>
      </c>
      <c r="E52" s="875">
        <f t="shared" ref="E52:E57" si="0">C52*(1+0.3)</f>
        <v>5.2000000000000005E-2</v>
      </c>
      <c r="F52" s="870"/>
      <c r="G52" s="6"/>
      <c r="H52" s="6"/>
    </row>
    <row r="53" spans="1:9" hidden="1" outlineLevel="1" x14ac:dyDescent="0.25">
      <c r="A53" s="854"/>
      <c r="B53" s="877" t="s">
        <v>39</v>
      </c>
      <c r="C53" s="873">
        <v>0.04</v>
      </c>
      <c r="D53" s="879" t="s">
        <v>16</v>
      </c>
      <c r="E53" s="875">
        <f t="shared" si="0"/>
        <v>5.2000000000000005E-2</v>
      </c>
      <c r="F53" s="882"/>
      <c r="G53" s="7"/>
      <c r="H53" s="7"/>
      <c r="I53" s="8"/>
    </row>
    <row r="54" spans="1:9" hidden="1" outlineLevel="1" x14ac:dyDescent="0.25">
      <c r="A54" s="854"/>
      <c r="B54" s="877" t="s">
        <v>40</v>
      </c>
      <c r="C54" s="873">
        <v>0.12</v>
      </c>
      <c r="D54" s="879" t="s">
        <v>16</v>
      </c>
      <c r="E54" s="875">
        <f t="shared" si="0"/>
        <v>0.156</v>
      </c>
      <c r="F54" s="870"/>
      <c r="G54" s="6"/>
      <c r="H54" s="6"/>
    </row>
    <row r="55" spans="1:9" hidden="1" outlineLevel="1" x14ac:dyDescent="0.25">
      <c r="A55" s="854"/>
      <c r="B55" s="877" t="s">
        <v>41</v>
      </c>
      <c r="C55" s="873">
        <v>0.03</v>
      </c>
      <c r="D55" s="879" t="s">
        <v>16</v>
      </c>
      <c r="E55" s="875">
        <f t="shared" si="0"/>
        <v>3.9E-2</v>
      </c>
      <c r="F55" s="854"/>
    </row>
    <row r="56" spans="1:9" hidden="1" outlineLevel="1" x14ac:dyDescent="0.25">
      <c r="A56" s="854"/>
      <c r="B56" s="877" t="s">
        <v>42</v>
      </c>
      <c r="C56" s="873">
        <v>0.02</v>
      </c>
      <c r="D56" s="879" t="s">
        <v>16</v>
      </c>
      <c r="E56" s="875">
        <f t="shared" si="0"/>
        <v>2.6000000000000002E-2</v>
      </c>
      <c r="F56" s="854"/>
    </row>
    <row r="57" spans="1:9" hidden="1" outlineLevel="1" x14ac:dyDescent="0.25">
      <c r="A57" s="854"/>
      <c r="B57" s="877" t="s">
        <v>43</v>
      </c>
      <c r="C57" s="873">
        <v>0.05</v>
      </c>
      <c r="D57" s="879" t="s">
        <v>16</v>
      </c>
      <c r="E57" s="875">
        <f t="shared" si="0"/>
        <v>6.5000000000000002E-2</v>
      </c>
      <c r="F57" s="854"/>
    </row>
    <row r="58" spans="1:9" hidden="1" outlineLevel="1" x14ac:dyDescent="0.25">
      <c r="A58" s="854"/>
      <c r="B58" s="394" t="s">
        <v>30</v>
      </c>
      <c r="C58" s="873">
        <v>0.06</v>
      </c>
      <c r="D58" s="879">
        <v>1</v>
      </c>
      <c r="E58" s="875">
        <f>C58*D58</f>
        <v>0.06</v>
      </c>
      <c r="F58" s="870"/>
      <c r="G58" s="6"/>
      <c r="H58" s="6"/>
    </row>
    <row r="59" spans="1:9" hidden="1" outlineLevel="1" x14ac:dyDescent="0.25">
      <c r="A59" s="854"/>
      <c r="B59" s="394" t="s">
        <v>44</v>
      </c>
      <c r="C59" s="873">
        <v>7.0000000000000007E-2</v>
      </c>
      <c r="D59" s="879">
        <v>1</v>
      </c>
      <c r="E59" s="875">
        <f>C59*D59</f>
        <v>7.0000000000000007E-2</v>
      </c>
      <c r="F59" s="882"/>
      <c r="G59" s="7"/>
      <c r="H59" s="7"/>
      <c r="I59" s="8"/>
    </row>
    <row r="60" spans="1:9" hidden="1" outlineLevel="1" x14ac:dyDescent="0.25">
      <c r="A60" s="854"/>
      <c r="B60" s="394" t="s">
        <v>32</v>
      </c>
      <c r="C60" s="873">
        <v>0.06</v>
      </c>
      <c r="D60" s="879">
        <v>1</v>
      </c>
      <c r="E60" s="875">
        <f>C60*D60</f>
        <v>0.06</v>
      </c>
      <c r="F60" s="870"/>
      <c r="G60" s="6"/>
      <c r="H60" s="6"/>
    </row>
    <row r="61" spans="1:9" hidden="1" outlineLevel="1" x14ac:dyDescent="0.25">
      <c r="A61" s="854"/>
      <c r="B61" s="394" t="s">
        <v>45</v>
      </c>
      <c r="C61" s="873">
        <v>0.02</v>
      </c>
      <c r="D61" s="879">
        <v>1</v>
      </c>
      <c r="E61" s="875">
        <f>C61*D61</f>
        <v>0.02</v>
      </c>
      <c r="F61" s="854"/>
    </row>
    <row r="62" spans="1:9" hidden="1" outlineLevel="1" x14ac:dyDescent="0.25">
      <c r="A62" s="854"/>
      <c r="B62" s="854" t="s">
        <v>13</v>
      </c>
      <c r="C62" s="873">
        <v>7.0000000000000007E-2</v>
      </c>
      <c r="D62" s="854"/>
      <c r="E62" s="881">
        <f>SUM(E46:E61)*C62</f>
        <v>7.896000000000003E-2</v>
      </c>
      <c r="F62" s="882"/>
      <c r="G62" s="7"/>
      <c r="H62" s="7"/>
      <c r="I62" s="8"/>
    </row>
    <row r="63" spans="1:9" s="19" customFormat="1" ht="15.75" collapsed="1" x14ac:dyDescent="0.25">
      <c r="A63" s="862"/>
      <c r="B63" s="862" t="s">
        <v>48</v>
      </c>
      <c r="C63" s="862"/>
      <c r="D63" s="862"/>
      <c r="E63" s="862"/>
      <c r="F63" s="862"/>
    </row>
    <row r="64" spans="1:9" s="19" customFormat="1" ht="15.75" x14ac:dyDescent="0.25">
      <c r="A64" s="862"/>
      <c r="B64" s="862" t="s">
        <v>49</v>
      </c>
      <c r="C64" s="862">
        <v>5.32</v>
      </c>
      <c r="D64" s="880"/>
      <c r="E64" s="862"/>
      <c r="F64" s="862"/>
    </row>
    <row r="65" spans="1:11" collapsed="1" x14ac:dyDescent="0.25">
      <c r="A65" s="854"/>
      <c r="B65" s="861" t="s">
        <v>73</v>
      </c>
      <c r="C65" s="862">
        <f>D5</f>
        <v>450</v>
      </c>
      <c r="D65" s="862" t="s">
        <v>746</v>
      </c>
      <c r="E65" s="854"/>
      <c r="F65" s="854"/>
    </row>
    <row r="66" spans="1:11" s="2" customFormat="1" ht="114.75" x14ac:dyDescent="0.25">
      <c r="A66" s="854"/>
      <c r="B66" s="854" t="s">
        <v>1087</v>
      </c>
      <c r="C66" s="863" t="s">
        <v>1085</v>
      </c>
      <c r="D66" s="394" t="s">
        <v>1086</v>
      </c>
      <c r="E66" s="854"/>
      <c r="F66" s="855">
        <f>(25.79+0.063*450)*1*D67*D68*D69*D70*C89*1000</f>
        <v>278770.65318375005</v>
      </c>
      <c r="I66"/>
      <c r="J66"/>
      <c r="K66"/>
    </row>
    <row r="67" spans="1:11" s="3" customFormat="1" x14ac:dyDescent="0.25">
      <c r="A67" s="866"/>
      <c r="B67" s="865" t="s">
        <v>4</v>
      </c>
      <c r="C67" s="865" t="s">
        <v>852</v>
      </c>
      <c r="D67" s="866">
        <v>0.5</v>
      </c>
      <c r="E67" s="866"/>
      <c r="F67" s="866"/>
      <c r="I67"/>
      <c r="J67"/>
      <c r="K67"/>
    </row>
    <row r="68" spans="1:11" ht="63.75" x14ac:dyDescent="0.25">
      <c r="A68" s="854"/>
      <c r="B68" s="394" t="s">
        <v>276</v>
      </c>
      <c r="C68" s="394" t="s">
        <v>329</v>
      </c>
      <c r="D68" s="867">
        <v>1.3</v>
      </c>
      <c r="E68" s="854"/>
      <c r="F68" s="854"/>
    </row>
    <row r="69" spans="1:11" ht="63.75" x14ac:dyDescent="0.25">
      <c r="A69" s="854"/>
      <c r="B69" s="394" t="s">
        <v>278</v>
      </c>
      <c r="C69" s="394" t="s">
        <v>328</v>
      </c>
      <c r="D69" s="868">
        <v>1.25</v>
      </c>
      <c r="E69" s="854"/>
      <c r="F69" s="854"/>
    </row>
    <row r="70" spans="1:11" ht="89.25" x14ac:dyDescent="0.25">
      <c r="A70" s="854"/>
      <c r="B70" s="394" t="s">
        <v>15</v>
      </c>
      <c r="C70" s="394" t="s">
        <v>275</v>
      </c>
      <c r="D70" s="854">
        <f>E71/1</f>
        <v>1.191225</v>
      </c>
      <c r="E70" s="854"/>
      <c r="F70" s="854"/>
    </row>
    <row r="71" spans="1:11" x14ac:dyDescent="0.25">
      <c r="A71" s="854"/>
      <c r="B71" s="390" t="s">
        <v>6</v>
      </c>
      <c r="C71" s="869">
        <f>SUM(C72:C87)</f>
        <v>1</v>
      </c>
      <c r="D71" s="870"/>
      <c r="E71" s="871">
        <f>SUM(E72:E87)</f>
        <v>1.191225</v>
      </c>
      <c r="F71" s="872"/>
      <c r="G71" s="9"/>
      <c r="H71" s="9"/>
    </row>
    <row r="72" spans="1:11" hidden="1" outlineLevel="1" x14ac:dyDescent="0.25">
      <c r="A72" s="854"/>
      <c r="B72" s="394" t="s">
        <v>20</v>
      </c>
      <c r="C72" s="873">
        <v>0.02</v>
      </c>
      <c r="D72" s="874">
        <v>1</v>
      </c>
      <c r="E72" s="875">
        <f>C72*D72</f>
        <v>0.02</v>
      </c>
      <c r="F72" s="854"/>
    </row>
    <row r="73" spans="1:11" hidden="1" outlineLevel="1" x14ac:dyDescent="0.25">
      <c r="A73" s="854"/>
      <c r="B73" s="394" t="s">
        <v>265</v>
      </c>
      <c r="C73" s="873">
        <v>0.02</v>
      </c>
      <c r="D73" s="874" t="s">
        <v>16</v>
      </c>
      <c r="E73" s="875">
        <f>C73*(1+0.3)</f>
        <v>2.6000000000000002E-2</v>
      </c>
      <c r="F73" s="854"/>
    </row>
    <row r="74" spans="1:11" ht="38.25" hidden="1" outlineLevel="1" x14ac:dyDescent="0.25">
      <c r="A74" s="854"/>
      <c r="B74" s="394" t="s">
        <v>266</v>
      </c>
      <c r="C74" s="873"/>
      <c r="D74" s="876">
        <v>1</v>
      </c>
      <c r="E74" s="873">
        <f>C74*D74</f>
        <v>0</v>
      </c>
      <c r="F74" s="854"/>
    </row>
    <row r="75" spans="1:11" hidden="1" outlineLevel="1" x14ac:dyDescent="0.25">
      <c r="A75" s="854"/>
      <c r="B75" s="877" t="s">
        <v>43</v>
      </c>
      <c r="C75" s="878">
        <v>0.245</v>
      </c>
      <c r="D75" s="874" t="s">
        <v>16</v>
      </c>
      <c r="E75" s="875">
        <f>C75*(1+0.3)</f>
        <v>0.31850000000000001</v>
      </c>
      <c r="F75" s="854"/>
    </row>
    <row r="76" spans="1:11" hidden="1" outlineLevel="1" x14ac:dyDescent="0.25">
      <c r="A76" s="854"/>
      <c r="B76" s="877" t="s">
        <v>267</v>
      </c>
      <c r="C76" s="878">
        <v>0.27500000000000002</v>
      </c>
      <c r="D76" s="874" t="s">
        <v>16</v>
      </c>
      <c r="E76" s="875">
        <f>C76*(1+0.3)</f>
        <v>0.35750000000000004</v>
      </c>
      <c r="F76" s="854"/>
    </row>
    <row r="77" spans="1:11" hidden="1" outlineLevel="1" x14ac:dyDescent="0.25">
      <c r="A77" s="854"/>
      <c r="B77" s="877" t="s">
        <v>268</v>
      </c>
      <c r="C77" s="878">
        <v>1.4999999999999999E-2</v>
      </c>
      <c r="D77" s="874" t="s">
        <v>16</v>
      </c>
      <c r="E77" s="875">
        <f>C77*(1+0.3)</f>
        <v>1.95E-2</v>
      </c>
      <c r="F77" s="854"/>
    </row>
    <row r="78" spans="1:11" hidden="1" outlineLevel="1" x14ac:dyDescent="0.25">
      <c r="A78" s="854"/>
      <c r="B78" s="877" t="s">
        <v>269</v>
      </c>
      <c r="C78" s="878">
        <v>2.5000000000000001E-2</v>
      </c>
      <c r="D78" s="879">
        <v>1</v>
      </c>
      <c r="E78" s="878">
        <f>C78*D78</f>
        <v>2.5000000000000001E-2</v>
      </c>
      <c r="F78" s="854"/>
    </row>
    <row r="79" spans="1:11" hidden="1" outlineLevel="1" x14ac:dyDescent="0.25">
      <c r="A79" s="854"/>
      <c r="B79" s="877" t="s">
        <v>37</v>
      </c>
      <c r="C79" s="878">
        <v>0.1</v>
      </c>
      <c r="D79" s="876">
        <v>1</v>
      </c>
      <c r="E79" s="878">
        <f>C79*D79</f>
        <v>0.1</v>
      </c>
      <c r="F79" s="854"/>
    </row>
    <row r="80" spans="1:11" hidden="1" outlineLevel="1" x14ac:dyDescent="0.25">
      <c r="A80" s="854"/>
      <c r="B80" s="877" t="s">
        <v>270</v>
      </c>
      <c r="C80" s="878">
        <v>2.5000000000000001E-2</v>
      </c>
      <c r="D80" s="879">
        <v>1</v>
      </c>
      <c r="E80" s="878">
        <f>C80*D80</f>
        <v>2.5000000000000001E-2</v>
      </c>
      <c r="F80" s="854"/>
    </row>
    <row r="81" spans="1:11" hidden="1" outlineLevel="1" x14ac:dyDescent="0.25">
      <c r="A81" s="854"/>
      <c r="B81" s="877" t="s">
        <v>271</v>
      </c>
      <c r="C81" s="878">
        <v>1.4999999999999999E-2</v>
      </c>
      <c r="D81" s="879">
        <v>1</v>
      </c>
      <c r="E81" s="878">
        <f>C81*D81</f>
        <v>1.4999999999999999E-2</v>
      </c>
      <c r="F81" s="854"/>
    </row>
    <row r="82" spans="1:11" ht="25.5" hidden="1" outlineLevel="1" x14ac:dyDescent="0.25">
      <c r="A82" s="854"/>
      <c r="B82" s="394" t="s">
        <v>272</v>
      </c>
      <c r="C82" s="878">
        <v>0.06</v>
      </c>
      <c r="D82" s="874" t="s">
        <v>16</v>
      </c>
      <c r="E82" s="878">
        <f>C82*(1+0.3)</f>
        <v>7.8E-2</v>
      </c>
      <c r="F82" s="854"/>
    </row>
    <row r="83" spans="1:11" hidden="1" outlineLevel="1" x14ac:dyDescent="0.25">
      <c r="A83" s="854"/>
      <c r="B83" s="394" t="s">
        <v>30</v>
      </c>
      <c r="C83" s="878">
        <v>0.02</v>
      </c>
      <c r="D83" s="879">
        <v>1</v>
      </c>
      <c r="E83" s="878">
        <f>C83*D83</f>
        <v>0.02</v>
      </c>
      <c r="F83" s="854"/>
    </row>
    <row r="84" spans="1:11" hidden="1" outlineLevel="1" x14ac:dyDescent="0.25">
      <c r="A84" s="854"/>
      <c r="B84" s="394" t="s">
        <v>273</v>
      </c>
      <c r="C84" s="878">
        <v>0.01</v>
      </c>
      <c r="D84" s="876">
        <v>1</v>
      </c>
      <c r="E84" s="878">
        <f>C84*D84</f>
        <v>0.01</v>
      </c>
      <c r="F84" s="854"/>
    </row>
    <row r="85" spans="1:11" hidden="1" outlineLevel="1" x14ac:dyDescent="0.25">
      <c r="A85" s="854"/>
      <c r="B85" s="394" t="s">
        <v>274</v>
      </c>
      <c r="C85" s="878">
        <v>0.09</v>
      </c>
      <c r="D85" s="879">
        <v>1</v>
      </c>
      <c r="E85" s="878">
        <f>C85*D85</f>
        <v>0.09</v>
      </c>
      <c r="F85" s="854"/>
    </row>
    <row r="86" spans="1:11" hidden="1" outlineLevel="1" x14ac:dyDescent="0.25">
      <c r="A86" s="854"/>
      <c r="B86" s="394" t="s">
        <v>32</v>
      </c>
      <c r="C86" s="878">
        <v>0.03</v>
      </c>
      <c r="D86" s="879">
        <v>1</v>
      </c>
      <c r="E86" s="878">
        <f>C86*D86</f>
        <v>0.03</v>
      </c>
      <c r="F86" s="854"/>
    </row>
    <row r="87" spans="1:11" hidden="1" outlineLevel="1" x14ac:dyDescent="0.25">
      <c r="A87" s="854"/>
      <c r="B87" s="394" t="s">
        <v>212</v>
      </c>
      <c r="C87" s="878">
        <v>0.05</v>
      </c>
      <c r="D87" s="876"/>
      <c r="E87" s="875">
        <f>SUM(E72:E86)*C87</f>
        <v>5.6725000000000005E-2</v>
      </c>
      <c r="F87" s="854"/>
    </row>
    <row r="88" spans="1:11" s="19" customFormat="1" ht="15.75" collapsed="1" x14ac:dyDescent="0.25">
      <c r="A88" s="862"/>
      <c r="B88" s="862" t="s">
        <v>48</v>
      </c>
      <c r="C88" s="862"/>
      <c r="D88" s="862"/>
      <c r="E88" s="862"/>
      <c r="F88" s="862"/>
    </row>
    <row r="89" spans="1:11" s="19" customFormat="1" ht="15.75" x14ac:dyDescent="0.25">
      <c r="A89" s="862"/>
      <c r="B89" s="862" t="s">
        <v>49</v>
      </c>
      <c r="C89" s="862">
        <v>5.32</v>
      </c>
      <c r="D89" s="880"/>
      <c r="E89" s="862"/>
      <c r="F89" s="862"/>
    </row>
    <row r="90" spans="1:11" x14ac:dyDescent="0.25">
      <c r="A90" s="854"/>
      <c r="B90" s="861" t="s">
        <v>127</v>
      </c>
      <c r="C90" s="862">
        <f>D6</f>
        <v>1</v>
      </c>
      <c r="D90" s="862" t="s">
        <v>0</v>
      </c>
      <c r="E90" s="854"/>
      <c r="F90" s="854"/>
    </row>
    <row r="91" spans="1:11" s="2" customFormat="1" ht="114.75" x14ac:dyDescent="0.25">
      <c r="A91" s="854"/>
      <c r="B91" s="394" t="s">
        <v>535</v>
      </c>
      <c r="C91" s="394" t="s">
        <v>1078</v>
      </c>
      <c r="D91" s="864" t="s">
        <v>1074</v>
      </c>
      <c r="E91" s="854"/>
      <c r="F91" s="855">
        <f>(21.43+2.55*C90)*D92*D93*D94*C105*1000</f>
        <v>61551.404351360012</v>
      </c>
      <c r="I91"/>
      <c r="J91"/>
      <c r="K91"/>
    </row>
    <row r="92" spans="1:11" s="3" customFormat="1" x14ac:dyDescent="0.25">
      <c r="A92" s="866"/>
      <c r="B92" s="865" t="s">
        <v>4</v>
      </c>
      <c r="C92" s="865" t="s">
        <v>5</v>
      </c>
      <c r="D92" s="866">
        <v>0.4</v>
      </c>
      <c r="E92" s="866"/>
      <c r="F92" s="866"/>
      <c r="I92"/>
      <c r="J92"/>
      <c r="K92"/>
    </row>
    <row r="93" spans="1:11" ht="38.25" x14ac:dyDescent="0.25">
      <c r="A93" s="854"/>
      <c r="B93" s="394" t="s">
        <v>17</v>
      </c>
      <c r="C93" s="854" t="s">
        <v>18</v>
      </c>
      <c r="D93" s="867">
        <v>1.1000000000000001</v>
      </c>
      <c r="E93" s="854"/>
      <c r="F93" s="854"/>
    </row>
    <row r="94" spans="1:11" ht="89.25" x14ac:dyDescent="0.25">
      <c r="A94" s="854"/>
      <c r="B94" s="394" t="s">
        <v>15</v>
      </c>
      <c r="C94" s="394" t="s">
        <v>1072</v>
      </c>
      <c r="D94" s="854">
        <f>E95/1</f>
        <v>1.0965400000000001</v>
      </c>
      <c r="E94" s="854"/>
      <c r="F94" s="854"/>
    </row>
    <row r="95" spans="1:11" x14ac:dyDescent="0.25">
      <c r="A95" s="854"/>
      <c r="B95" s="390" t="s">
        <v>6</v>
      </c>
      <c r="C95" s="869">
        <f>SUM(C96:C103)</f>
        <v>1.0000000000000002</v>
      </c>
      <c r="D95" s="870"/>
      <c r="E95" s="871">
        <f>SUM(E96:E103)</f>
        <v>1.0965400000000001</v>
      </c>
      <c r="F95" s="872"/>
      <c r="G95" s="9"/>
      <c r="H95" s="9"/>
    </row>
    <row r="96" spans="1:11" hidden="1" outlineLevel="1" x14ac:dyDescent="0.25">
      <c r="A96" s="854"/>
      <c r="B96" s="854" t="s">
        <v>7</v>
      </c>
      <c r="C96" s="873">
        <v>0.23</v>
      </c>
      <c r="D96" s="879">
        <v>1</v>
      </c>
      <c r="E96" s="875">
        <f>C96*1</f>
        <v>0.23</v>
      </c>
      <c r="F96" s="870"/>
      <c r="G96" s="6"/>
      <c r="H96" s="6"/>
    </row>
    <row r="97" spans="1:16" hidden="1" outlineLevel="1" x14ac:dyDescent="0.25">
      <c r="A97" s="854"/>
      <c r="B97" s="854" t="s">
        <v>14</v>
      </c>
      <c r="C97" s="873">
        <v>0.09</v>
      </c>
      <c r="D97" s="854">
        <v>1</v>
      </c>
      <c r="E97" s="875">
        <f>C97*D97</f>
        <v>0.09</v>
      </c>
      <c r="F97" s="854"/>
    </row>
    <row r="98" spans="1:16" hidden="1" outlineLevel="1" x14ac:dyDescent="0.25">
      <c r="A98" s="854"/>
      <c r="B98" s="854" t="s">
        <v>8</v>
      </c>
      <c r="C98" s="873">
        <v>0.13</v>
      </c>
      <c r="D98" s="876">
        <v>1</v>
      </c>
      <c r="E98" s="875">
        <f>C98*D98</f>
        <v>0.13</v>
      </c>
      <c r="F98" s="854"/>
    </row>
    <row r="99" spans="1:16" hidden="1" outlineLevel="1" x14ac:dyDescent="0.25">
      <c r="A99" s="854"/>
      <c r="B99" s="854" t="s">
        <v>9</v>
      </c>
      <c r="C99" s="873">
        <v>0.14000000000000001</v>
      </c>
      <c r="D99" s="876">
        <v>1</v>
      </c>
      <c r="E99" s="875">
        <f>C99*D99</f>
        <v>0.14000000000000001</v>
      </c>
      <c r="F99" s="854"/>
    </row>
    <row r="100" spans="1:16" hidden="1" outlineLevel="1" x14ac:dyDescent="0.25">
      <c r="A100" s="854"/>
      <c r="B100" s="854" t="s">
        <v>10</v>
      </c>
      <c r="C100" s="873">
        <v>0.16</v>
      </c>
      <c r="D100" s="879" t="s">
        <v>16</v>
      </c>
      <c r="E100" s="875">
        <f>C100*(1+0.3)</f>
        <v>0.20800000000000002</v>
      </c>
      <c r="F100" s="870"/>
      <c r="G100" s="6"/>
      <c r="H100" s="6"/>
    </row>
    <row r="101" spans="1:16" hidden="1" outlineLevel="1" x14ac:dyDescent="0.25">
      <c r="A101" s="854"/>
      <c r="B101" s="854" t="s">
        <v>11</v>
      </c>
      <c r="C101" s="873">
        <v>0.09</v>
      </c>
      <c r="D101" s="879" t="s">
        <v>16</v>
      </c>
      <c r="E101" s="875">
        <f>C101*(1+0.3)</f>
        <v>0.11699999999999999</v>
      </c>
      <c r="F101" s="870"/>
      <c r="G101" s="6"/>
      <c r="H101" s="6"/>
    </row>
    <row r="102" spans="1:16" hidden="1" outlineLevel="1" x14ac:dyDescent="0.25">
      <c r="A102" s="854"/>
      <c r="B102" s="854" t="s">
        <v>12</v>
      </c>
      <c r="C102" s="873">
        <v>7.0000000000000007E-2</v>
      </c>
      <c r="D102" s="879" t="s">
        <v>16</v>
      </c>
      <c r="E102" s="875">
        <f>C102*(1+0.3)</f>
        <v>9.1000000000000011E-2</v>
      </c>
      <c r="F102" s="870"/>
      <c r="G102" s="6"/>
      <c r="H102" s="6"/>
    </row>
    <row r="103" spans="1:16" hidden="1" outlineLevel="1" x14ac:dyDescent="0.25">
      <c r="A103" s="854"/>
      <c r="B103" s="854" t="s">
        <v>13</v>
      </c>
      <c r="C103" s="873">
        <v>0.09</v>
      </c>
      <c r="D103" s="854"/>
      <c r="E103" s="881">
        <f>SUM(E96:E102)*C103</f>
        <v>9.0539999999999995E-2</v>
      </c>
      <c r="F103" s="882"/>
      <c r="G103" s="7"/>
      <c r="H103" s="7"/>
      <c r="I103" s="8"/>
    </row>
    <row r="104" spans="1:16" s="19" customFormat="1" ht="15.75" collapsed="1" x14ac:dyDescent="0.25">
      <c r="A104" s="862"/>
      <c r="B104" s="862" t="s">
        <v>48</v>
      </c>
      <c r="C104" s="862"/>
      <c r="D104" s="862"/>
      <c r="E104" s="862"/>
      <c r="F104" s="862"/>
    </row>
    <row r="105" spans="1:16" s="19" customFormat="1" ht="15.75" x14ac:dyDescent="0.25">
      <c r="A105" s="862"/>
      <c r="B105" s="862" t="s">
        <v>49</v>
      </c>
      <c r="C105" s="862">
        <v>5.32</v>
      </c>
      <c r="D105" s="880"/>
      <c r="E105" s="862"/>
      <c r="F105" s="862"/>
    </row>
    <row r="106" spans="1:16" s="10" customFormat="1" x14ac:dyDescent="0.25">
      <c r="A106" s="861"/>
      <c r="B106" s="861" t="s">
        <v>71</v>
      </c>
      <c r="C106" s="914"/>
      <c r="D106" s="861">
        <f>D8+D9</f>
        <v>9</v>
      </c>
      <c r="E106" s="883" t="s">
        <v>211</v>
      </c>
      <c r="F106" s="884"/>
      <c r="G106" s="15"/>
      <c r="H106" s="15"/>
      <c r="I106" s="16"/>
    </row>
    <row r="107" spans="1:16" s="2" customFormat="1" ht="63.75" x14ac:dyDescent="0.25">
      <c r="A107" s="854"/>
      <c r="B107" s="394" t="s">
        <v>913</v>
      </c>
      <c r="C107" s="394" t="s">
        <v>906</v>
      </c>
      <c r="D107" s="394" t="s">
        <v>819</v>
      </c>
      <c r="E107" s="854"/>
      <c r="F107" s="855">
        <f>19.082*D108*D109*D110*C130*1000</f>
        <v>122004.65362176007</v>
      </c>
      <c r="I107"/>
      <c r="J107"/>
      <c r="K107"/>
      <c r="O107" s="17"/>
      <c r="P107" s="17"/>
    </row>
    <row r="108" spans="1:16" s="3" customFormat="1" x14ac:dyDescent="0.25">
      <c r="A108" s="866"/>
      <c r="B108" s="865" t="s">
        <v>4</v>
      </c>
      <c r="C108" s="865" t="s">
        <v>5</v>
      </c>
      <c r="D108" s="866">
        <v>0.4</v>
      </c>
      <c r="E108" s="866"/>
      <c r="F108" s="866"/>
      <c r="I108"/>
      <c r="J108"/>
      <c r="K108"/>
    </row>
    <row r="109" spans="1:16" s="3" customFormat="1" ht="89.25" x14ac:dyDescent="0.25">
      <c r="A109" s="866"/>
      <c r="B109" s="394" t="s">
        <v>46</v>
      </c>
      <c r="C109" s="865" t="s">
        <v>912</v>
      </c>
      <c r="D109" s="866">
        <f>1+(D106-1)*0.2</f>
        <v>2.6</v>
      </c>
      <c r="E109" s="866"/>
      <c r="F109" s="866"/>
      <c r="I109"/>
      <c r="J109"/>
      <c r="K109"/>
    </row>
    <row r="110" spans="1:16" s="2" customFormat="1" ht="89.25" x14ac:dyDescent="0.25">
      <c r="A110" s="854"/>
      <c r="B110" s="394" t="s">
        <v>15</v>
      </c>
      <c r="C110" s="394" t="s">
        <v>209</v>
      </c>
      <c r="D110" s="854">
        <f>E111/1</f>
        <v>1.1556000000000004</v>
      </c>
      <c r="E110" s="854"/>
      <c r="F110" s="854"/>
    </row>
    <row r="111" spans="1:16" x14ac:dyDescent="0.25">
      <c r="A111" s="854"/>
      <c r="B111" s="390" t="s">
        <v>6</v>
      </c>
      <c r="C111" s="869">
        <f>SUM(C112:C128)</f>
        <v>1.0000000000000002</v>
      </c>
      <c r="D111" s="870"/>
      <c r="E111" s="871">
        <f>SUM(E112:E128)</f>
        <v>1.1556000000000004</v>
      </c>
      <c r="F111" s="872"/>
      <c r="G111" s="9"/>
      <c r="H111" s="9"/>
    </row>
    <row r="112" spans="1:16" hidden="1" outlineLevel="1" x14ac:dyDescent="0.25">
      <c r="A112" s="854"/>
      <c r="B112" s="394" t="s">
        <v>20</v>
      </c>
      <c r="C112" s="873">
        <v>0.02</v>
      </c>
      <c r="D112" s="879">
        <v>1</v>
      </c>
      <c r="E112" s="875">
        <f>C112*D112</f>
        <v>0.02</v>
      </c>
      <c r="F112" s="870"/>
      <c r="G112" s="6"/>
      <c r="H112" s="6"/>
    </row>
    <row r="113" spans="1:9" hidden="1" outlineLevel="1" x14ac:dyDescent="0.25">
      <c r="A113" s="854"/>
      <c r="B113" s="394" t="s">
        <v>21</v>
      </c>
      <c r="C113" s="873">
        <v>0.04</v>
      </c>
      <c r="D113" s="854">
        <v>1</v>
      </c>
      <c r="E113" s="875">
        <f>C113*D113</f>
        <v>0.04</v>
      </c>
      <c r="F113" s="854"/>
    </row>
    <row r="114" spans="1:9" hidden="1" outlineLevel="1" x14ac:dyDescent="0.25">
      <c r="A114" s="854"/>
      <c r="B114" s="394" t="s">
        <v>22</v>
      </c>
      <c r="C114" s="873">
        <v>0.14000000000000001</v>
      </c>
      <c r="D114" s="879" t="s">
        <v>16</v>
      </c>
      <c r="E114" s="875">
        <f>C114*(1+0.3)</f>
        <v>0.18200000000000002</v>
      </c>
      <c r="F114" s="854"/>
    </row>
    <row r="115" spans="1:9" hidden="1" outlineLevel="1" x14ac:dyDescent="0.25">
      <c r="A115" s="854"/>
      <c r="B115" s="394" t="s">
        <v>23</v>
      </c>
      <c r="C115" s="873">
        <v>0.15</v>
      </c>
      <c r="D115" s="879" t="s">
        <v>16</v>
      </c>
      <c r="E115" s="875">
        <f>C115*(1+0.3)</f>
        <v>0.19500000000000001</v>
      </c>
      <c r="F115" s="854"/>
    </row>
    <row r="116" spans="1:9" ht="25.5" hidden="1" outlineLevel="1" x14ac:dyDescent="0.25">
      <c r="A116" s="854"/>
      <c r="B116" s="394" t="s">
        <v>36</v>
      </c>
      <c r="C116" s="873"/>
      <c r="D116" s="879"/>
      <c r="E116" s="875"/>
      <c r="F116" s="870"/>
      <c r="G116" s="6"/>
      <c r="H116" s="6"/>
    </row>
    <row r="117" spans="1:9" hidden="1" outlineLevel="1" x14ac:dyDescent="0.25">
      <c r="A117" s="854"/>
      <c r="B117" s="877" t="s">
        <v>37</v>
      </c>
      <c r="C117" s="873">
        <v>7.0000000000000007E-2</v>
      </c>
      <c r="D117" s="879">
        <v>1</v>
      </c>
      <c r="E117" s="875">
        <f>C117*D117</f>
        <v>7.0000000000000007E-2</v>
      </c>
      <c r="F117" s="870"/>
      <c r="G117" s="6"/>
      <c r="H117" s="6"/>
    </row>
    <row r="118" spans="1:9" hidden="1" outlineLevel="1" x14ac:dyDescent="0.25">
      <c r="A118" s="854"/>
      <c r="B118" s="877" t="s">
        <v>38</v>
      </c>
      <c r="C118" s="873">
        <v>0.04</v>
      </c>
      <c r="D118" s="879">
        <v>1</v>
      </c>
      <c r="E118" s="875">
        <f t="shared" ref="E118:E123" si="1">C118*D118</f>
        <v>0.04</v>
      </c>
      <c r="F118" s="870"/>
      <c r="G118" s="6"/>
      <c r="H118" s="6"/>
    </row>
    <row r="119" spans="1:9" hidden="1" outlineLevel="1" x14ac:dyDescent="0.25">
      <c r="A119" s="854"/>
      <c r="B119" s="877" t="s">
        <v>39</v>
      </c>
      <c r="C119" s="873">
        <v>0.04</v>
      </c>
      <c r="D119" s="879">
        <v>1</v>
      </c>
      <c r="E119" s="875">
        <f t="shared" si="1"/>
        <v>0.04</v>
      </c>
      <c r="F119" s="882"/>
      <c r="G119" s="7"/>
      <c r="H119" s="7"/>
      <c r="I119" s="8"/>
    </row>
    <row r="120" spans="1:9" hidden="1" outlineLevel="1" x14ac:dyDescent="0.25">
      <c r="A120" s="854"/>
      <c r="B120" s="877" t="s">
        <v>40</v>
      </c>
      <c r="C120" s="873">
        <v>0.12</v>
      </c>
      <c r="D120" s="879">
        <v>1</v>
      </c>
      <c r="E120" s="875">
        <f t="shared" si="1"/>
        <v>0.12</v>
      </c>
      <c r="F120" s="870"/>
      <c r="G120" s="6"/>
      <c r="H120" s="6"/>
    </row>
    <row r="121" spans="1:9" hidden="1" outlineLevel="1" x14ac:dyDescent="0.25">
      <c r="A121" s="854"/>
      <c r="B121" s="877" t="s">
        <v>41</v>
      </c>
      <c r="C121" s="873">
        <v>0.03</v>
      </c>
      <c r="D121" s="854">
        <v>1</v>
      </c>
      <c r="E121" s="875">
        <f t="shared" si="1"/>
        <v>0.03</v>
      </c>
      <c r="F121" s="854"/>
    </row>
    <row r="122" spans="1:9" hidden="1" outlineLevel="1" x14ac:dyDescent="0.25">
      <c r="A122" s="854"/>
      <c r="B122" s="877" t="s">
        <v>42</v>
      </c>
      <c r="C122" s="873">
        <v>0.02</v>
      </c>
      <c r="D122" s="876">
        <v>1</v>
      </c>
      <c r="E122" s="875">
        <f t="shared" si="1"/>
        <v>0.02</v>
      </c>
      <c r="F122" s="854"/>
    </row>
    <row r="123" spans="1:9" hidden="1" outlineLevel="1" x14ac:dyDescent="0.25">
      <c r="A123" s="854"/>
      <c r="B123" s="877" t="s">
        <v>43</v>
      </c>
      <c r="C123" s="873">
        <v>0.05</v>
      </c>
      <c r="D123" s="876">
        <v>1</v>
      </c>
      <c r="E123" s="875">
        <f t="shared" si="1"/>
        <v>0.05</v>
      </c>
      <c r="F123" s="854"/>
    </row>
    <row r="124" spans="1:9" hidden="1" outlineLevel="1" x14ac:dyDescent="0.25">
      <c r="A124" s="854"/>
      <c r="B124" s="394" t="s">
        <v>30</v>
      </c>
      <c r="C124" s="873">
        <v>0.06</v>
      </c>
      <c r="D124" s="879">
        <v>1</v>
      </c>
      <c r="E124" s="875">
        <f>C124*(1+0.3)</f>
        <v>7.8E-2</v>
      </c>
      <c r="F124" s="870"/>
      <c r="G124" s="6"/>
      <c r="H124" s="6"/>
    </row>
    <row r="125" spans="1:9" hidden="1" outlineLevel="1" x14ac:dyDescent="0.25">
      <c r="A125" s="854"/>
      <c r="B125" s="394" t="s">
        <v>44</v>
      </c>
      <c r="C125" s="873">
        <v>7.0000000000000007E-2</v>
      </c>
      <c r="D125" s="879">
        <v>1</v>
      </c>
      <c r="E125" s="875">
        <f>C125*(1+0.3)</f>
        <v>9.1000000000000011E-2</v>
      </c>
      <c r="F125" s="870"/>
      <c r="G125" s="6"/>
      <c r="H125" s="6"/>
    </row>
    <row r="126" spans="1:9" hidden="1" outlineLevel="1" x14ac:dyDescent="0.25">
      <c r="A126" s="854"/>
      <c r="B126" s="394" t="s">
        <v>32</v>
      </c>
      <c r="C126" s="873">
        <v>0.06</v>
      </c>
      <c r="D126" s="879">
        <v>1</v>
      </c>
      <c r="E126" s="875">
        <f>C126*(1+0.3)</f>
        <v>7.8E-2</v>
      </c>
      <c r="F126" s="870"/>
      <c r="G126" s="6"/>
      <c r="H126" s="6"/>
    </row>
    <row r="127" spans="1:9" hidden="1" outlineLevel="1" x14ac:dyDescent="0.25">
      <c r="A127" s="854"/>
      <c r="B127" s="394" t="s">
        <v>45</v>
      </c>
      <c r="C127" s="873">
        <v>0.02</v>
      </c>
      <c r="D127" s="879">
        <v>1</v>
      </c>
      <c r="E127" s="875">
        <f>C127*(1+0.3)</f>
        <v>2.6000000000000002E-2</v>
      </c>
      <c r="F127" s="870"/>
      <c r="G127" s="6"/>
      <c r="H127" s="6"/>
    </row>
    <row r="128" spans="1:9" hidden="1" outlineLevel="1" x14ac:dyDescent="0.25">
      <c r="A128" s="854"/>
      <c r="B128" s="394" t="s">
        <v>34</v>
      </c>
      <c r="C128" s="886">
        <v>7.0000000000000007E-2</v>
      </c>
      <c r="D128" s="854"/>
      <c r="E128" s="887">
        <f>SUM(E112:E127)*C128</f>
        <v>7.5600000000000028E-2</v>
      </c>
      <c r="F128" s="882"/>
      <c r="G128" s="7"/>
      <c r="H128" s="7"/>
      <c r="I128" s="8"/>
    </row>
    <row r="129" spans="1:18" s="19" customFormat="1" ht="15.75" collapsed="1" x14ac:dyDescent="0.25">
      <c r="A129" s="862"/>
      <c r="B129" s="862" t="s">
        <v>48</v>
      </c>
      <c r="C129" s="862"/>
      <c r="D129" s="862"/>
      <c r="E129" s="862"/>
      <c r="F129" s="862"/>
    </row>
    <row r="130" spans="1:18" s="19" customFormat="1" ht="15.75" x14ac:dyDescent="0.25">
      <c r="A130" s="862"/>
      <c r="B130" s="862" t="s">
        <v>49</v>
      </c>
      <c r="C130" s="862">
        <v>5.32</v>
      </c>
      <c r="D130" s="880"/>
      <c r="E130" s="862"/>
      <c r="F130" s="862"/>
    </row>
    <row r="131" spans="1:18" s="10" customFormat="1" x14ac:dyDescent="0.25">
      <c r="A131" s="861"/>
      <c r="B131" s="861" t="s">
        <v>53</v>
      </c>
      <c r="C131" s="861"/>
      <c r="D131" s="861">
        <v>15</v>
      </c>
      <c r="E131" s="861" t="s">
        <v>54</v>
      </c>
      <c r="F131" s="861"/>
    </row>
    <row r="132" spans="1:18" ht="140.25" x14ac:dyDescent="0.25">
      <c r="A132" s="854"/>
      <c r="B132" s="394" t="s">
        <v>340</v>
      </c>
      <c r="C132" s="394" t="s">
        <v>914</v>
      </c>
      <c r="D132" s="394" t="s">
        <v>875</v>
      </c>
      <c r="E132" s="854"/>
      <c r="F132" s="888">
        <f>21*D134*1*D133*C136*1000</f>
        <v>424536.00000000006</v>
      </c>
    </row>
    <row r="133" spans="1:18" s="3" customFormat="1" x14ac:dyDescent="0.25">
      <c r="A133" s="866"/>
      <c r="B133" s="865" t="s">
        <v>338</v>
      </c>
      <c r="C133" s="865" t="s">
        <v>337</v>
      </c>
      <c r="D133" s="866">
        <v>1</v>
      </c>
      <c r="E133" s="866"/>
      <c r="F133" s="866"/>
    </row>
    <row r="134" spans="1:18" s="3" customFormat="1" ht="89.25" x14ac:dyDescent="0.25">
      <c r="A134" s="866"/>
      <c r="B134" s="394" t="s">
        <v>46</v>
      </c>
      <c r="C134" s="865" t="s">
        <v>915</v>
      </c>
      <c r="D134" s="866">
        <f>1+(15-1)*0.2</f>
        <v>3.8000000000000003</v>
      </c>
      <c r="E134" s="866"/>
      <c r="F134" s="866"/>
      <c r="I134"/>
      <c r="J134"/>
      <c r="K134"/>
    </row>
    <row r="135" spans="1:18" x14ac:dyDescent="0.25">
      <c r="A135" s="854"/>
      <c r="B135" s="862" t="s">
        <v>48</v>
      </c>
      <c r="C135" s="862"/>
      <c r="D135" s="854"/>
      <c r="E135" s="854"/>
      <c r="F135" s="854"/>
    </row>
    <row r="136" spans="1:18" x14ac:dyDescent="0.25">
      <c r="A136" s="854"/>
      <c r="B136" s="862" t="s">
        <v>49</v>
      </c>
      <c r="C136" s="862">
        <v>5.32</v>
      </c>
      <c r="D136" s="854"/>
      <c r="E136" s="854"/>
      <c r="F136" s="854"/>
    </row>
    <row r="137" spans="1:18" s="11" customFormat="1" x14ac:dyDescent="0.25">
      <c r="A137" s="862"/>
      <c r="B137" s="861" t="s">
        <v>205</v>
      </c>
      <c r="C137" s="862"/>
      <c r="D137" s="862">
        <v>4</v>
      </c>
      <c r="E137" s="862" t="s">
        <v>19</v>
      </c>
      <c r="F137" s="862"/>
      <c r="I137" s="13"/>
    </row>
    <row r="138" spans="1:18" s="2" customFormat="1" ht="63.75" x14ac:dyDescent="0.25">
      <c r="A138" s="854"/>
      <c r="B138" s="854" t="s">
        <v>205</v>
      </c>
      <c r="C138" s="394" t="s">
        <v>237</v>
      </c>
      <c r="D138" s="394" t="s">
        <v>917</v>
      </c>
      <c r="E138" s="854"/>
      <c r="F138" s="855">
        <f>(33+5.5*1)*D139*D140*D141*C159*1000</f>
        <v>143144.60160000002</v>
      </c>
      <c r="I138"/>
      <c r="J138"/>
      <c r="K138"/>
      <c r="Q138" s="17"/>
      <c r="R138" s="17"/>
    </row>
    <row r="139" spans="1:18" s="3" customFormat="1" x14ac:dyDescent="0.25">
      <c r="A139" s="866"/>
      <c r="B139" s="865" t="s">
        <v>4</v>
      </c>
      <c r="C139" s="865" t="s">
        <v>5</v>
      </c>
      <c r="D139" s="866">
        <v>0.4</v>
      </c>
      <c r="E139" s="866"/>
      <c r="F139" s="866"/>
      <c r="I139"/>
      <c r="J139"/>
      <c r="K139"/>
    </row>
    <row r="140" spans="1:18" s="3" customFormat="1" ht="89.25" x14ac:dyDescent="0.25">
      <c r="A140" s="866"/>
      <c r="B140" s="394" t="s">
        <v>46</v>
      </c>
      <c r="C140" s="865" t="s">
        <v>916</v>
      </c>
      <c r="D140" s="866">
        <f>1+(D137-1)*0.2</f>
        <v>1.6</v>
      </c>
      <c r="E140" s="866"/>
      <c r="F140" s="866"/>
      <c r="I140"/>
      <c r="J140"/>
      <c r="K140"/>
    </row>
    <row r="141" spans="1:18" ht="89.25" x14ac:dyDescent="0.25">
      <c r="A141" s="854"/>
      <c r="B141" s="394" t="s">
        <v>15</v>
      </c>
      <c r="C141" s="394" t="s">
        <v>884</v>
      </c>
      <c r="D141" s="854">
        <f>E142/1</f>
        <v>1.0920000000000001</v>
      </c>
      <c r="E141" s="854"/>
      <c r="F141" s="854"/>
    </row>
    <row r="142" spans="1:18" x14ac:dyDescent="0.25">
      <c r="A142" s="854"/>
      <c r="B142" s="390" t="s">
        <v>6</v>
      </c>
      <c r="C142" s="869">
        <f>SUM(C143:C157)</f>
        <v>1</v>
      </c>
      <c r="D142" s="870"/>
      <c r="E142" s="889">
        <f>SUM(E143:E157)</f>
        <v>1.0920000000000001</v>
      </c>
      <c r="F142" s="875"/>
      <c r="G142" s="4"/>
      <c r="H142" s="4"/>
    </row>
    <row r="143" spans="1:18" hidden="1" outlineLevel="1" x14ac:dyDescent="0.25">
      <c r="A143" s="854"/>
      <c r="B143" s="394" t="s">
        <v>20</v>
      </c>
      <c r="C143" s="873">
        <v>0.01</v>
      </c>
      <c r="D143" s="854">
        <v>1</v>
      </c>
      <c r="E143" s="875">
        <f>C143*D143</f>
        <v>0.01</v>
      </c>
      <c r="F143" s="875"/>
      <c r="G143" s="4"/>
      <c r="H143" s="4"/>
    </row>
    <row r="144" spans="1:18" hidden="1" outlineLevel="1" x14ac:dyDescent="0.25">
      <c r="A144" s="854"/>
      <c r="B144" s="394" t="s">
        <v>21</v>
      </c>
      <c r="C144" s="873">
        <v>0.03</v>
      </c>
      <c r="D144" s="854">
        <v>1</v>
      </c>
      <c r="E144" s="875">
        <f>C144*D144</f>
        <v>0.03</v>
      </c>
      <c r="F144" s="875"/>
      <c r="G144" s="4"/>
      <c r="H144" s="4"/>
    </row>
    <row r="145" spans="1:9" hidden="1" outlineLevel="1" x14ac:dyDescent="0.25">
      <c r="A145" s="854"/>
      <c r="B145" s="394" t="s">
        <v>22</v>
      </c>
      <c r="C145" s="873">
        <v>0.09</v>
      </c>
      <c r="D145" s="879" t="s">
        <v>16</v>
      </c>
      <c r="E145" s="875">
        <f>C145*(1+0.3)</f>
        <v>0.11699999999999999</v>
      </c>
      <c r="F145" s="875"/>
      <c r="G145" s="4"/>
      <c r="H145" s="4"/>
    </row>
    <row r="146" spans="1:9" hidden="1" outlineLevel="1" x14ac:dyDescent="0.25">
      <c r="A146" s="854"/>
      <c r="B146" s="394" t="s">
        <v>23</v>
      </c>
      <c r="C146" s="873">
        <v>0.12</v>
      </c>
      <c r="D146" s="879" t="s">
        <v>16</v>
      </c>
      <c r="E146" s="875">
        <f>C146*(1+0.3)</f>
        <v>0.156</v>
      </c>
      <c r="F146" s="875"/>
      <c r="G146" s="4"/>
      <c r="H146" s="4"/>
    </row>
    <row r="147" spans="1:9" ht="38.25" hidden="1" outlineLevel="1" x14ac:dyDescent="0.25">
      <c r="A147" s="854"/>
      <c r="B147" s="394" t="s">
        <v>24</v>
      </c>
      <c r="C147" s="873">
        <v>0.05</v>
      </c>
      <c r="D147" s="879" t="s">
        <v>16</v>
      </c>
      <c r="E147" s="875">
        <f>C147*(1+0.3)</f>
        <v>6.5000000000000002E-2</v>
      </c>
      <c r="F147" s="875"/>
      <c r="G147" s="4"/>
      <c r="H147" s="4"/>
    </row>
    <row r="148" spans="1:9" ht="38.25" hidden="1" outlineLevel="1" x14ac:dyDescent="0.25">
      <c r="A148" s="854"/>
      <c r="B148" s="394" t="s">
        <v>25</v>
      </c>
      <c r="C148" s="873">
        <v>0.04</v>
      </c>
      <c r="D148" s="879" t="s">
        <v>16</v>
      </c>
      <c r="E148" s="875">
        <f>C148*(1+0.3)</f>
        <v>5.2000000000000005E-2</v>
      </c>
      <c r="F148" s="875"/>
      <c r="G148" s="4"/>
      <c r="H148" s="4"/>
    </row>
    <row r="149" spans="1:9" ht="38.25" hidden="1" outlineLevel="1" x14ac:dyDescent="0.25">
      <c r="A149" s="854"/>
      <c r="B149" s="394" t="s">
        <v>26</v>
      </c>
      <c r="C149" s="873">
        <v>0.05</v>
      </c>
      <c r="D149" s="854">
        <v>1</v>
      </c>
      <c r="E149" s="875">
        <f t="shared" ref="E149:E156" si="2">C149*D149</f>
        <v>0.05</v>
      </c>
      <c r="F149" s="875"/>
      <c r="G149" s="4"/>
      <c r="H149" s="4"/>
    </row>
    <row r="150" spans="1:9" ht="38.25" hidden="1" outlineLevel="1" x14ac:dyDescent="0.25">
      <c r="A150" s="854"/>
      <c r="B150" s="394" t="s">
        <v>27</v>
      </c>
      <c r="C150" s="873">
        <v>0.04</v>
      </c>
      <c r="D150" s="854">
        <v>1</v>
      </c>
      <c r="E150" s="875">
        <f t="shared" si="2"/>
        <v>0.04</v>
      </c>
      <c r="F150" s="875"/>
      <c r="G150" s="4"/>
      <c r="H150" s="4"/>
      <c r="I150" s="8"/>
    </row>
    <row r="151" spans="1:9" ht="25.5" hidden="1" outlineLevel="1" x14ac:dyDescent="0.25">
      <c r="A151" s="854"/>
      <c r="B151" s="394" t="s">
        <v>28</v>
      </c>
      <c r="C151" s="873">
        <v>0.02</v>
      </c>
      <c r="D151" s="854">
        <v>1</v>
      </c>
      <c r="E151" s="875">
        <f t="shared" si="2"/>
        <v>0.02</v>
      </c>
      <c r="F151" s="875"/>
      <c r="G151" s="4"/>
      <c r="H151" s="4"/>
    </row>
    <row r="152" spans="1:9" ht="38.25" hidden="1" outlineLevel="1" x14ac:dyDescent="0.25">
      <c r="A152" s="854"/>
      <c r="B152" s="394" t="s">
        <v>29</v>
      </c>
      <c r="C152" s="873">
        <v>0.31</v>
      </c>
      <c r="D152" s="854">
        <v>1</v>
      </c>
      <c r="E152" s="875">
        <f t="shared" si="2"/>
        <v>0.31</v>
      </c>
      <c r="F152" s="875"/>
      <c r="G152" s="4"/>
      <c r="H152" s="4"/>
    </row>
    <row r="153" spans="1:9" hidden="1" outlineLevel="1" x14ac:dyDescent="0.25">
      <c r="A153" s="854"/>
      <c r="B153" s="394" t="s">
        <v>30</v>
      </c>
      <c r="C153" s="873">
        <v>0.04</v>
      </c>
      <c r="D153" s="879">
        <v>1</v>
      </c>
      <c r="E153" s="875">
        <f t="shared" si="2"/>
        <v>0.04</v>
      </c>
      <c r="F153" s="875"/>
      <c r="G153" s="4"/>
      <c r="H153" s="4"/>
    </row>
    <row r="154" spans="1:9" hidden="1" outlineLevel="1" x14ac:dyDescent="0.25">
      <c r="A154" s="854"/>
      <c r="B154" s="394" t="s">
        <v>31</v>
      </c>
      <c r="C154" s="873">
        <v>0.09</v>
      </c>
      <c r="D154" s="854">
        <v>1</v>
      </c>
      <c r="E154" s="875">
        <f t="shared" si="2"/>
        <v>0.09</v>
      </c>
      <c r="F154" s="875"/>
      <c r="G154" s="4"/>
      <c r="H154" s="4"/>
    </row>
    <row r="155" spans="1:9" hidden="1" outlineLevel="1" x14ac:dyDescent="0.25">
      <c r="A155" s="854"/>
      <c r="B155" s="394" t="s">
        <v>32</v>
      </c>
      <c r="C155" s="873">
        <v>0.05</v>
      </c>
      <c r="D155" s="854">
        <v>1</v>
      </c>
      <c r="E155" s="875">
        <f t="shared" si="2"/>
        <v>0.05</v>
      </c>
      <c r="F155" s="875"/>
      <c r="G155" s="4"/>
      <c r="H155" s="4"/>
    </row>
    <row r="156" spans="1:9" ht="25.5" hidden="1" outlineLevel="1" x14ac:dyDescent="0.25">
      <c r="A156" s="854"/>
      <c r="B156" s="394" t="s">
        <v>33</v>
      </c>
      <c r="C156" s="873">
        <v>0.01</v>
      </c>
      <c r="D156" s="854">
        <v>1</v>
      </c>
      <c r="E156" s="875">
        <f t="shared" si="2"/>
        <v>0.01</v>
      </c>
      <c r="F156" s="875"/>
      <c r="G156" s="4"/>
      <c r="H156" s="4"/>
    </row>
    <row r="157" spans="1:9" hidden="1" outlineLevel="1" x14ac:dyDescent="0.25">
      <c r="A157" s="854"/>
      <c r="B157" s="394" t="s">
        <v>34</v>
      </c>
      <c r="C157" s="873">
        <v>0.05</v>
      </c>
      <c r="D157" s="879"/>
      <c r="E157" s="890">
        <f>SUM(E143:E156)*C157</f>
        <v>5.2000000000000005E-2</v>
      </c>
      <c r="F157" s="890"/>
      <c r="G157" s="14"/>
      <c r="H157" s="14"/>
    </row>
    <row r="158" spans="1:9" s="19" customFormat="1" ht="15.75" collapsed="1" x14ac:dyDescent="0.25">
      <c r="A158" s="862"/>
      <c r="B158" s="862" t="s">
        <v>48</v>
      </c>
      <c r="C158" s="862"/>
      <c r="D158" s="862"/>
      <c r="E158" s="862"/>
      <c r="F158" s="862"/>
    </row>
    <row r="159" spans="1:9" s="19" customFormat="1" ht="15.75" x14ac:dyDescent="0.25">
      <c r="A159" s="862"/>
      <c r="B159" s="862" t="s">
        <v>49</v>
      </c>
      <c r="C159" s="862">
        <v>5.32</v>
      </c>
      <c r="D159" s="880"/>
      <c r="E159" s="862"/>
      <c r="F159" s="862"/>
    </row>
    <row r="160" spans="1:9" x14ac:dyDescent="0.25">
      <c r="A160" s="854"/>
      <c r="B160" s="861" t="s">
        <v>919</v>
      </c>
      <c r="C160" s="854"/>
      <c r="D160" s="862">
        <f>25</f>
        <v>25</v>
      </c>
      <c r="E160" s="862" t="s">
        <v>235</v>
      </c>
      <c r="F160" s="854"/>
    </row>
    <row r="161" spans="1:11" s="2" customFormat="1" ht="63.75" x14ac:dyDescent="0.25">
      <c r="A161" s="854"/>
      <c r="B161" s="891" t="s">
        <v>921</v>
      </c>
      <c r="C161" s="891" t="s">
        <v>920</v>
      </c>
      <c r="D161" s="394" t="s">
        <v>922</v>
      </c>
      <c r="E161" s="854"/>
      <c r="F161" s="855">
        <f>(456.5+0*(0.4*50+0.6*25))*1*D162*D163*C181*1000</f>
        <v>1128123.9816000003</v>
      </c>
      <c r="I161"/>
      <c r="J161"/>
      <c r="K161"/>
    </row>
    <row r="162" spans="1:11" s="3" customFormat="1" x14ac:dyDescent="0.25">
      <c r="A162" s="866"/>
      <c r="B162" s="865" t="s">
        <v>4</v>
      </c>
      <c r="C162" s="865" t="s">
        <v>5</v>
      </c>
      <c r="D162" s="866">
        <v>0.4</v>
      </c>
      <c r="E162" s="866"/>
      <c r="F162" s="866"/>
      <c r="I162"/>
      <c r="J162"/>
      <c r="K162"/>
    </row>
    <row r="163" spans="1:11" ht="89.25" x14ac:dyDescent="0.25">
      <c r="A163" s="854"/>
      <c r="B163" s="394" t="s">
        <v>15</v>
      </c>
      <c r="C163" s="394" t="s">
        <v>232</v>
      </c>
      <c r="D163" s="854">
        <f>E164/1</f>
        <v>1.1613</v>
      </c>
      <c r="E163" s="854"/>
      <c r="F163" s="854"/>
    </row>
    <row r="164" spans="1:11" x14ac:dyDescent="0.25">
      <c r="A164" s="854"/>
      <c r="B164" s="390" t="s">
        <v>6</v>
      </c>
      <c r="C164" s="869">
        <f>SUM(C165:C179)</f>
        <v>1</v>
      </c>
      <c r="D164" s="870"/>
      <c r="E164" s="871">
        <f>SUM(E165:E179)</f>
        <v>1.1613</v>
      </c>
      <c r="F164" s="872"/>
      <c r="G164" s="9"/>
      <c r="H164" s="9"/>
    </row>
    <row r="165" spans="1:11" hidden="1" outlineLevel="1" x14ac:dyDescent="0.25">
      <c r="A165" s="854"/>
      <c r="B165" s="394" t="s">
        <v>20</v>
      </c>
      <c r="C165" s="873">
        <v>0.01</v>
      </c>
      <c r="D165" s="874">
        <v>1</v>
      </c>
      <c r="E165" s="875">
        <f>C165*D165</f>
        <v>0.01</v>
      </c>
      <c r="F165" s="854"/>
    </row>
    <row r="166" spans="1:11" hidden="1" outlineLevel="1" x14ac:dyDescent="0.25">
      <c r="A166" s="854"/>
      <c r="B166" s="394" t="s">
        <v>21</v>
      </c>
      <c r="C166" s="873">
        <v>0.03</v>
      </c>
      <c r="D166" s="879">
        <v>1</v>
      </c>
      <c r="E166" s="873">
        <f>C166*D166</f>
        <v>0.03</v>
      </c>
      <c r="F166" s="854"/>
    </row>
    <row r="167" spans="1:11" hidden="1" outlineLevel="1" x14ac:dyDescent="0.25">
      <c r="A167" s="854"/>
      <c r="B167" s="394" t="s">
        <v>22</v>
      </c>
      <c r="C167" s="873">
        <v>0.09</v>
      </c>
      <c r="D167" s="874" t="s">
        <v>16</v>
      </c>
      <c r="E167" s="875">
        <f>C167*(1+0.3)</f>
        <v>0.11699999999999999</v>
      </c>
      <c r="F167" s="854"/>
    </row>
    <row r="168" spans="1:11" hidden="1" outlineLevel="1" x14ac:dyDescent="0.25">
      <c r="A168" s="854"/>
      <c r="B168" s="394" t="s">
        <v>23</v>
      </c>
      <c r="C168" s="873">
        <v>0.12</v>
      </c>
      <c r="D168" s="874" t="s">
        <v>16</v>
      </c>
      <c r="E168" s="875">
        <f>C168*(1+0.3)</f>
        <v>0.156</v>
      </c>
      <c r="F168" s="854"/>
    </row>
    <row r="169" spans="1:11" ht="38.25" hidden="1" outlineLevel="1" x14ac:dyDescent="0.25">
      <c r="A169" s="854"/>
      <c r="B169" s="394" t="s">
        <v>24</v>
      </c>
      <c r="C169" s="873">
        <v>0.05</v>
      </c>
      <c r="D169" s="874">
        <v>1</v>
      </c>
      <c r="E169" s="875">
        <f>C169*D169</f>
        <v>0.05</v>
      </c>
      <c r="F169" s="854"/>
    </row>
    <row r="170" spans="1:11" ht="38.25" hidden="1" outlineLevel="1" x14ac:dyDescent="0.25">
      <c r="A170" s="854"/>
      <c r="B170" s="394" t="s">
        <v>25</v>
      </c>
      <c r="C170" s="873">
        <v>0.04</v>
      </c>
      <c r="D170" s="874">
        <v>1</v>
      </c>
      <c r="E170" s="875">
        <f>C170*D170</f>
        <v>0.04</v>
      </c>
      <c r="F170" s="854"/>
    </row>
    <row r="171" spans="1:11" ht="38.25" hidden="1" outlineLevel="1" x14ac:dyDescent="0.25">
      <c r="A171" s="854"/>
      <c r="B171" s="394" t="s">
        <v>26</v>
      </c>
      <c r="C171" s="873">
        <v>0.05</v>
      </c>
      <c r="D171" s="879">
        <v>1</v>
      </c>
      <c r="E171" s="873">
        <f>C171*D171</f>
        <v>0.05</v>
      </c>
      <c r="F171" s="854"/>
    </row>
    <row r="172" spans="1:11" ht="38.25" hidden="1" outlineLevel="1" x14ac:dyDescent="0.25">
      <c r="A172" s="854"/>
      <c r="B172" s="394" t="s">
        <v>27</v>
      </c>
      <c r="C172" s="873">
        <v>0.04</v>
      </c>
      <c r="D172" s="876">
        <v>1</v>
      </c>
      <c r="E172" s="873">
        <f>C172*D172</f>
        <v>0.04</v>
      </c>
      <c r="F172" s="854"/>
    </row>
    <row r="173" spans="1:11" ht="25.5" hidden="1" outlineLevel="1" x14ac:dyDescent="0.25">
      <c r="A173" s="854"/>
      <c r="B173" s="394" t="s">
        <v>28</v>
      </c>
      <c r="C173" s="873">
        <v>0.02</v>
      </c>
      <c r="D173" s="879">
        <v>1</v>
      </c>
      <c r="E173" s="873">
        <f>C173*D173</f>
        <v>0.02</v>
      </c>
      <c r="F173" s="854"/>
    </row>
    <row r="174" spans="1:11" ht="38.25" hidden="1" outlineLevel="1" x14ac:dyDescent="0.25">
      <c r="A174" s="854"/>
      <c r="B174" s="394" t="s">
        <v>29</v>
      </c>
      <c r="C174" s="873">
        <v>0.31</v>
      </c>
      <c r="D174" s="874" t="s">
        <v>16</v>
      </c>
      <c r="E174" s="875">
        <f>C174*(1+0.3)</f>
        <v>0.40300000000000002</v>
      </c>
      <c r="F174" s="854"/>
    </row>
    <row r="175" spans="1:11" hidden="1" outlineLevel="1" x14ac:dyDescent="0.25">
      <c r="A175" s="854"/>
      <c r="B175" s="394" t="s">
        <v>30</v>
      </c>
      <c r="C175" s="873">
        <v>0.04</v>
      </c>
      <c r="D175" s="874">
        <v>1</v>
      </c>
      <c r="E175" s="875">
        <f>C175*D175</f>
        <v>0.04</v>
      </c>
      <c r="F175" s="854"/>
    </row>
    <row r="176" spans="1:11" hidden="1" outlineLevel="1" x14ac:dyDescent="0.25">
      <c r="A176" s="854"/>
      <c r="B176" s="394" t="s">
        <v>31</v>
      </c>
      <c r="C176" s="873">
        <v>0.09</v>
      </c>
      <c r="D176" s="879">
        <v>1</v>
      </c>
      <c r="E176" s="873">
        <f>C176*D176</f>
        <v>0.09</v>
      </c>
      <c r="F176" s="854"/>
    </row>
    <row r="177" spans="1:11" hidden="1" outlineLevel="1" x14ac:dyDescent="0.25">
      <c r="A177" s="854"/>
      <c r="B177" s="394" t="s">
        <v>32</v>
      </c>
      <c r="C177" s="873">
        <v>0.05</v>
      </c>
      <c r="D177" s="876">
        <v>1</v>
      </c>
      <c r="E177" s="873">
        <f>C177*D177</f>
        <v>0.05</v>
      </c>
      <c r="F177" s="854"/>
    </row>
    <row r="178" spans="1:11" ht="25.5" hidden="1" outlineLevel="1" x14ac:dyDescent="0.25">
      <c r="A178" s="854"/>
      <c r="B178" s="394" t="s">
        <v>33</v>
      </c>
      <c r="C178" s="873">
        <v>0.01</v>
      </c>
      <c r="D178" s="879">
        <v>1</v>
      </c>
      <c r="E178" s="873">
        <f>C178*D178</f>
        <v>0.01</v>
      </c>
      <c r="F178" s="854"/>
    </row>
    <row r="179" spans="1:11" hidden="1" outlineLevel="1" x14ac:dyDescent="0.25">
      <c r="A179" s="854"/>
      <c r="B179" s="394" t="s">
        <v>212</v>
      </c>
      <c r="C179" s="873">
        <v>0.05</v>
      </c>
      <c r="D179" s="876"/>
      <c r="E179" s="875">
        <f>SUM(E165:E178)*C179</f>
        <v>5.5300000000000009E-2</v>
      </c>
      <c r="F179" s="854"/>
    </row>
    <row r="180" spans="1:11" s="19" customFormat="1" ht="15.75" collapsed="1" x14ac:dyDescent="0.25">
      <c r="A180" s="862"/>
      <c r="B180" s="862" t="s">
        <v>48</v>
      </c>
      <c r="C180" s="862"/>
      <c r="D180" s="862"/>
      <c r="E180" s="862"/>
      <c r="F180" s="862"/>
    </row>
    <row r="181" spans="1:11" s="19" customFormat="1" ht="15.75" x14ac:dyDescent="0.25">
      <c r="A181" s="862"/>
      <c r="B181" s="862" t="s">
        <v>49</v>
      </c>
      <c r="C181" s="862">
        <v>5.32</v>
      </c>
      <c r="D181" s="880"/>
      <c r="E181" s="862"/>
      <c r="F181" s="862"/>
    </row>
    <row r="182" spans="1:11" x14ac:dyDescent="0.25">
      <c r="A182" s="854"/>
      <c r="B182" s="861" t="s">
        <v>918</v>
      </c>
      <c r="C182" s="854"/>
      <c r="D182" s="862">
        <f>25</f>
        <v>25</v>
      </c>
      <c r="E182" s="862" t="s">
        <v>235</v>
      </c>
      <c r="F182" s="854"/>
    </row>
    <row r="183" spans="1:11" s="2" customFormat="1" ht="63.75" x14ac:dyDescent="0.25">
      <c r="A183" s="854"/>
      <c r="B183" s="891" t="s">
        <v>921</v>
      </c>
      <c r="C183" s="891" t="s">
        <v>920</v>
      </c>
      <c r="D183" s="394" t="s">
        <v>923</v>
      </c>
      <c r="E183" s="854"/>
      <c r="F183" s="855">
        <f>(456.5+0*(0.4*50+0.6*25))*1*D184*D185*D186*C204*1000</f>
        <v>902499.18528000009</v>
      </c>
      <c r="I183"/>
      <c r="J183"/>
      <c r="K183"/>
    </row>
    <row r="184" spans="1:11" s="3" customFormat="1" x14ac:dyDescent="0.25">
      <c r="A184" s="866"/>
      <c r="B184" s="865" t="s">
        <v>4</v>
      </c>
      <c r="C184" s="865" t="s">
        <v>5</v>
      </c>
      <c r="D184" s="866">
        <v>0.4</v>
      </c>
      <c r="E184" s="866"/>
      <c r="F184" s="866"/>
      <c r="I184"/>
      <c r="J184"/>
      <c r="K184"/>
    </row>
    <row r="185" spans="1:11" s="2" customFormat="1" ht="38.25" x14ac:dyDescent="0.25">
      <c r="A185" s="854"/>
      <c r="B185" s="394" t="s">
        <v>233</v>
      </c>
      <c r="C185" s="854" t="s">
        <v>234</v>
      </c>
      <c r="D185" s="867">
        <v>0.8</v>
      </c>
      <c r="E185" s="854"/>
      <c r="F185" s="854"/>
    </row>
    <row r="186" spans="1:11" ht="89.25" x14ac:dyDescent="0.25">
      <c r="A186" s="854"/>
      <c r="B186" s="394" t="s">
        <v>15</v>
      </c>
      <c r="C186" s="394" t="s">
        <v>232</v>
      </c>
      <c r="D186" s="854">
        <f>E187/1</f>
        <v>1.1613</v>
      </c>
      <c r="E186" s="854"/>
      <c r="F186" s="854"/>
    </row>
    <row r="187" spans="1:11" x14ac:dyDescent="0.25">
      <c r="A187" s="854"/>
      <c r="B187" s="390" t="s">
        <v>6</v>
      </c>
      <c r="C187" s="869">
        <f>SUM(C188:C202)</f>
        <v>1</v>
      </c>
      <c r="D187" s="870"/>
      <c r="E187" s="871">
        <f>SUM(E188:E202)</f>
        <v>1.1613</v>
      </c>
      <c r="F187" s="872"/>
      <c r="G187" s="9"/>
      <c r="H187" s="9"/>
    </row>
    <row r="188" spans="1:11" hidden="1" outlineLevel="1" x14ac:dyDescent="0.25">
      <c r="A188" s="854"/>
      <c r="B188" s="394" t="s">
        <v>20</v>
      </c>
      <c r="C188" s="873">
        <v>0.01</v>
      </c>
      <c r="D188" s="874">
        <v>1</v>
      </c>
      <c r="E188" s="875">
        <f>C188*D188</f>
        <v>0.01</v>
      </c>
      <c r="F188" s="854"/>
    </row>
    <row r="189" spans="1:11" hidden="1" outlineLevel="1" x14ac:dyDescent="0.25">
      <c r="A189" s="854"/>
      <c r="B189" s="394" t="s">
        <v>21</v>
      </c>
      <c r="C189" s="873">
        <v>0.03</v>
      </c>
      <c r="D189" s="879">
        <v>1</v>
      </c>
      <c r="E189" s="873">
        <f>C189*D189</f>
        <v>0.03</v>
      </c>
      <c r="F189" s="854"/>
    </row>
    <row r="190" spans="1:11" hidden="1" outlineLevel="1" x14ac:dyDescent="0.25">
      <c r="A190" s="854"/>
      <c r="B190" s="394" t="s">
        <v>22</v>
      </c>
      <c r="C190" s="873">
        <v>0.09</v>
      </c>
      <c r="D190" s="874" t="s">
        <v>16</v>
      </c>
      <c r="E190" s="875">
        <f>C190*(1+0.3)</f>
        <v>0.11699999999999999</v>
      </c>
      <c r="F190" s="854"/>
    </row>
    <row r="191" spans="1:11" hidden="1" outlineLevel="1" x14ac:dyDescent="0.25">
      <c r="A191" s="854"/>
      <c r="B191" s="394" t="s">
        <v>23</v>
      </c>
      <c r="C191" s="873">
        <v>0.12</v>
      </c>
      <c r="D191" s="874" t="s">
        <v>16</v>
      </c>
      <c r="E191" s="875">
        <f>C191*(1+0.3)</f>
        <v>0.156</v>
      </c>
      <c r="F191" s="854"/>
    </row>
    <row r="192" spans="1:11" ht="38.25" hidden="1" outlineLevel="1" x14ac:dyDescent="0.25">
      <c r="A192" s="854"/>
      <c r="B192" s="394" t="s">
        <v>24</v>
      </c>
      <c r="C192" s="873">
        <v>0.05</v>
      </c>
      <c r="D192" s="874">
        <v>1</v>
      </c>
      <c r="E192" s="875">
        <f>C192*D192</f>
        <v>0.05</v>
      </c>
      <c r="F192" s="854"/>
    </row>
    <row r="193" spans="1:18" ht="38.25" hidden="1" outlineLevel="1" x14ac:dyDescent="0.25">
      <c r="A193" s="854"/>
      <c r="B193" s="394" t="s">
        <v>25</v>
      </c>
      <c r="C193" s="873">
        <v>0.04</v>
      </c>
      <c r="D193" s="874">
        <v>1</v>
      </c>
      <c r="E193" s="875">
        <f>C193*D193</f>
        <v>0.04</v>
      </c>
      <c r="F193" s="854"/>
    </row>
    <row r="194" spans="1:18" ht="38.25" hidden="1" outlineLevel="1" x14ac:dyDescent="0.25">
      <c r="A194" s="854"/>
      <c r="B194" s="394" t="s">
        <v>26</v>
      </c>
      <c r="C194" s="873">
        <v>0.05</v>
      </c>
      <c r="D194" s="879">
        <v>1</v>
      </c>
      <c r="E194" s="873">
        <f>C194*D194</f>
        <v>0.05</v>
      </c>
      <c r="F194" s="854"/>
    </row>
    <row r="195" spans="1:18" ht="38.25" hidden="1" outlineLevel="1" x14ac:dyDescent="0.25">
      <c r="A195" s="854"/>
      <c r="B195" s="394" t="s">
        <v>27</v>
      </c>
      <c r="C195" s="873">
        <v>0.04</v>
      </c>
      <c r="D195" s="876">
        <v>1</v>
      </c>
      <c r="E195" s="873">
        <f>C195*D195</f>
        <v>0.04</v>
      </c>
      <c r="F195" s="854"/>
    </row>
    <row r="196" spans="1:18" ht="25.5" hidden="1" outlineLevel="1" x14ac:dyDescent="0.25">
      <c r="A196" s="854"/>
      <c r="B196" s="394" t="s">
        <v>28</v>
      </c>
      <c r="C196" s="873">
        <v>0.02</v>
      </c>
      <c r="D196" s="879">
        <v>1</v>
      </c>
      <c r="E196" s="873">
        <f>C196*D196</f>
        <v>0.02</v>
      </c>
      <c r="F196" s="854"/>
    </row>
    <row r="197" spans="1:18" ht="38.25" hidden="1" outlineLevel="1" x14ac:dyDescent="0.25">
      <c r="A197" s="854"/>
      <c r="B197" s="394" t="s">
        <v>29</v>
      </c>
      <c r="C197" s="873">
        <v>0.31</v>
      </c>
      <c r="D197" s="874" t="s">
        <v>16</v>
      </c>
      <c r="E197" s="875">
        <f>C197*(1+0.3)</f>
        <v>0.40300000000000002</v>
      </c>
      <c r="F197" s="854"/>
    </row>
    <row r="198" spans="1:18" hidden="1" outlineLevel="1" x14ac:dyDescent="0.25">
      <c r="A198" s="854"/>
      <c r="B198" s="394" t="s">
        <v>30</v>
      </c>
      <c r="C198" s="873">
        <v>0.04</v>
      </c>
      <c r="D198" s="874">
        <v>1</v>
      </c>
      <c r="E198" s="875">
        <f>C198*D198</f>
        <v>0.04</v>
      </c>
      <c r="F198" s="854"/>
    </row>
    <row r="199" spans="1:18" hidden="1" outlineLevel="1" x14ac:dyDescent="0.25">
      <c r="A199" s="854"/>
      <c r="B199" s="394" t="s">
        <v>31</v>
      </c>
      <c r="C199" s="873">
        <v>0.09</v>
      </c>
      <c r="D199" s="879">
        <v>1</v>
      </c>
      <c r="E199" s="873">
        <f>C199*D199</f>
        <v>0.09</v>
      </c>
      <c r="F199" s="854"/>
    </row>
    <row r="200" spans="1:18" hidden="1" outlineLevel="1" x14ac:dyDescent="0.25">
      <c r="A200" s="854"/>
      <c r="B200" s="394" t="s">
        <v>32</v>
      </c>
      <c r="C200" s="873">
        <v>0.05</v>
      </c>
      <c r="D200" s="876">
        <v>1</v>
      </c>
      <c r="E200" s="873">
        <f>C200*D200</f>
        <v>0.05</v>
      </c>
      <c r="F200" s="854"/>
    </row>
    <row r="201" spans="1:18" ht="25.5" hidden="1" outlineLevel="1" x14ac:dyDescent="0.25">
      <c r="A201" s="854"/>
      <c r="B201" s="394" t="s">
        <v>33</v>
      </c>
      <c r="C201" s="873">
        <v>0.01</v>
      </c>
      <c r="D201" s="879">
        <v>1</v>
      </c>
      <c r="E201" s="873">
        <f>C201*D201</f>
        <v>0.01</v>
      </c>
      <c r="F201" s="854"/>
    </row>
    <row r="202" spans="1:18" hidden="1" outlineLevel="1" x14ac:dyDescent="0.25">
      <c r="A202" s="854"/>
      <c r="B202" s="394" t="s">
        <v>212</v>
      </c>
      <c r="C202" s="873">
        <v>0.05</v>
      </c>
      <c r="D202" s="876"/>
      <c r="E202" s="875">
        <f>SUM(E188:E201)*C202</f>
        <v>5.5300000000000009E-2</v>
      </c>
      <c r="F202" s="854"/>
    </row>
    <row r="203" spans="1:18" s="19" customFormat="1" ht="15.75" collapsed="1" x14ac:dyDescent="0.25">
      <c r="A203" s="862"/>
      <c r="B203" s="862" t="s">
        <v>48</v>
      </c>
      <c r="C203" s="862"/>
      <c r="D203" s="862"/>
      <c r="E203" s="862"/>
      <c r="F203" s="862"/>
    </row>
    <row r="204" spans="1:18" s="19" customFormat="1" ht="15.75" x14ac:dyDescent="0.25">
      <c r="A204" s="862"/>
      <c r="B204" s="862" t="s">
        <v>49</v>
      </c>
      <c r="C204" s="862">
        <v>5.32</v>
      </c>
      <c r="D204" s="880"/>
      <c r="E204" s="862"/>
      <c r="F204" s="862"/>
    </row>
    <row r="205" spans="1:18" s="11" customFormat="1" x14ac:dyDescent="0.25">
      <c r="A205" s="862"/>
      <c r="B205" s="861" t="s">
        <v>706</v>
      </c>
      <c r="C205" s="862"/>
      <c r="D205" s="862">
        <f>D14</f>
        <v>300</v>
      </c>
      <c r="E205" s="862" t="s">
        <v>746</v>
      </c>
      <c r="F205" s="862"/>
      <c r="I205" s="13"/>
    </row>
    <row r="206" spans="1:18" s="2" customFormat="1" ht="63.75" x14ac:dyDescent="0.25">
      <c r="A206" s="854"/>
      <c r="B206" s="394" t="s">
        <v>834</v>
      </c>
      <c r="C206" s="394" t="s">
        <v>836</v>
      </c>
      <c r="D206" s="394" t="s">
        <v>924</v>
      </c>
      <c r="E206" s="854"/>
      <c r="F206" s="855">
        <f>(39+ 0*(0.4*500+0.6*300))*D207*D208*D209*C229*1000</f>
        <v>49756.160563200006</v>
      </c>
      <c r="I206"/>
      <c r="J206"/>
      <c r="K206"/>
      <c r="Q206" s="17"/>
      <c r="R206" s="17"/>
    </row>
    <row r="207" spans="1:18" s="3" customFormat="1" x14ac:dyDescent="0.25">
      <c r="A207" s="866"/>
      <c r="B207" s="865" t="s">
        <v>4</v>
      </c>
      <c r="C207" s="865" t="s">
        <v>720</v>
      </c>
      <c r="D207" s="866">
        <v>0.36</v>
      </c>
      <c r="E207" s="866"/>
      <c r="F207" s="866"/>
      <c r="I207"/>
      <c r="J207"/>
      <c r="K207"/>
    </row>
    <row r="208" spans="1:18" s="3" customFormat="1" ht="38.25" x14ac:dyDescent="0.25">
      <c r="A208" s="866"/>
      <c r="B208" s="394" t="s">
        <v>835</v>
      </c>
      <c r="C208" s="854" t="s">
        <v>530</v>
      </c>
      <c r="D208" s="867">
        <f>150/(500*0.5)</f>
        <v>0.6</v>
      </c>
      <c r="E208" s="866"/>
      <c r="F208" s="866"/>
      <c r="I208"/>
      <c r="J208"/>
      <c r="K208"/>
    </row>
    <row r="209" spans="1:8" ht="89.25" x14ac:dyDescent="0.25">
      <c r="A209" s="854"/>
      <c r="B209" s="394" t="s">
        <v>15</v>
      </c>
      <c r="C209" s="394" t="s">
        <v>35</v>
      </c>
      <c r="D209" s="854">
        <f>E210/1</f>
        <v>1.1102400000000001</v>
      </c>
      <c r="E209" s="854"/>
      <c r="F209" s="854"/>
    </row>
    <row r="210" spans="1:8" x14ac:dyDescent="0.25">
      <c r="A210" s="854"/>
      <c r="B210" s="390" t="s">
        <v>6</v>
      </c>
      <c r="C210" s="869">
        <f>SUM(C211:C227)</f>
        <v>0.99999999999999989</v>
      </c>
      <c r="D210" s="870"/>
      <c r="E210" s="908">
        <f>SUM(E211:E227)</f>
        <v>1.1102400000000001</v>
      </c>
      <c r="F210" s="875"/>
      <c r="G210" s="4"/>
      <c r="H210" s="4"/>
    </row>
    <row r="211" spans="1:8" hidden="1" outlineLevel="1" x14ac:dyDescent="0.25">
      <c r="A211" s="854"/>
      <c r="B211" s="394" t="s">
        <v>20</v>
      </c>
      <c r="C211" s="873">
        <v>0.02</v>
      </c>
      <c r="D211" s="854">
        <v>1</v>
      </c>
      <c r="E211" s="875">
        <f>C211*D211</f>
        <v>0.02</v>
      </c>
      <c r="F211" s="854"/>
    </row>
    <row r="212" spans="1:8" hidden="1" outlineLevel="1" x14ac:dyDescent="0.25">
      <c r="A212" s="854"/>
      <c r="B212" s="394" t="s">
        <v>21</v>
      </c>
      <c r="C212" s="873">
        <v>0.02</v>
      </c>
      <c r="D212" s="854">
        <v>1</v>
      </c>
      <c r="E212" s="875">
        <f>C212*D212</f>
        <v>0.02</v>
      </c>
      <c r="F212" s="854"/>
    </row>
    <row r="213" spans="1:8" hidden="1" outlineLevel="1" x14ac:dyDescent="0.25">
      <c r="A213" s="854"/>
      <c r="B213" s="394" t="s">
        <v>22</v>
      </c>
      <c r="C213" s="873">
        <v>0.06</v>
      </c>
      <c r="D213" s="879" t="s">
        <v>16</v>
      </c>
      <c r="E213" s="875">
        <f>C213*(1+0.3)</f>
        <v>7.8E-2</v>
      </c>
      <c r="F213" s="854"/>
    </row>
    <row r="214" spans="1:8" hidden="1" outlineLevel="1" x14ac:dyDescent="0.25">
      <c r="A214" s="854"/>
      <c r="B214" s="394" t="s">
        <v>23</v>
      </c>
      <c r="C214" s="873">
        <v>0.12</v>
      </c>
      <c r="D214" s="879" t="s">
        <v>16</v>
      </c>
      <c r="E214" s="875">
        <f>C214*(1+0.3)</f>
        <v>0.156</v>
      </c>
      <c r="F214" s="854"/>
    </row>
    <row r="215" spans="1:8" ht="25.5" hidden="1" outlineLevel="1" x14ac:dyDescent="0.25">
      <c r="A215" s="854"/>
      <c r="B215" s="394" t="s">
        <v>343</v>
      </c>
      <c r="C215" s="873"/>
      <c r="D215" s="879"/>
      <c r="E215" s="875"/>
      <c r="F215" s="854"/>
    </row>
    <row r="216" spans="1:8" hidden="1" outlineLevel="1" x14ac:dyDescent="0.25">
      <c r="A216" s="854"/>
      <c r="B216" s="877" t="s">
        <v>37</v>
      </c>
      <c r="C216" s="873">
        <v>0.16</v>
      </c>
      <c r="D216" s="879" t="s">
        <v>16</v>
      </c>
      <c r="E216" s="875">
        <f>C216*(1+0.3)</f>
        <v>0.20800000000000002</v>
      </c>
      <c r="F216" s="854"/>
    </row>
    <row r="217" spans="1:8" hidden="1" outlineLevel="1" x14ac:dyDescent="0.25">
      <c r="A217" s="854"/>
      <c r="B217" s="877" t="s">
        <v>38</v>
      </c>
      <c r="C217" s="873">
        <v>0.02</v>
      </c>
      <c r="D217" s="854">
        <v>1</v>
      </c>
      <c r="E217" s="875">
        <f>C217*D217</f>
        <v>0.02</v>
      </c>
      <c r="F217" s="854"/>
    </row>
    <row r="218" spans="1:8" hidden="1" outlineLevel="1" x14ac:dyDescent="0.25">
      <c r="A218" s="854"/>
      <c r="B218" s="877" t="s">
        <v>39</v>
      </c>
      <c r="C218" s="873">
        <v>0.02</v>
      </c>
      <c r="D218" s="854">
        <v>1</v>
      </c>
      <c r="E218" s="875">
        <f t="shared" ref="E218:E219" si="3">C218*D218</f>
        <v>0.02</v>
      </c>
      <c r="F218" s="854"/>
    </row>
    <row r="219" spans="1:8" hidden="1" outlineLevel="1" x14ac:dyDescent="0.25">
      <c r="A219" s="854"/>
      <c r="B219" s="877" t="s">
        <v>40</v>
      </c>
      <c r="C219" s="873">
        <v>0.1</v>
      </c>
      <c r="D219" s="854">
        <v>1</v>
      </c>
      <c r="E219" s="875">
        <f t="shared" si="3"/>
        <v>0.1</v>
      </c>
      <c r="F219" s="854"/>
    </row>
    <row r="220" spans="1:8" hidden="1" outlineLevel="1" x14ac:dyDescent="0.25">
      <c r="A220" s="854"/>
      <c r="B220" s="877" t="s">
        <v>41</v>
      </c>
      <c r="C220" s="873">
        <v>0.02</v>
      </c>
      <c r="D220" s="879" t="s">
        <v>16</v>
      </c>
      <c r="E220" s="875">
        <f>C220*(1+0.3)</f>
        <v>2.6000000000000002E-2</v>
      </c>
      <c r="F220" s="854"/>
    </row>
    <row r="221" spans="1:8" hidden="1" outlineLevel="1" x14ac:dyDescent="0.25">
      <c r="A221" s="854"/>
      <c r="B221" s="877" t="s">
        <v>42</v>
      </c>
      <c r="C221" s="873">
        <v>0.01</v>
      </c>
      <c r="D221" s="854">
        <v>1</v>
      </c>
      <c r="E221" s="875">
        <f t="shared" ref="E221:E226" si="4">C221*D221</f>
        <v>0.01</v>
      </c>
      <c r="F221" s="854"/>
    </row>
    <row r="222" spans="1:8" hidden="1" outlineLevel="1" x14ac:dyDescent="0.25">
      <c r="A222" s="854"/>
      <c r="B222" s="877" t="s">
        <v>43</v>
      </c>
      <c r="C222" s="873">
        <v>0.18</v>
      </c>
      <c r="D222" s="854">
        <v>1</v>
      </c>
      <c r="E222" s="875">
        <f t="shared" si="4"/>
        <v>0.18</v>
      </c>
      <c r="F222" s="854"/>
    </row>
    <row r="223" spans="1:8" hidden="1" outlineLevel="1" x14ac:dyDescent="0.25">
      <c r="A223" s="854"/>
      <c r="B223" s="394" t="s">
        <v>30</v>
      </c>
      <c r="C223" s="873">
        <v>0.03</v>
      </c>
      <c r="D223" s="854">
        <v>1</v>
      </c>
      <c r="E223" s="875">
        <f t="shared" si="4"/>
        <v>0.03</v>
      </c>
      <c r="F223" s="854"/>
    </row>
    <row r="224" spans="1:8" hidden="1" outlineLevel="1" x14ac:dyDescent="0.25">
      <c r="A224" s="854"/>
      <c r="B224" s="394" t="s">
        <v>44</v>
      </c>
      <c r="C224" s="873">
        <v>0.09</v>
      </c>
      <c r="D224" s="854">
        <v>1</v>
      </c>
      <c r="E224" s="875">
        <f t="shared" si="4"/>
        <v>0.09</v>
      </c>
      <c r="F224" s="854"/>
    </row>
    <row r="225" spans="1:18" hidden="1" outlineLevel="1" x14ac:dyDescent="0.25">
      <c r="A225" s="854"/>
      <c r="B225" s="394" t="s">
        <v>32</v>
      </c>
      <c r="C225" s="873">
        <v>0.06</v>
      </c>
      <c r="D225" s="854">
        <v>1</v>
      </c>
      <c r="E225" s="875">
        <f t="shared" si="4"/>
        <v>0.06</v>
      </c>
      <c r="F225" s="854"/>
    </row>
    <row r="226" spans="1:18" hidden="1" outlineLevel="1" x14ac:dyDescent="0.25">
      <c r="A226" s="854"/>
      <c r="B226" s="394" t="s">
        <v>45</v>
      </c>
      <c r="C226" s="873">
        <v>0.01</v>
      </c>
      <c r="D226" s="854">
        <v>1</v>
      </c>
      <c r="E226" s="875">
        <f t="shared" si="4"/>
        <v>0.01</v>
      </c>
      <c r="F226" s="854"/>
    </row>
    <row r="227" spans="1:18" hidden="1" outlineLevel="1" x14ac:dyDescent="0.25">
      <c r="A227" s="854"/>
      <c r="B227" s="394" t="s">
        <v>34</v>
      </c>
      <c r="C227" s="873">
        <v>0.08</v>
      </c>
      <c r="D227" s="879"/>
      <c r="E227" s="890">
        <f>SUM(E211:E226)*C227</f>
        <v>8.2240000000000008E-2</v>
      </c>
      <c r="F227" s="890"/>
      <c r="G227" s="14"/>
      <c r="H227" s="14"/>
    </row>
    <row r="228" spans="1:18" s="19" customFormat="1" ht="15.75" collapsed="1" x14ac:dyDescent="0.25">
      <c r="A228" s="862"/>
      <c r="B228" s="862" t="s">
        <v>48</v>
      </c>
      <c r="C228" s="862"/>
      <c r="D228" s="862"/>
      <c r="E228" s="862"/>
      <c r="F228" s="862"/>
    </row>
    <row r="229" spans="1:18" s="19" customFormat="1" ht="15.75" x14ac:dyDescent="0.25">
      <c r="A229" s="862"/>
      <c r="B229" s="862" t="s">
        <v>49</v>
      </c>
      <c r="C229" s="862">
        <v>5.32</v>
      </c>
      <c r="D229" s="880"/>
      <c r="E229" s="862"/>
      <c r="F229" s="862"/>
    </row>
    <row r="230" spans="1:18" s="356" customFormat="1" ht="15.75" x14ac:dyDescent="0.25">
      <c r="A230" s="862"/>
      <c r="B230" s="862" t="s">
        <v>683</v>
      </c>
      <c r="C230" s="862"/>
      <c r="D230" s="909">
        <f>D15</f>
        <v>400</v>
      </c>
      <c r="E230" s="862" t="s">
        <v>746</v>
      </c>
      <c r="F230" s="862"/>
    </row>
    <row r="231" spans="1:18" s="2" customFormat="1" ht="51" x14ac:dyDescent="0.25">
      <c r="A231" s="854"/>
      <c r="B231" s="394" t="s">
        <v>928</v>
      </c>
      <c r="C231" s="394" t="s">
        <v>926</v>
      </c>
      <c r="D231" s="394" t="s">
        <v>927</v>
      </c>
      <c r="E231" s="854"/>
      <c r="F231" s="855">
        <f>(14+0.076*400)*D232*D233*C252*1000</f>
        <v>114187.67136000002</v>
      </c>
      <c r="I231"/>
      <c r="J231"/>
      <c r="K231"/>
      <c r="Q231" s="17"/>
      <c r="R231" s="17"/>
    </row>
    <row r="232" spans="1:18" s="3" customFormat="1" x14ac:dyDescent="0.25">
      <c r="A232" s="866"/>
      <c r="B232" s="865" t="s">
        <v>4</v>
      </c>
      <c r="C232" s="865" t="s">
        <v>5</v>
      </c>
      <c r="D232" s="866">
        <v>0.4</v>
      </c>
      <c r="E232" s="866"/>
      <c r="F232" s="866"/>
      <c r="I232"/>
      <c r="J232"/>
      <c r="K232"/>
    </row>
    <row r="233" spans="1:18" s="2" customFormat="1" ht="89.25" x14ac:dyDescent="0.25">
      <c r="A233" s="854"/>
      <c r="B233" s="394" t="s">
        <v>15</v>
      </c>
      <c r="C233" s="394" t="s">
        <v>839</v>
      </c>
      <c r="D233" s="854">
        <f>E234/1</f>
        <v>1.20855</v>
      </c>
      <c r="E233" s="854"/>
      <c r="F233" s="854"/>
    </row>
    <row r="234" spans="1:18" x14ac:dyDescent="0.25">
      <c r="A234" s="854"/>
      <c r="B234" s="390" t="s">
        <v>6</v>
      </c>
      <c r="C234" s="869">
        <f>SUM(C235:C250)</f>
        <v>1</v>
      </c>
      <c r="D234" s="870"/>
      <c r="E234" s="871">
        <f>SUM(E235:E250)</f>
        <v>1.20855</v>
      </c>
      <c r="F234" s="872"/>
      <c r="G234" s="9"/>
      <c r="H234" s="9"/>
    </row>
    <row r="235" spans="1:18" hidden="1" outlineLevel="1" x14ac:dyDescent="0.25">
      <c r="A235" s="854"/>
      <c r="B235" s="394" t="s">
        <v>20</v>
      </c>
      <c r="C235" s="873">
        <v>0.02</v>
      </c>
      <c r="D235" s="879">
        <v>1</v>
      </c>
      <c r="E235" s="875">
        <f>C235*D235</f>
        <v>0.02</v>
      </c>
      <c r="F235" s="870"/>
      <c r="G235" s="6"/>
      <c r="H235" s="6"/>
    </row>
    <row r="236" spans="1:18" hidden="1" outlineLevel="1" x14ac:dyDescent="0.25">
      <c r="A236" s="854"/>
      <c r="B236" s="394" t="s">
        <v>265</v>
      </c>
      <c r="C236" s="873">
        <v>0.02</v>
      </c>
      <c r="D236" s="879" t="s">
        <v>16</v>
      </c>
      <c r="E236" s="875">
        <f>C236*(1+0.3)</f>
        <v>2.6000000000000002E-2</v>
      </c>
      <c r="F236" s="854"/>
    </row>
    <row r="237" spans="1:18" ht="38.25" hidden="1" outlineLevel="1" x14ac:dyDescent="0.25">
      <c r="A237" s="854"/>
      <c r="B237" s="394" t="s">
        <v>266</v>
      </c>
      <c r="C237" s="873"/>
      <c r="D237" s="879"/>
      <c r="E237" s="875"/>
      <c r="F237" s="854"/>
    </row>
    <row r="238" spans="1:18" hidden="1" outlineLevel="1" x14ac:dyDescent="0.25">
      <c r="A238" s="854"/>
      <c r="B238" s="877" t="s">
        <v>43</v>
      </c>
      <c r="C238" s="878">
        <v>0.245</v>
      </c>
      <c r="D238" s="879" t="s">
        <v>16</v>
      </c>
      <c r="E238" s="875">
        <f>C238*(1+0.3)</f>
        <v>0.31850000000000001</v>
      </c>
      <c r="F238" s="854"/>
    </row>
    <row r="239" spans="1:18" hidden="1" outlineLevel="1" x14ac:dyDescent="0.25">
      <c r="A239" s="854"/>
      <c r="B239" s="877" t="s">
        <v>267</v>
      </c>
      <c r="C239" s="875">
        <v>0.27500000000000002</v>
      </c>
      <c r="D239" s="879" t="s">
        <v>16</v>
      </c>
      <c r="E239" s="875">
        <f>C239*(1+0.3)</f>
        <v>0.35750000000000004</v>
      </c>
      <c r="F239" s="870"/>
      <c r="G239" s="6"/>
      <c r="H239" s="6"/>
    </row>
    <row r="240" spans="1:18" hidden="1" outlineLevel="1" x14ac:dyDescent="0.25">
      <c r="A240" s="854"/>
      <c r="B240" s="877" t="s">
        <v>268</v>
      </c>
      <c r="C240" s="878">
        <v>1.4999999999999999E-2</v>
      </c>
      <c r="D240" s="879">
        <v>1</v>
      </c>
      <c r="E240" s="875">
        <f>C240*D240</f>
        <v>1.4999999999999999E-2</v>
      </c>
      <c r="F240" s="870"/>
      <c r="G240" s="6"/>
      <c r="H240" s="6"/>
    </row>
    <row r="241" spans="1:18" hidden="1" outlineLevel="1" x14ac:dyDescent="0.25">
      <c r="A241" s="854"/>
      <c r="B241" s="877" t="s">
        <v>269</v>
      </c>
      <c r="C241" s="878">
        <v>2.5000000000000001E-2</v>
      </c>
      <c r="D241" s="879">
        <v>1</v>
      </c>
      <c r="E241" s="875">
        <f t="shared" ref="E241:E246" si="5">C241*D241</f>
        <v>2.5000000000000001E-2</v>
      </c>
      <c r="F241" s="870"/>
      <c r="G241" s="6"/>
      <c r="H241" s="6"/>
    </row>
    <row r="242" spans="1:18" hidden="1" outlineLevel="1" x14ac:dyDescent="0.25">
      <c r="A242" s="854"/>
      <c r="B242" s="877" t="s">
        <v>37</v>
      </c>
      <c r="C242" s="878">
        <v>0.1</v>
      </c>
      <c r="D242" s="879">
        <v>1</v>
      </c>
      <c r="E242" s="875">
        <f t="shared" si="5"/>
        <v>0.1</v>
      </c>
      <c r="F242" s="882"/>
      <c r="G242" s="7"/>
      <c r="H242" s="7"/>
      <c r="I242" s="8"/>
    </row>
    <row r="243" spans="1:18" hidden="1" outlineLevel="1" x14ac:dyDescent="0.25">
      <c r="A243" s="854"/>
      <c r="B243" s="877" t="s">
        <v>270</v>
      </c>
      <c r="C243" s="878">
        <v>2.5000000000000001E-2</v>
      </c>
      <c r="D243" s="879">
        <v>1</v>
      </c>
      <c r="E243" s="875">
        <f t="shared" si="5"/>
        <v>2.5000000000000001E-2</v>
      </c>
      <c r="F243" s="870"/>
      <c r="G243" s="6"/>
      <c r="H243" s="6"/>
    </row>
    <row r="244" spans="1:18" hidden="1" outlineLevel="1" x14ac:dyDescent="0.25">
      <c r="A244" s="854"/>
      <c r="B244" s="877" t="s">
        <v>271</v>
      </c>
      <c r="C244" s="878">
        <v>1.4999999999999999E-2</v>
      </c>
      <c r="D244" s="854">
        <v>1</v>
      </c>
      <c r="E244" s="875">
        <f t="shared" si="5"/>
        <v>1.4999999999999999E-2</v>
      </c>
      <c r="F244" s="854"/>
    </row>
    <row r="245" spans="1:18" ht="25.5" hidden="1" outlineLevel="1" x14ac:dyDescent="0.25">
      <c r="A245" s="854"/>
      <c r="B245" s="394" t="s">
        <v>272</v>
      </c>
      <c r="C245" s="873">
        <v>0.06</v>
      </c>
      <c r="D245" s="876">
        <v>1</v>
      </c>
      <c r="E245" s="875">
        <f t="shared" si="5"/>
        <v>0.06</v>
      </c>
      <c r="F245" s="854"/>
    </row>
    <row r="246" spans="1:18" hidden="1" outlineLevel="1" x14ac:dyDescent="0.25">
      <c r="A246" s="854"/>
      <c r="B246" s="394" t="s">
        <v>30</v>
      </c>
      <c r="C246" s="873">
        <v>0.02</v>
      </c>
      <c r="D246" s="876">
        <v>1</v>
      </c>
      <c r="E246" s="875">
        <f t="shared" si="5"/>
        <v>0.02</v>
      </c>
      <c r="F246" s="854"/>
    </row>
    <row r="247" spans="1:18" hidden="1" outlineLevel="1" x14ac:dyDescent="0.25">
      <c r="A247" s="854"/>
      <c r="B247" s="394" t="s">
        <v>273</v>
      </c>
      <c r="C247" s="873">
        <v>0.01</v>
      </c>
      <c r="D247" s="879">
        <v>1</v>
      </c>
      <c r="E247" s="875">
        <f>C247*(1+0.3)</f>
        <v>1.3000000000000001E-2</v>
      </c>
      <c r="F247" s="870"/>
      <c r="G247" s="6"/>
      <c r="H247" s="6"/>
    </row>
    <row r="248" spans="1:18" hidden="1" outlineLevel="1" x14ac:dyDescent="0.25">
      <c r="A248" s="854"/>
      <c r="B248" s="394" t="s">
        <v>274</v>
      </c>
      <c r="C248" s="873">
        <v>0.09</v>
      </c>
      <c r="D248" s="879">
        <v>1</v>
      </c>
      <c r="E248" s="875">
        <f>C248*(1+0.3)</f>
        <v>0.11699999999999999</v>
      </c>
      <c r="F248" s="870"/>
      <c r="G248" s="6"/>
      <c r="H248" s="6"/>
    </row>
    <row r="249" spans="1:18" hidden="1" outlineLevel="1" x14ac:dyDescent="0.25">
      <c r="A249" s="854"/>
      <c r="B249" s="394" t="s">
        <v>32</v>
      </c>
      <c r="C249" s="873">
        <v>0.03</v>
      </c>
      <c r="D249" s="879">
        <v>1</v>
      </c>
      <c r="E249" s="875">
        <f>C249*(1+0.3)</f>
        <v>3.9E-2</v>
      </c>
      <c r="F249" s="870"/>
      <c r="G249" s="6"/>
      <c r="H249" s="6"/>
    </row>
    <row r="250" spans="1:18" hidden="1" outlineLevel="1" x14ac:dyDescent="0.25">
      <c r="A250" s="854"/>
      <c r="B250" s="394" t="s">
        <v>34</v>
      </c>
      <c r="C250" s="886">
        <v>0.05</v>
      </c>
      <c r="D250" s="854"/>
      <c r="E250" s="887">
        <f>SUM(E235:E249)*C250</f>
        <v>5.7550000000000004E-2</v>
      </c>
      <c r="F250" s="882"/>
      <c r="G250" s="7"/>
      <c r="H250" s="7"/>
      <c r="I250" s="8"/>
    </row>
    <row r="251" spans="1:18" s="19" customFormat="1" ht="15.75" collapsed="1" x14ac:dyDescent="0.25">
      <c r="A251" s="862"/>
      <c r="B251" s="862" t="s">
        <v>48</v>
      </c>
      <c r="C251" s="862"/>
      <c r="D251" s="862"/>
      <c r="E251" s="862"/>
      <c r="F251" s="862"/>
    </row>
    <row r="252" spans="1:18" s="19" customFormat="1" ht="15.75" x14ac:dyDescent="0.25">
      <c r="A252" s="862"/>
      <c r="B252" s="862" t="s">
        <v>49</v>
      </c>
      <c r="C252" s="862">
        <v>5.32</v>
      </c>
      <c r="D252" s="880"/>
      <c r="E252" s="862"/>
      <c r="F252" s="862"/>
    </row>
    <row r="253" spans="1:18" s="356" customFormat="1" ht="15.75" x14ac:dyDescent="0.25">
      <c r="A253" s="862"/>
      <c r="B253" s="862" t="s">
        <v>1106</v>
      </c>
      <c r="C253" s="862"/>
      <c r="D253" s="909">
        <f>D16+D17</f>
        <v>800</v>
      </c>
      <c r="E253" s="862" t="s">
        <v>746</v>
      </c>
      <c r="F253" s="862"/>
    </row>
    <row r="254" spans="1:18" s="2" customFormat="1" ht="63.75" x14ac:dyDescent="0.25">
      <c r="A254" s="854"/>
      <c r="B254" s="394" t="s">
        <v>1105</v>
      </c>
      <c r="C254" s="394" t="s">
        <v>1104</v>
      </c>
      <c r="D254" s="394" t="s">
        <v>1110</v>
      </c>
      <c r="E254" s="854"/>
      <c r="F254" s="855">
        <f>(8.265+0.041*800)*D255*D256*C275*1000</f>
        <v>105610.73703600002</v>
      </c>
      <c r="I254"/>
      <c r="J254"/>
      <c r="K254"/>
      <c r="Q254" s="17"/>
      <c r="R254" s="17"/>
    </row>
    <row r="255" spans="1:18" s="3" customFormat="1" x14ac:dyDescent="0.25">
      <c r="A255" s="866"/>
      <c r="B255" s="865" t="s">
        <v>4</v>
      </c>
      <c r="C255" s="865" t="s">
        <v>5</v>
      </c>
      <c r="D255" s="866">
        <v>0.4</v>
      </c>
      <c r="E255" s="866"/>
      <c r="F255" s="866"/>
      <c r="I255"/>
      <c r="J255"/>
      <c r="K255"/>
    </row>
    <row r="256" spans="1:18" s="2" customFormat="1" ht="89.25" x14ac:dyDescent="0.25">
      <c r="A256" s="854"/>
      <c r="B256" s="394" t="s">
        <v>15</v>
      </c>
      <c r="C256" s="394" t="s">
        <v>839</v>
      </c>
      <c r="D256" s="854">
        <f>E257/1</f>
        <v>1.20855</v>
      </c>
      <c r="E256" s="854"/>
      <c r="F256" s="854"/>
    </row>
    <row r="257" spans="1:9" x14ac:dyDescent="0.25">
      <c r="A257" s="854"/>
      <c r="B257" s="390" t="s">
        <v>6</v>
      </c>
      <c r="C257" s="869">
        <f>SUM(C258:C273)</f>
        <v>1</v>
      </c>
      <c r="D257" s="870"/>
      <c r="E257" s="871">
        <f>SUM(E258:E273)</f>
        <v>1.20855</v>
      </c>
      <c r="F257" s="872"/>
      <c r="G257" s="9"/>
      <c r="H257" s="9"/>
    </row>
    <row r="258" spans="1:9" hidden="1" outlineLevel="1" x14ac:dyDescent="0.25">
      <c r="A258" s="854"/>
      <c r="B258" s="394" t="s">
        <v>20</v>
      </c>
      <c r="C258" s="873">
        <v>0.02</v>
      </c>
      <c r="D258" s="879">
        <v>1</v>
      </c>
      <c r="E258" s="875">
        <f>C258*D258</f>
        <v>0.02</v>
      </c>
      <c r="F258" s="870"/>
      <c r="G258" s="6"/>
      <c r="H258" s="6"/>
    </row>
    <row r="259" spans="1:9" hidden="1" outlineLevel="1" x14ac:dyDescent="0.25">
      <c r="A259" s="854"/>
      <c r="B259" s="394" t="s">
        <v>265</v>
      </c>
      <c r="C259" s="873">
        <v>0.02</v>
      </c>
      <c r="D259" s="879" t="s">
        <v>16</v>
      </c>
      <c r="E259" s="875">
        <f>C259*(1+0.3)</f>
        <v>2.6000000000000002E-2</v>
      </c>
      <c r="F259" s="854"/>
    </row>
    <row r="260" spans="1:9" ht="38.25" hidden="1" outlineLevel="1" x14ac:dyDescent="0.25">
      <c r="A260" s="854"/>
      <c r="B260" s="394" t="s">
        <v>266</v>
      </c>
      <c r="C260" s="873"/>
      <c r="D260" s="879"/>
      <c r="E260" s="875"/>
      <c r="F260" s="854"/>
    </row>
    <row r="261" spans="1:9" hidden="1" outlineLevel="1" x14ac:dyDescent="0.25">
      <c r="A261" s="854"/>
      <c r="B261" s="877" t="s">
        <v>43</v>
      </c>
      <c r="C261" s="878">
        <v>0.245</v>
      </c>
      <c r="D261" s="879" t="s">
        <v>16</v>
      </c>
      <c r="E261" s="875">
        <f>C261*(1+0.3)</f>
        <v>0.31850000000000001</v>
      </c>
      <c r="F261" s="854"/>
    </row>
    <row r="262" spans="1:9" hidden="1" outlineLevel="1" x14ac:dyDescent="0.25">
      <c r="A262" s="854"/>
      <c r="B262" s="877" t="s">
        <v>267</v>
      </c>
      <c r="C262" s="875">
        <v>0.27500000000000002</v>
      </c>
      <c r="D262" s="879" t="s">
        <v>16</v>
      </c>
      <c r="E262" s="875">
        <f>C262*(1+0.3)</f>
        <v>0.35750000000000004</v>
      </c>
      <c r="F262" s="870"/>
      <c r="G262" s="6"/>
      <c r="H262" s="6"/>
    </row>
    <row r="263" spans="1:9" hidden="1" outlineLevel="1" x14ac:dyDescent="0.25">
      <c r="A263" s="854"/>
      <c r="B263" s="877" t="s">
        <v>268</v>
      </c>
      <c r="C263" s="878">
        <v>1.4999999999999999E-2</v>
      </c>
      <c r="D263" s="879">
        <v>1</v>
      </c>
      <c r="E263" s="875">
        <f>C263*D263</f>
        <v>1.4999999999999999E-2</v>
      </c>
      <c r="F263" s="870"/>
      <c r="G263" s="6"/>
      <c r="H263" s="6"/>
    </row>
    <row r="264" spans="1:9" hidden="1" outlineLevel="1" x14ac:dyDescent="0.25">
      <c r="A264" s="854"/>
      <c r="B264" s="877" t="s">
        <v>269</v>
      </c>
      <c r="C264" s="878">
        <v>2.5000000000000001E-2</v>
      </c>
      <c r="D264" s="879">
        <v>1</v>
      </c>
      <c r="E264" s="875">
        <f t="shared" ref="E264:E269" si="6">C264*D264</f>
        <v>2.5000000000000001E-2</v>
      </c>
      <c r="F264" s="870"/>
      <c r="G264" s="6"/>
      <c r="H264" s="6"/>
    </row>
    <row r="265" spans="1:9" hidden="1" outlineLevel="1" x14ac:dyDescent="0.25">
      <c r="A265" s="854"/>
      <c r="B265" s="877" t="s">
        <v>37</v>
      </c>
      <c r="C265" s="878">
        <v>0.1</v>
      </c>
      <c r="D265" s="879">
        <v>1</v>
      </c>
      <c r="E265" s="875">
        <f t="shared" si="6"/>
        <v>0.1</v>
      </c>
      <c r="F265" s="882"/>
      <c r="G265" s="7"/>
      <c r="H265" s="7"/>
      <c r="I265" s="8"/>
    </row>
    <row r="266" spans="1:9" hidden="1" outlineLevel="1" x14ac:dyDescent="0.25">
      <c r="A266" s="854"/>
      <c r="B266" s="877" t="s">
        <v>270</v>
      </c>
      <c r="C266" s="878">
        <v>2.5000000000000001E-2</v>
      </c>
      <c r="D266" s="879">
        <v>1</v>
      </c>
      <c r="E266" s="875">
        <f t="shared" si="6"/>
        <v>2.5000000000000001E-2</v>
      </c>
      <c r="F266" s="870"/>
      <c r="G266" s="6"/>
      <c r="H266" s="6"/>
    </row>
    <row r="267" spans="1:9" hidden="1" outlineLevel="1" x14ac:dyDescent="0.25">
      <c r="A267" s="854"/>
      <c r="B267" s="877" t="s">
        <v>271</v>
      </c>
      <c r="C267" s="878">
        <v>1.4999999999999999E-2</v>
      </c>
      <c r="D267" s="854">
        <v>1</v>
      </c>
      <c r="E267" s="875">
        <f t="shared" si="6"/>
        <v>1.4999999999999999E-2</v>
      </c>
      <c r="F267" s="854"/>
    </row>
    <row r="268" spans="1:9" ht="25.5" hidden="1" outlineLevel="1" x14ac:dyDescent="0.25">
      <c r="A268" s="854"/>
      <c r="B268" s="394" t="s">
        <v>272</v>
      </c>
      <c r="C268" s="873">
        <v>0.06</v>
      </c>
      <c r="D268" s="876">
        <v>1</v>
      </c>
      <c r="E268" s="875">
        <f t="shared" si="6"/>
        <v>0.06</v>
      </c>
      <c r="F268" s="854"/>
    </row>
    <row r="269" spans="1:9" hidden="1" outlineLevel="1" x14ac:dyDescent="0.25">
      <c r="A269" s="854"/>
      <c r="B269" s="394" t="s">
        <v>30</v>
      </c>
      <c r="C269" s="873">
        <v>0.02</v>
      </c>
      <c r="D269" s="876">
        <v>1</v>
      </c>
      <c r="E269" s="875">
        <f t="shared" si="6"/>
        <v>0.02</v>
      </c>
      <c r="F269" s="854"/>
    </row>
    <row r="270" spans="1:9" hidden="1" outlineLevel="1" x14ac:dyDescent="0.25">
      <c r="A270" s="854"/>
      <c r="B270" s="394" t="s">
        <v>273</v>
      </c>
      <c r="C270" s="873">
        <v>0.01</v>
      </c>
      <c r="D270" s="879">
        <v>1</v>
      </c>
      <c r="E270" s="875">
        <f>C270*(1+0.3)</f>
        <v>1.3000000000000001E-2</v>
      </c>
      <c r="F270" s="870"/>
      <c r="G270" s="6"/>
      <c r="H270" s="6"/>
    </row>
    <row r="271" spans="1:9" hidden="1" outlineLevel="1" x14ac:dyDescent="0.25">
      <c r="A271" s="854"/>
      <c r="B271" s="394" t="s">
        <v>274</v>
      </c>
      <c r="C271" s="873">
        <v>0.09</v>
      </c>
      <c r="D271" s="879">
        <v>1</v>
      </c>
      <c r="E271" s="875">
        <f>C271*(1+0.3)</f>
        <v>0.11699999999999999</v>
      </c>
      <c r="F271" s="870"/>
      <c r="G271" s="6"/>
      <c r="H271" s="6"/>
    </row>
    <row r="272" spans="1:9" hidden="1" outlineLevel="1" x14ac:dyDescent="0.25">
      <c r="A272" s="854"/>
      <c r="B272" s="394" t="s">
        <v>32</v>
      </c>
      <c r="C272" s="873">
        <v>0.03</v>
      </c>
      <c r="D272" s="879">
        <v>1</v>
      </c>
      <c r="E272" s="875">
        <f>C272*(1+0.3)</f>
        <v>3.9E-2</v>
      </c>
      <c r="F272" s="870"/>
      <c r="G272" s="6"/>
      <c r="H272" s="6"/>
    </row>
    <row r="273" spans="1:18" hidden="1" outlineLevel="1" x14ac:dyDescent="0.25">
      <c r="A273" s="854"/>
      <c r="B273" s="394" t="s">
        <v>34</v>
      </c>
      <c r="C273" s="886">
        <v>0.05</v>
      </c>
      <c r="D273" s="854"/>
      <c r="E273" s="887">
        <f>SUM(E258:E272)*C273</f>
        <v>5.7550000000000004E-2</v>
      </c>
      <c r="F273" s="882"/>
      <c r="G273" s="7"/>
      <c r="H273" s="7"/>
      <c r="I273" s="8"/>
    </row>
    <row r="274" spans="1:18" s="19" customFormat="1" ht="15.75" collapsed="1" x14ac:dyDescent="0.25">
      <c r="A274" s="862"/>
      <c r="B274" s="862" t="s">
        <v>48</v>
      </c>
      <c r="C274" s="862"/>
      <c r="D274" s="862"/>
      <c r="E274" s="862"/>
      <c r="F274" s="862"/>
    </row>
    <row r="275" spans="1:18" s="19" customFormat="1" ht="15.75" x14ac:dyDescent="0.25">
      <c r="A275" s="862"/>
      <c r="B275" s="862" t="s">
        <v>49</v>
      </c>
      <c r="C275" s="862">
        <v>5.32</v>
      </c>
      <c r="D275" s="880"/>
      <c r="E275" s="862"/>
      <c r="F275" s="862"/>
    </row>
    <row r="276" spans="1:18" s="11" customFormat="1" x14ac:dyDescent="0.25">
      <c r="A276" s="862"/>
      <c r="B276" s="861" t="s">
        <v>689</v>
      </c>
      <c r="C276" s="862"/>
      <c r="D276" s="862">
        <v>0</v>
      </c>
      <c r="E276" s="862" t="s">
        <v>696</v>
      </c>
      <c r="F276" s="862"/>
      <c r="I276" s="13"/>
    </row>
    <row r="277" spans="1:18" s="2" customFormat="1" ht="51" x14ac:dyDescent="0.25">
      <c r="A277" s="854"/>
      <c r="B277" s="394" t="s">
        <v>841</v>
      </c>
      <c r="C277" s="394" t="s">
        <v>842</v>
      </c>
      <c r="D277" s="394" t="s">
        <v>845</v>
      </c>
      <c r="E277" s="854"/>
      <c r="F277" s="855">
        <f>(25.98+4.623*D276)*D276*D278*D279*C299*1000</f>
        <v>0</v>
      </c>
      <c r="I277"/>
      <c r="J277"/>
      <c r="K277"/>
      <c r="Q277" s="17"/>
      <c r="R277" s="17"/>
    </row>
    <row r="278" spans="1:18" s="3" customFormat="1" x14ac:dyDescent="0.25">
      <c r="A278" s="866"/>
      <c r="B278" s="865" t="s">
        <v>4</v>
      </c>
      <c r="C278" s="865" t="s">
        <v>844</v>
      </c>
      <c r="D278" s="866">
        <v>0.42</v>
      </c>
      <c r="E278" s="866"/>
      <c r="F278" s="866"/>
      <c r="I278"/>
      <c r="J278"/>
      <c r="K278"/>
    </row>
    <row r="279" spans="1:18" ht="89.25" x14ac:dyDescent="0.25">
      <c r="A279" s="854"/>
      <c r="B279" s="394" t="s">
        <v>15</v>
      </c>
      <c r="C279" s="394" t="s">
        <v>843</v>
      </c>
      <c r="D279" s="854">
        <f>E280/1</f>
        <v>1.1102400000000001</v>
      </c>
      <c r="E279" s="854"/>
      <c r="F279" s="854"/>
    </row>
    <row r="280" spans="1:18" x14ac:dyDescent="0.25">
      <c r="A280" s="854"/>
      <c r="B280" s="390" t="s">
        <v>6</v>
      </c>
      <c r="C280" s="869">
        <f>SUM(C281:C297)</f>
        <v>0.99999999999999989</v>
      </c>
      <c r="D280" s="870"/>
      <c r="E280" s="908">
        <f>SUM(E281:E297)</f>
        <v>1.1102400000000001</v>
      </c>
      <c r="F280" s="875"/>
      <c r="G280" s="4"/>
      <c r="H280" s="4"/>
    </row>
    <row r="281" spans="1:18" hidden="1" outlineLevel="1" x14ac:dyDescent="0.25">
      <c r="A281" s="854"/>
      <c r="B281" s="394" t="s">
        <v>20</v>
      </c>
      <c r="C281" s="873">
        <v>0.02</v>
      </c>
      <c r="D281" s="854">
        <v>1</v>
      </c>
      <c r="E281" s="875">
        <f>C281*D281</f>
        <v>0.02</v>
      </c>
      <c r="F281" s="854"/>
    </row>
    <row r="282" spans="1:18" hidden="1" outlineLevel="1" x14ac:dyDescent="0.25">
      <c r="A282" s="854"/>
      <c r="B282" s="394" t="s">
        <v>21</v>
      </c>
      <c r="C282" s="873">
        <v>0.02</v>
      </c>
      <c r="D282" s="854">
        <v>1</v>
      </c>
      <c r="E282" s="875">
        <f>C282*D282</f>
        <v>0.02</v>
      </c>
      <c r="F282" s="854"/>
    </row>
    <row r="283" spans="1:18" hidden="1" outlineLevel="1" x14ac:dyDescent="0.25">
      <c r="A283" s="854"/>
      <c r="B283" s="394" t="s">
        <v>22</v>
      </c>
      <c r="C283" s="873">
        <v>0.06</v>
      </c>
      <c r="D283" s="879" t="s">
        <v>16</v>
      </c>
      <c r="E283" s="875">
        <f>C283*(1+0.3)</f>
        <v>7.8E-2</v>
      </c>
      <c r="F283" s="854"/>
    </row>
    <row r="284" spans="1:18" hidden="1" outlineLevel="1" x14ac:dyDescent="0.25">
      <c r="A284" s="854"/>
      <c r="B284" s="394" t="s">
        <v>23</v>
      </c>
      <c r="C284" s="873">
        <v>0.12</v>
      </c>
      <c r="D284" s="879" t="s">
        <v>16</v>
      </c>
      <c r="E284" s="875">
        <f>C284*(1+0.3)</f>
        <v>0.156</v>
      </c>
      <c r="F284" s="854"/>
    </row>
    <row r="285" spans="1:18" ht="25.5" hidden="1" outlineLevel="1" x14ac:dyDescent="0.25">
      <c r="A285" s="854"/>
      <c r="B285" s="394" t="s">
        <v>343</v>
      </c>
      <c r="C285" s="873"/>
      <c r="D285" s="879"/>
      <c r="E285" s="875"/>
      <c r="F285" s="854"/>
    </row>
    <row r="286" spans="1:18" hidden="1" outlineLevel="1" x14ac:dyDescent="0.25">
      <c r="A286" s="854"/>
      <c r="B286" s="877" t="s">
        <v>37</v>
      </c>
      <c r="C286" s="873">
        <v>0.16</v>
      </c>
      <c r="D286" s="879" t="s">
        <v>16</v>
      </c>
      <c r="E286" s="875">
        <f>C286*(1+0.3)</f>
        <v>0.20800000000000002</v>
      </c>
      <c r="F286" s="854"/>
    </row>
    <row r="287" spans="1:18" hidden="1" outlineLevel="1" x14ac:dyDescent="0.25">
      <c r="A287" s="854"/>
      <c r="B287" s="877" t="s">
        <v>38</v>
      </c>
      <c r="C287" s="873">
        <v>0.02</v>
      </c>
      <c r="D287" s="854">
        <v>1</v>
      </c>
      <c r="E287" s="875">
        <f>C287*D287</f>
        <v>0.02</v>
      </c>
      <c r="F287" s="854"/>
    </row>
    <row r="288" spans="1:18" hidden="1" outlineLevel="1" x14ac:dyDescent="0.25">
      <c r="A288" s="854"/>
      <c r="B288" s="877" t="s">
        <v>39</v>
      </c>
      <c r="C288" s="873">
        <v>0.02</v>
      </c>
      <c r="D288" s="854">
        <v>1</v>
      </c>
      <c r="E288" s="875">
        <f t="shared" ref="E288:E289" si="7">C288*D288</f>
        <v>0.02</v>
      </c>
      <c r="F288" s="854"/>
    </row>
    <row r="289" spans="1:18" hidden="1" outlineLevel="1" x14ac:dyDescent="0.25">
      <c r="A289" s="854"/>
      <c r="B289" s="877" t="s">
        <v>40</v>
      </c>
      <c r="C289" s="873">
        <v>0.1</v>
      </c>
      <c r="D289" s="854">
        <v>1</v>
      </c>
      <c r="E289" s="875">
        <f t="shared" si="7"/>
        <v>0.1</v>
      </c>
      <c r="F289" s="854"/>
    </row>
    <row r="290" spans="1:18" hidden="1" outlineLevel="1" x14ac:dyDescent="0.25">
      <c r="A290" s="854"/>
      <c r="B290" s="877" t="s">
        <v>41</v>
      </c>
      <c r="C290" s="873">
        <v>0.02</v>
      </c>
      <c r="D290" s="879" t="s">
        <v>16</v>
      </c>
      <c r="E290" s="875">
        <f>C290*(1+0.3)</f>
        <v>2.6000000000000002E-2</v>
      </c>
      <c r="F290" s="854"/>
    </row>
    <row r="291" spans="1:18" hidden="1" outlineLevel="1" x14ac:dyDescent="0.25">
      <c r="A291" s="854"/>
      <c r="B291" s="877" t="s">
        <v>42</v>
      </c>
      <c r="C291" s="873">
        <v>0.01</v>
      </c>
      <c r="D291" s="854">
        <v>1</v>
      </c>
      <c r="E291" s="875">
        <f t="shared" ref="E291:E295" si="8">C291*D291</f>
        <v>0.01</v>
      </c>
      <c r="F291" s="854"/>
    </row>
    <row r="292" spans="1:18" hidden="1" outlineLevel="1" x14ac:dyDescent="0.25">
      <c r="A292" s="854"/>
      <c r="B292" s="877" t="s">
        <v>43</v>
      </c>
      <c r="C292" s="873">
        <v>0.18</v>
      </c>
      <c r="D292" s="854">
        <v>1</v>
      </c>
      <c r="E292" s="875">
        <f t="shared" si="8"/>
        <v>0.18</v>
      </c>
      <c r="F292" s="854"/>
    </row>
    <row r="293" spans="1:18" hidden="1" outlineLevel="1" x14ac:dyDescent="0.25">
      <c r="A293" s="854"/>
      <c r="B293" s="394" t="s">
        <v>30</v>
      </c>
      <c r="C293" s="873">
        <v>0.03</v>
      </c>
      <c r="D293" s="854">
        <v>1</v>
      </c>
      <c r="E293" s="875">
        <f t="shared" si="8"/>
        <v>0.03</v>
      </c>
      <c r="F293" s="854"/>
    </row>
    <row r="294" spans="1:18" hidden="1" outlineLevel="1" x14ac:dyDescent="0.25">
      <c r="A294" s="854"/>
      <c r="B294" s="394" t="s">
        <v>44</v>
      </c>
      <c r="C294" s="873">
        <v>0.09</v>
      </c>
      <c r="D294" s="854">
        <v>1</v>
      </c>
      <c r="E294" s="875">
        <f t="shared" si="8"/>
        <v>0.09</v>
      </c>
      <c r="F294" s="854"/>
    </row>
    <row r="295" spans="1:18" hidden="1" outlineLevel="1" x14ac:dyDescent="0.25">
      <c r="A295" s="854"/>
      <c r="B295" s="394" t="s">
        <v>32</v>
      </c>
      <c r="C295" s="873">
        <v>0.06</v>
      </c>
      <c r="D295" s="854">
        <v>1</v>
      </c>
      <c r="E295" s="875">
        <f t="shared" si="8"/>
        <v>0.06</v>
      </c>
      <c r="F295" s="854"/>
    </row>
    <row r="296" spans="1:18" hidden="1" outlineLevel="1" x14ac:dyDescent="0.25">
      <c r="A296" s="854"/>
      <c r="B296" s="394" t="s">
        <v>45</v>
      </c>
      <c r="C296" s="873">
        <v>0.01</v>
      </c>
      <c r="D296" s="854">
        <v>1</v>
      </c>
      <c r="E296" s="875">
        <f>C296*D296</f>
        <v>0.01</v>
      </c>
      <c r="F296" s="854"/>
    </row>
    <row r="297" spans="1:18" hidden="1" outlineLevel="1" x14ac:dyDescent="0.25">
      <c r="A297" s="854"/>
      <c r="B297" s="394" t="s">
        <v>34</v>
      </c>
      <c r="C297" s="873">
        <v>0.08</v>
      </c>
      <c r="D297" s="879"/>
      <c r="E297" s="890">
        <f>SUM(E281:E296)*C297</f>
        <v>8.2240000000000008E-2</v>
      </c>
      <c r="F297" s="890"/>
      <c r="G297" s="14"/>
      <c r="H297" s="14"/>
    </row>
    <row r="298" spans="1:18" s="19" customFormat="1" ht="15.75" collapsed="1" x14ac:dyDescent="0.25">
      <c r="A298" s="862"/>
      <c r="B298" s="862" t="s">
        <v>48</v>
      </c>
      <c r="C298" s="862"/>
      <c r="D298" s="862"/>
      <c r="E298" s="862"/>
      <c r="F298" s="862"/>
    </row>
    <row r="299" spans="1:18" s="19" customFormat="1" ht="15.75" x14ac:dyDescent="0.25">
      <c r="A299" s="862"/>
      <c r="B299" s="862" t="s">
        <v>49</v>
      </c>
      <c r="C299" s="862">
        <v>5.32</v>
      </c>
      <c r="D299" s="880"/>
      <c r="E299" s="862"/>
      <c r="F299" s="862"/>
    </row>
    <row r="300" spans="1:18" s="11" customFormat="1" x14ac:dyDescent="0.25">
      <c r="A300" s="862"/>
      <c r="B300" s="861" t="s">
        <v>848</v>
      </c>
      <c r="C300" s="862"/>
      <c r="D300" s="862">
        <v>6</v>
      </c>
      <c r="E300" s="862" t="s">
        <v>892</v>
      </c>
      <c r="F300" s="862"/>
      <c r="I300" s="13"/>
    </row>
    <row r="301" spans="1:18" s="2" customFormat="1" ht="51" x14ac:dyDescent="0.25">
      <c r="A301" s="854"/>
      <c r="B301" s="394" t="s">
        <v>853</v>
      </c>
      <c r="C301" s="394" t="s">
        <v>850</v>
      </c>
      <c r="D301" s="394" t="s">
        <v>929</v>
      </c>
      <c r="E301" s="854"/>
      <c r="F301" s="855">
        <f>(36.61+4.57*6)*1*D302*D303*C323*1000</f>
        <v>189095.85475200001</v>
      </c>
      <c r="I301"/>
      <c r="J301"/>
      <c r="K301"/>
      <c r="Q301" s="17"/>
      <c r="R301" s="17"/>
    </row>
    <row r="302" spans="1:18" s="3" customFormat="1" x14ac:dyDescent="0.25">
      <c r="A302" s="866"/>
      <c r="B302" s="865" t="s">
        <v>4</v>
      </c>
      <c r="C302" s="865" t="s">
        <v>852</v>
      </c>
      <c r="D302" s="866">
        <v>0.5</v>
      </c>
      <c r="E302" s="866"/>
      <c r="F302" s="866"/>
      <c r="I302"/>
      <c r="J302"/>
      <c r="K302"/>
    </row>
    <row r="303" spans="1:18" ht="89.25" x14ac:dyDescent="0.25">
      <c r="A303" s="854"/>
      <c r="B303" s="394" t="s">
        <v>15</v>
      </c>
      <c r="C303" s="394" t="s">
        <v>843</v>
      </c>
      <c r="D303" s="854">
        <f>E304/1</f>
        <v>1.1102400000000001</v>
      </c>
      <c r="E303" s="854"/>
      <c r="F303" s="854"/>
    </row>
    <row r="304" spans="1:18" x14ac:dyDescent="0.25">
      <c r="A304" s="854"/>
      <c r="B304" s="390" t="s">
        <v>6</v>
      </c>
      <c r="C304" s="869">
        <f>SUM(C305:C321)</f>
        <v>0.99999999999999989</v>
      </c>
      <c r="D304" s="870"/>
      <c r="E304" s="908">
        <f>SUM(E305:E321)</f>
        <v>1.1102400000000001</v>
      </c>
      <c r="F304" s="875"/>
      <c r="G304" s="4"/>
      <c r="H304" s="4"/>
    </row>
    <row r="305" spans="1:6" hidden="1" outlineLevel="1" x14ac:dyDescent="0.25">
      <c r="A305" s="854"/>
      <c r="B305" s="394" t="s">
        <v>20</v>
      </c>
      <c r="C305" s="873">
        <v>0.02</v>
      </c>
      <c r="D305" s="854">
        <v>1</v>
      </c>
      <c r="E305" s="875">
        <f>C305*D305</f>
        <v>0.02</v>
      </c>
      <c r="F305" s="854"/>
    </row>
    <row r="306" spans="1:6" hidden="1" outlineLevel="1" x14ac:dyDescent="0.25">
      <c r="A306" s="854"/>
      <c r="B306" s="394" t="s">
        <v>21</v>
      </c>
      <c r="C306" s="873">
        <v>0.02</v>
      </c>
      <c r="D306" s="854">
        <v>1</v>
      </c>
      <c r="E306" s="875">
        <f>C306*D306</f>
        <v>0.02</v>
      </c>
      <c r="F306" s="854"/>
    </row>
    <row r="307" spans="1:6" hidden="1" outlineLevel="1" x14ac:dyDescent="0.25">
      <c r="A307" s="854"/>
      <c r="B307" s="394" t="s">
        <v>22</v>
      </c>
      <c r="C307" s="873">
        <v>0.06</v>
      </c>
      <c r="D307" s="879" t="s">
        <v>16</v>
      </c>
      <c r="E307" s="875">
        <f>C307*(1+0.3)</f>
        <v>7.8E-2</v>
      </c>
      <c r="F307" s="854"/>
    </row>
    <row r="308" spans="1:6" hidden="1" outlineLevel="1" x14ac:dyDescent="0.25">
      <c r="A308" s="854"/>
      <c r="B308" s="394" t="s">
        <v>23</v>
      </c>
      <c r="C308" s="873">
        <v>0.12</v>
      </c>
      <c r="D308" s="879" t="s">
        <v>16</v>
      </c>
      <c r="E308" s="875">
        <f>C308*(1+0.3)</f>
        <v>0.156</v>
      </c>
      <c r="F308" s="854"/>
    </row>
    <row r="309" spans="1:6" ht="25.5" hidden="1" outlineLevel="1" x14ac:dyDescent="0.25">
      <c r="A309" s="854"/>
      <c r="B309" s="394" t="s">
        <v>343</v>
      </c>
      <c r="C309" s="873"/>
      <c r="D309" s="879"/>
      <c r="E309" s="875"/>
      <c r="F309" s="854"/>
    </row>
    <row r="310" spans="1:6" hidden="1" outlineLevel="1" x14ac:dyDescent="0.25">
      <c r="A310" s="854"/>
      <c r="B310" s="877" t="s">
        <v>37</v>
      </c>
      <c r="C310" s="873">
        <v>0.16</v>
      </c>
      <c r="D310" s="879" t="s">
        <v>16</v>
      </c>
      <c r="E310" s="875">
        <f>C310*(1+0.3)</f>
        <v>0.20800000000000002</v>
      </c>
      <c r="F310" s="854"/>
    </row>
    <row r="311" spans="1:6" hidden="1" outlineLevel="1" x14ac:dyDescent="0.25">
      <c r="A311" s="854"/>
      <c r="B311" s="877" t="s">
        <v>38</v>
      </c>
      <c r="C311" s="873">
        <v>0.02</v>
      </c>
      <c r="D311" s="854">
        <v>1</v>
      </c>
      <c r="E311" s="875">
        <f>C311*D311</f>
        <v>0.02</v>
      </c>
      <c r="F311" s="854"/>
    </row>
    <row r="312" spans="1:6" hidden="1" outlineLevel="1" x14ac:dyDescent="0.25">
      <c r="A312" s="854"/>
      <c r="B312" s="877" t="s">
        <v>39</v>
      </c>
      <c r="C312" s="873">
        <v>0.02</v>
      </c>
      <c r="D312" s="854">
        <v>1</v>
      </c>
      <c r="E312" s="875">
        <f t="shared" ref="E312:E313" si="9">C312*D312</f>
        <v>0.02</v>
      </c>
      <c r="F312" s="854"/>
    </row>
    <row r="313" spans="1:6" hidden="1" outlineLevel="1" x14ac:dyDescent="0.25">
      <c r="A313" s="854"/>
      <c r="B313" s="877" t="s">
        <v>40</v>
      </c>
      <c r="C313" s="873">
        <v>0.1</v>
      </c>
      <c r="D313" s="854">
        <v>1</v>
      </c>
      <c r="E313" s="875">
        <f t="shared" si="9"/>
        <v>0.1</v>
      </c>
      <c r="F313" s="854"/>
    </row>
    <row r="314" spans="1:6" hidden="1" outlineLevel="1" x14ac:dyDescent="0.25">
      <c r="A314" s="854"/>
      <c r="B314" s="877" t="s">
        <v>41</v>
      </c>
      <c r="C314" s="873">
        <v>0.02</v>
      </c>
      <c r="D314" s="879" t="s">
        <v>16</v>
      </c>
      <c r="E314" s="875">
        <f>C314*(1+0.3)</f>
        <v>2.6000000000000002E-2</v>
      </c>
      <c r="F314" s="854"/>
    </row>
    <row r="315" spans="1:6" hidden="1" outlineLevel="1" x14ac:dyDescent="0.25">
      <c r="A315" s="854"/>
      <c r="B315" s="877" t="s">
        <v>42</v>
      </c>
      <c r="C315" s="873">
        <v>0.01</v>
      </c>
      <c r="D315" s="854">
        <v>1</v>
      </c>
      <c r="E315" s="875">
        <f t="shared" ref="E315:E319" si="10">C315*D315</f>
        <v>0.01</v>
      </c>
      <c r="F315" s="854"/>
    </row>
    <row r="316" spans="1:6" hidden="1" outlineLevel="1" x14ac:dyDescent="0.25">
      <c r="A316" s="854"/>
      <c r="B316" s="877" t="s">
        <v>43</v>
      </c>
      <c r="C316" s="873">
        <v>0.18</v>
      </c>
      <c r="D316" s="854">
        <v>1</v>
      </c>
      <c r="E316" s="875">
        <f t="shared" si="10"/>
        <v>0.18</v>
      </c>
      <c r="F316" s="854"/>
    </row>
    <row r="317" spans="1:6" hidden="1" outlineLevel="1" x14ac:dyDescent="0.25">
      <c r="A317" s="854"/>
      <c r="B317" s="394" t="s">
        <v>30</v>
      </c>
      <c r="C317" s="873">
        <v>0.03</v>
      </c>
      <c r="D317" s="854">
        <v>1</v>
      </c>
      <c r="E317" s="875">
        <f t="shared" si="10"/>
        <v>0.03</v>
      </c>
      <c r="F317" s="854"/>
    </row>
    <row r="318" spans="1:6" hidden="1" outlineLevel="1" x14ac:dyDescent="0.25">
      <c r="A318" s="854"/>
      <c r="B318" s="394" t="s">
        <v>44</v>
      </c>
      <c r="C318" s="873">
        <v>0.09</v>
      </c>
      <c r="D318" s="854">
        <v>1</v>
      </c>
      <c r="E318" s="875">
        <f t="shared" si="10"/>
        <v>0.09</v>
      </c>
      <c r="F318" s="854"/>
    </row>
    <row r="319" spans="1:6" hidden="1" outlineLevel="1" x14ac:dyDescent="0.25">
      <c r="A319" s="854"/>
      <c r="B319" s="394" t="s">
        <v>32</v>
      </c>
      <c r="C319" s="873">
        <v>0.06</v>
      </c>
      <c r="D319" s="854">
        <v>1</v>
      </c>
      <c r="E319" s="875">
        <f t="shared" si="10"/>
        <v>0.06</v>
      </c>
      <c r="F319" s="854"/>
    </row>
    <row r="320" spans="1:6" hidden="1" outlineLevel="1" x14ac:dyDescent="0.25">
      <c r="A320" s="854"/>
      <c r="B320" s="394" t="s">
        <v>45</v>
      </c>
      <c r="C320" s="873">
        <v>0.01</v>
      </c>
      <c r="D320" s="854">
        <v>1</v>
      </c>
      <c r="E320" s="875">
        <f>C320*D320</f>
        <v>0.01</v>
      </c>
      <c r="F320" s="854"/>
    </row>
    <row r="321" spans="1:18" hidden="1" outlineLevel="1" x14ac:dyDescent="0.25">
      <c r="A321" s="854"/>
      <c r="B321" s="394" t="s">
        <v>34</v>
      </c>
      <c r="C321" s="873">
        <v>0.08</v>
      </c>
      <c r="D321" s="879"/>
      <c r="E321" s="890">
        <f>SUM(E305:E320)*C321</f>
        <v>8.2240000000000008E-2</v>
      </c>
      <c r="F321" s="890"/>
      <c r="G321" s="14"/>
      <c r="H321" s="14"/>
    </row>
    <row r="322" spans="1:18" s="19" customFormat="1" ht="15.75" collapsed="1" x14ac:dyDescent="0.25">
      <c r="A322" s="862"/>
      <c r="B322" s="862" t="s">
        <v>48</v>
      </c>
      <c r="C322" s="862"/>
      <c r="D322" s="862"/>
      <c r="E322" s="862"/>
      <c r="F322" s="862"/>
    </row>
    <row r="323" spans="1:18" s="19" customFormat="1" ht="15.75" x14ac:dyDescent="0.25">
      <c r="A323" s="862"/>
      <c r="B323" s="862" t="s">
        <v>49</v>
      </c>
      <c r="C323" s="862">
        <v>5.32</v>
      </c>
      <c r="D323" s="880"/>
      <c r="E323" s="862"/>
      <c r="F323" s="862"/>
    </row>
    <row r="324" spans="1:18" s="11" customFormat="1" x14ac:dyDescent="0.25">
      <c r="A324" s="862"/>
      <c r="B324" s="861" t="s">
        <v>859</v>
      </c>
      <c r="C324" s="862"/>
      <c r="D324" s="862">
        <v>0</v>
      </c>
      <c r="E324" s="862" t="s">
        <v>862</v>
      </c>
      <c r="F324" s="862"/>
      <c r="I324" s="13"/>
    </row>
    <row r="325" spans="1:18" s="2" customFormat="1" ht="38.25" x14ac:dyDescent="0.25">
      <c r="A325" s="854"/>
      <c r="B325" s="394" t="s">
        <v>860</v>
      </c>
      <c r="C325" s="394" t="s">
        <v>861</v>
      </c>
      <c r="D325" s="394" t="s">
        <v>865</v>
      </c>
      <c r="E325" s="854"/>
      <c r="F325" s="855">
        <f>39.55*D324*D327*D326*D328*C348*1000</f>
        <v>0</v>
      </c>
      <c r="I325"/>
      <c r="J325"/>
      <c r="K325"/>
      <c r="Q325" s="17"/>
      <c r="R325" s="17"/>
    </row>
    <row r="326" spans="1:18" s="3" customFormat="1" x14ac:dyDescent="0.25">
      <c r="A326" s="866"/>
      <c r="B326" s="865" t="s">
        <v>4</v>
      </c>
      <c r="C326" s="865" t="s">
        <v>852</v>
      </c>
      <c r="D326" s="866">
        <v>0.5</v>
      </c>
      <c r="E326" s="866"/>
      <c r="F326" s="866"/>
      <c r="I326"/>
      <c r="J326"/>
      <c r="K326"/>
    </row>
    <row r="327" spans="1:18" s="3" customFormat="1" x14ac:dyDescent="0.25">
      <c r="A327" s="866"/>
      <c r="B327" s="865" t="s">
        <v>863</v>
      </c>
      <c r="C327" s="865" t="s">
        <v>864</v>
      </c>
      <c r="D327" s="866">
        <v>0.2</v>
      </c>
      <c r="E327" s="866"/>
      <c r="F327" s="866"/>
      <c r="I327"/>
      <c r="J327"/>
      <c r="K327"/>
    </row>
    <row r="328" spans="1:18" ht="89.25" x14ac:dyDescent="0.25">
      <c r="A328" s="854"/>
      <c r="B328" s="394" t="s">
        <v>15</v>
      </c>
      <c r="C328" s="394" t="s">
        <v>843</v>
      </c>
      <c r="D328" s="854">
        <f>E329/1</f>
        <v>1.1102400000000001</v>
      </c>
      <c r="E328" s="854"/>
      <c r="F328" s="854"/>
    </row>
    <row r="329" spans="1:18" x14ac:dyDescent="0.25">
      <c r="A329" s="854"/>
      <c r="B329" s="390" t="s">
        <v>6</v>
      </c>
      <c r="C329" s="869">
        <f>SUM(C330:C346)</f>
        <v>0.99999999999999989</v>
      </c>
      <c r="D329" s="870"/>
      <c r="E329" s="908">
        <f>SUM(E330:E346)</f>
        <v>1.1102400000000001</v>
      </c>
      <c r="F329" s="875"/>
      <c r="G329" s="4"/>
      <c r="H329" s="4"/>
    </row>
    <row r="330" spans="1:18" hidden="1" outlineLevel="1" x14ac:dyDescent="0.25">
      <c r="A330" s="854"/>
      <c r="B330" s="394" t="s">
        <v>20</v>
      </c>
      <c r="C330" s="873">
        <v>0.02</v>
      </c>
      <c r="D330" s="854">
        <v>1</v>
      </c>
      <c r="E330" s="875">
        <f>C330*D330</f>
        <v>0.02</v>
      </c>
      <c r="F330" s="854"/>
    </row>
    <row r="331" spans="1:18" hidden="1" outlineLevel="1" x14ac:dyDescent="0.25">
      <c r="A331" s="854"/>
      <c r="B331" s="394" t="s">
        <v>21</v>
      </c>
      <c r="C331" s="873">
        <v>0.02</v>
      </c>
      <c r="D331" s="854">
        <v>1</v>
      </c>
      <c r="E331" s="875">
        <f>C331*D331</f>
        <v>0.02</v>
      </c>
      <c r="F331" s="854"/>
    </row>
    <row r="332" spans="1:18" hidden="1" outlineLevel="1" x14ac:dyDescent="0.25">
      <c r="A332" s="854"/>
      <c r="B332" s="394" t="s">
        <v>22</v>
      </c>
      <c r="C332" s="873">
        <v>0.06</v>
      </c>
      <c r="D332" s="879" t="s">
        <v>16</v>
      </c>
      <c r="E332" s="875">
        <f>C332*(1+0.3)</f>
        <v>7.8E-2</v>
      </c>
      <c r="F332" s="854"/>
    </row>
    <row r="333" spans="1:18" hidden="1" outlineLevel="1" x14ac:dyDescent="0.25">
      <c r="A333" s="854"/>
      <c r="B333" s="394" t="s">
        <v>23</v>
      </c>
      <c r="C333" s="873">
        <v>0.12</v>
      </c>
      <c r="D333" s="879" t="s">
        <v>16</v>
      </c>
      <c r="E333" s="875">
        <f>C333*(1+0.3)</f>
        <v>0.156</v>
      </c>
      <c r="F333" s="854"/>
    </row>
    <row r="334" spans="1:18" ht="25.5" hidden="1" outlineLevel="1" x14ac:dyDescent="0.25">
      <c r="A334" s="854"/>
      <c r="B334" s="394" t="s">
        <v>343</v>
      </c>
      <c r="C334" s="873"/>
      <c r="D334" s="879"/>
      <c r="E334" s="875"/>
      <c r="F334" s="854"/>
    </row>
    <row r="335" spans="1:18" hidden="1" outlineLevel="1" x14ac:dyDescent="0.25">
      <c r="A335" s="854"/>
      <c r="B335" s="877" t="s">
        <v>37</v>
      </c>
      <c r="C335" s="873">
        <v>0.16</v>
      </c>
      <c r="D335" s="879" t="s">
        <v>16</v>
      </c>
      <c r="E335" s="875">
        <f>C335*(1+0.3)</f>
        <v>0.20800000000000002</v>
      </c>
      <c r="F335" s="854"/>
    </row>
    <row r="336" spans="1:18" hidden="1" outlineLevel="1" x14ac:dyDescent="0.25">
      <c r="A336" s="854"/>
      <c r="B336" s="877" t="s">
        <v>38</v>
      </c>
      <c r="C336" s="873">
        <v>0.02</v>
      </c>
      <c r="D336" s="854">
        <v>1</v>
      </c>
      <c r="E336" s="875">
        <f>C336*D336</f>
        <v>0.02</v>
      </c>
      <c r="F336" s="854"/>
    </row>
    <row r="337" spans="1:18" hidden="1" outlineLevel="1" x14ac:dyDescent="0.25">
      <c r="A337" s="854"/>
      <c r="B337" s="877" t="s">
        <v>39</v>
      </c>
      <c r="C337" s="873">
        <v>0.02</v>
      </c>
      <c r="D337" s="854">
        <v>1</v>
      </c>
      <c r="E337" s="875">
        <f t="shared" ref="E337:E338" si="11">C337*D337</f>
        <v>0.02</v>
      </c>
      <c r="F337" s="854"/>
    </row>
    <row r="338" spans="1:18" hidden="1" outlineLevel="1" x14ac:dyDescent="0.25">
      <c r="A338" s="854"/>
      <c r="B338" s="877" t="s">
        <v>40</v>
      </c>
      <c r="C338" s="873">
        <v>0.1</v>
      </c>
      <c r="D338" s="854">
        <v>1</v>
      </c>
      <c r="E338" s="875">
        <f t="shared" si="11"/>
        <v>0.1</v>
      </c>
      <c r="F338" s="854"/>
    </row>
    <row r="339" spans="1:18" hidden="1" outlineLevel="1" x14ac:dyDescent="0.25">
      <c r="A339" s="854"/>
      <c r="B339" s="877" t="s">
        <v>41</v>
      </c>
      <c r="C339" s="873">
        <v>0.02</v>
      </c>
      <c r="D339" s="879" t="s">
        <v>16</v>
      </c>
      <c r="E339" s="875">
        <f>C339*(1+0.3)</f>
        <v>2.6000000000000002E-2</v>
      </c>
      <c r="F339" s="854"/>
    </row>
    <row r="340" spans="1:18" hidden="1" outlineLevel="1" x14ac:dyDescent="0.25">
      <c r="A340" s="854"/>
      <c r="B340" s="877" t="s">
        <v>42</v>
      </c>
      <c r="C340" s="873">
        <v>0.01</v>
      </c>
      <c r="D340" s="854">
        <v>1</v>
      </c>
      <c r="E340" s="875">
        <f t="shared" ref="E340:E344" si="12">C340*D340</f>
        <v>0.01</v>
      </c>
      <c r="F340" s="854"/>
    </row>
    <row r="341" spans="1:18" hidden="1" outlineLevel="1" x14ac:dyDescent="0.25">
      <c r="A341" s="854"/>
      <c r="B341" s="877" t="s">
        <v>43</v>
      </c>
      <c r="C341" s="873">
        <v>0.18</v>
      </c>
      <c r="D341" s="854">
        <v>1</v>
      </c>
      <c r="E341" s="875">
        <f t="shared" si="12"/>
        <v>0.18</v>
      </c>
      <c r="F341" s="854"/>
    </row>
    <row r="342" spans="1:18" hidden="1" outlineLevel="1" x14ac:dyDescent="0.25">
      <c r="A342" s="854"/>
      <c r="B342" s="394" t="s">
        <v>30</v>
      </c>
      <c r="C342" s="873">
        <v>0.03</v>
      </c>
      <c r="D342" s="854">
        <v>1</v>
      </c>
      <c r="E342" s="875">
        <f t="shared" si="12"/>
        <v>0.03</v>
      </c>
      <c r="F342" s="854"/>
    </row>
    <row r="343" spans="1:18" hidden="1" outlineLevel="1" x14ac:dyDescent="0.25">
      <c r="A343" s="854"/>
      <c r="B343" s="394" t="s">
        <v>44</v>
      </c>
      <c r="C343" s="873">
        <v>0.09</v>
      </c>
      <c r="D343" s="854">
        <v>1</v>
      </c>
      <c r="E343" s="875">
        <f t="shared" si="12"/>
        <v>0.09</v>
      </c>
      <c r="F343" s="854"/>
    </row>
    <row r="344" spans="1:18" hidden="1" outlineLevel="1" x14ac:dyDescent="0.25">
      <c r="A344" s="854"/>
      <c r="B344" s="394" t="s">
        <v>32</v>
      </c>
      <c r="C344" s="873">
        <v>0.06</v>
      </c>
      <c r="D344" s="854">
        <v>1</v>
      </c>
      <c r="E344" s="875">
        <f t="shared" si="12"/>
        <v>0.06</v>
      </c>
      <c r="F344" s="854"/>
    </row>
    <row r="345" spans="1:18" hidden="1" outlineLevel="1" x14ac:dyDescent="0.25">
      <c r="A345" s="854"/>
      <c r="B345" s="394" t="s">
        <v>45</v>
      </c>
      <c r="C345" s="873">
        <v>0.01</v>
      </c>
      <c r="D345" s="854">
        <v>1</v>
      </c>
      <c r="E345" s="875">
        <f>C345*D345</f>
        <v>0.01</v>
      </c>
      <c r="F345" s="854"/>
    </row>
    <row r="346" spans="1:18" hidden="1" outlineLevel="1" x14ac:dyDescent="0.25">
      <c r="A346" s="854"/>
      <c r="B346" s="394" t="s">
        <v>34</v>
      </c>
      <c r="C346" s="873">
        <v>0.08</v>
      </c>
      <c r="D346" s="879"/>
      <c r="E346" s="890">
        <f>SUM(E330:E345)*C346</f>
        <v>8.2240000000000008E-2</v>
      </c>
      <c r="F346" s="890"/>
      <c r="G346" s="14"/>
      <c r="H346" s="14"/>
    </row>
    <row r="347" spans="1:18" s="19" customFormat="1" ht="15.75" collapsed="1" x14ac:dyDescent="0.25">
      <c r="A347" s="862"/>
      <c r="B347" s="862" t="s">
        <v>48</v>
      </c>
      <c r="C347" s="862"/>
      <c r="D347" s="862"/>
      <c r="E347" s="862"/>
      <c r="F347" s="862"/>
    </row>
    <row r="348" spans="1:18" s="19" customFormat="1" ht="15.75" x14ac:dyDescent="0.25">
      <c r="A348" s="862"/>
      <c r="B348" s="862" t="s">
        <v>49</v>
      </c>
      <c r="C348" s="862">
        <v>5.32</v>
      </c>
      <c r="D348" s="880"/>
      <c r="E348" s="862"/>
      <c r="F348" s="862"/>
    </row>
    <row r="349" spans="1:18" s="11" customFormat="1" x14ac:dyDescent="0.25">
      <c r="A349" s="862"/>
      <c r="B349" s="861" t="s">
        <v>854</v>
      </c>
      <c r="C349" s="862"/>
      <c r="D349" s="862">
        <v>0</v>
      </c>
      <c r="E349" s="862" t="s">
        <v>855</v>
      </c>
      <c r="F349" s="862"/>
      <c r="I349" s="13"/>
    </row>
    <row r="350" spans="1:18" s="2" customFormat="1" ht="63.75" x14ac:dyDescent="0.25">
      <c r="A350" s="854"/>
      <c r="B350" s="394" t="s">
        <v>856</v>
      </c>
      <c r="C350" s="394" t="s">
        <v>857</v>
      </c>
      <c r="D350" s="394" t="s">
        <v>858</v>
      </c>
      <c r="E350" s="854"/>
      <c r="F350" s="855">
        <f>2.4*D349*D351*D352*C372*1000</f>
        <v>0</v>
      </c>
      <c r="I350"/>
      <c r="J350"/>
      <c r="K350"/>
      <c r="Q350" s="17"/>
      <c r="R350" s="17"/>
    </row>
    <row r="351" spans="1:18" s="3" customFormat="1" x14ac:dyDescent="0.25">
      <c r="A351" s="866"/>
      <c r="B351" s="865" t="s">
        <v>4</v>
      </c>
      <c r="C351" s="865" t="s">
        <v>852</v>
      </c>
      <c r="D351" s="866">
        <v>0.5</v>
      </c>
      <c r="E351" s="866"/>
      <c r="F351" s="866"/>
      <c r="I351"/>
      <c r="J351"/>
      <c r="K351"/>
    </row>
    <row r="352" spans="1:18" ht="89.25" x14ac:dyDescent="0.25">
      <c r="A352" s="854"/>
      <c r="B352" s="394" t="s">
        <v>15</v>
      </c>
      <c r="C352" s="394" t="s">
        <v>843</v>
      </c>
      <c r="D352" s="854">
        <f>E353/1</f>
        <v>1.1102400000000001</v>
      </c>
      <c r="E352" s="854"/>
      <c r="F352" s="854"/>
    </row>
    <row r="353" spans="1:8" x14ac:dyDescent="0.25">
      <c r="A353" s="854"/>
      <c r="B353" s="390" t="s">
        <v>6</v>
      </c>
      <c r="C353" s="869">
        <f>SUM(C354:C370)</f>
        <v>0.99999999999999989</v>
      </c>
      <c r="D353" s="870"/>
      <c r="E353" s="908">
        <f>SUM(E354:E370)</f>
        <v>1.1102400000000001</v>
      </c>
      <c r="F353" s="875"/>
      <c r="G353" s="4"/>
      <c r="H353" s="4"/>
    </row>
    <row r="354" spans="1:8" hidden="1" outlineLevel="1" x14ac:dyDescent="0.25">
      <c r="A354" s="854"/>
      <c r="B354" s="394" t="s">
        <v>20</v>
      </c>
      <c r="C354" s="873">
        <v>0.02</v>
      </c>
      <c r="D354" s="854">
        <v>1</v>
      </c>
      <c r="E354" s="875">
        <f>C354*D354</f>
        <v>0.02</v>
      </c>
      <c r="F354" s="854"/>
    </row>
    <row r="355" spans="1:8" hidden="1" outlineLevel="1" x14ac:dyDescent="0.25">
      <c r="A355" s="854"/>
      <c r="B355" s="394" t="s">
        <v>21</v>
      </c>
      <c r="C355" s="873">
        <v>0.02</v>
      </c>
      <c r="D355" s="854">
        <v>1</v>
      </c>
      <c r="E355" s="875">
        <f>C355*D355</f>
        <v>0.02</v>
      </c>
      <c r="F355" s="854"/>
    </row>
    <row r="356" spans="1:8" hidden="1" outlineLevel="1" x14ac:dyDescent="0.25">
      <c r="A356" s="854"/>
      <c r="B356" s="394" t="s">
        <v>22</v>
      </c>
      <c r="C356" s="873">
        <v>0.06</v>
      </c>
      <c r="D356" s="879" t="s">
        <v>16</v>
      </c>
      <c r="E356" s="875">
        <f>C356*(1+0.3)</f>
        <v>7.8E-2</v>
      </c>
      <c r="F356" s="854"/>
    </row>
    <row r="357" spans="1:8" hidden="1" outlineLevel="1" x14ac:dyDescent="0.25">
      <c r="A357" s="854"/>
      <c r="B357" s="394" t="s">
        <v>23</v>
      </c>
      <c r="C357" s="873">
        <v>0.12</v>
      </c>
      <c r="D357" s="879" t="s">
        <v>16</v>
      </c>
      <c r="E357" s="875">
        <f>C357*(1+0.3)</f>
        <v>0.156</v>
      </c>
      <c r="F357" s="854"/>
    </row>
    <row r="358" spans="1:8" ht="25.5" hidden="1" outlineLevel="1" x14ac:dyDescent="0.25">
      <c r="A358" s="854"/>
      <c r="B358" s="394" t="s">
        <v>343</v>
      </c>
      <c r="C358" s="873"/>
      <c r="D358" s="879"/>
      <c r="E358" s="875"/>
      <c r="F358" s="854"/>
    </row>
    <row r="359" spans="1:8" hidden="1" outlineLevel="1" x14ac:dyDescent="0.25">
      <c r="A359" s="854"/>
      <c r="B359" s="877" t="s">
        <v>37</v>
      </c>
      <c r="C359" s="873">
        <v>0.16</v>
      </c>
      <c r="D359" s="879" t="s">
        <v>16</v>
      </c>
      <c r="E359" s="875">
        <f>C359*(1+0.3)</f>
        <v>0.20800000000000002</v>
      </c>
      <c r="F359" s="854"/>
    </row>
    <row r="360" spans="1:8" hidden="1" outlineLevel="1" x14ac:dyDescent="0.25">
      <c r="A360" s="854"/>
      <c r="B360" s="877" t="s">
        <v>38</v>
      </c>
      <c r="C360" s="873">
        <v>0.02</v>
      </c>
      <c r="D360" s="854">
        <v>1</v>
      </c>
      <c r="E360" s="875">
        <f>C360*D360</f>
        <v>0.02</v>
      </c>
      <c r="F360" s="854"/>
    </row>
    <row r="361" spans="1:8" hidden="1" outlineLevel="1" x14ac:dyDescent="0.25">
      <c r="A361" s="854"/>
      <c r="B361" s="877" t="s">
        <v>39</v>
      </c>
      <c r="C361" s="873">
        <v>0.02</v>
      </c>
      <c r="D361" s="854">
        <v>1</v>
      </c>
      <c r="E361" s="875">
        <f t="shared" ref="E361:E362" si="13">C361*D361</f>
        <v>0.02</v>
      </c>
      <c r="F361" s="854"/>
    </row>
    <row r="362" spans="1:8" hidden="1" outlineLevel="1" x14ac:dyDescent="0.25">
      <c r="A362" s="854"/>
      <c r="B362" s="877" t="s">
        <v>40</v>
      </c>
      <c r="C362" s="873">
        <v>0.1</v>
      </c>
      <c r="D362" s="854">
        <v>1</v>
      </c>
      <c r="E362" s="875">
        <f t="shared" si="13"/>
        <v>0.1</v>
      </c>
      <c r="F362" s="854"/>
    </row>
    <row r="363" spans="1:8" hidden="1" outlineLevel="1" x14ac:dyDescent="0.25">
      <c r="A363" s="854"/>
      <c r="B363" s="877" t="s">
        <v>41</v>
      </c>
      <c r="C363" s="873">
        <v>0.02</v>
      </c>
      <c r="D363" s="879" t="s">
        <v>16</v>
      </c>
      <c r="E363" s="875">
        <f>C363*(1+0.3)</f>
        <v>2.6000000000000002E-2</v>
      </c>
      <c r="F363" s="854"/>
    </row>
    <row r="364" spans="1:8" hidden="1" outlineLevel="1" x14ac:dyDescent="0.25">
      <c r="A364" s="854"/>
      <c r="B364" s="877" t="s">
        <v>42</v>
      </c>
      <c r="C364" s="873">
        <v>0.01</v>
      </c>
      <c r="D364" s="854">
        <v>1</v>
      </c>
      <c r="E364" s="875">
        <f t="shared" ref="E364:E368" si="14">C364*D364</f>
        <v>0.01</v>
      </c>
      <c r="F364" s="854"/>
    </row>
    <row r="365" spans="1:8" hidden="1" outlineLevel="1" x14ac:dyDescent="0.25">
      <c r="A365" s="854"/>
      <c r="B365" s="877" t="s">
        <v>43</v>
      </c>
      <c r="C365" s="873">
        <v>0.18</v>
      </c>
      <c r="D365" s="854">
        <v>1</v>
      </c>
      <c r="E365" s="875">
        <f t="shared" si="14"/>
        <v>0.18</v>
      </c>
      <c r="F365" s="854"/>
    </row>
    <row r="366" spans="1:8" hidden="1" outlineLevel="1" x14ac:dyDescent="0.25">
      <c r="A366" s="854"/>
      <c r="B366" s="394" t="s">
        <v>30</v>
      </c>
      <c r="C366" s="873">
        <v>0.03</v>
      </c>
      <c r="D366" s="854">
        <v>1</v>
      </c>
      <c r="E366" s="875">
        <f t="shared" si="14"/>
        <v>0.03</v>
      </c>
      <c r="F366" s="854"/>
    </row>
    <row r="367" spans="1:8" hidden="1" outlineLevel="1" x14ac:dyDescent="0.25">
      <c r="A367" s="854"/>
      <c r="B367" s="394" t="s">
        <v>44</v>
      </c>
      <c r="C367" s="873">
        <v>0.09</v>
      </c>
      <c r="D367" s="854">
        <v>1</v>
      </c>
      <c r="E367" s="875">
        <f t="shared" si="14"/>
        <v>0.09</v>
      </c>
      <c r="F367" s="854"/>
    </row>
    <row r="368" spans="1:8" hidden="1" outlineLevel="1" x14ac:dyDescent="0.25">
      <c r="A368" s="854"/>
      <c r="B368" s="394" t="s">
        <v>32</v>
      </c>
      <c r="C368" s="873">
        <v>0.06</v>
      </c>
      <c r="D368" s="854">
        <v>1</v>
      </c>
      <c r="E368" s="875">
        <f t="shared" si="14"/>
        <v>0.06</v>
      </c>
      <c r="F368" s="854"/>
    </row>
    <row r="369" spans="1:18" hidden="1" outlineLevel="1" x14ac:dyDescent="0.25">
      <c r="A369" s="854"/>
      <c r="B369" s="394" t="s">
        <v>45</v>
      </c>
      <c r="C369" s="873">
        <v>0.01</v>
      </c>
      <c r="D369" s="854">
        <v>1</v>
      </c>
      <c r="E369" s="875">
        <f>C369*D369</f>
        <v>0.01</v>
      </c>
      <c r="F369" s="854"/>
    </row>
    <row r="370" spans="1:18" hidden="1" outlineLevel="1" x14ac:dyDescent="0.25">
      <c r="A370" s="854"/>
      <c r="B370" s="394" t="s">
        <v>34</v>
      </c>
      <c r="C370" s="873">
        <v>0.08</v>
      </c>
      <c r="D370" s="879"/>
      <c r="E370" s="890">
        <f>SUM(E354:E369)*C370</f>
        <v>8.2240000000000008E-2</v>
      </c>
      <c r="F370" s="890"/>
      <c r="G370" s="14"/>
      <c r="H370" s="14"/>
    </row>
    <row r="371" spans="1:18" s="19" customFormat="1" ht="15.75" collapsed="1" x14ac:dyDescent="0.25">
      <c r="A371" s="862"/>
      <c r="B371" s="862" t="s">
        <v>48</v>
      </c>
      <c r="C371" s="862"/>
      <c r="D371" s="862"/>
      <c r="E371" s="862"/>
      <c r="F371" s="862"/>
    </row>
    <row r="372" spans="1:18" s="19" customFormat="1" ht="15.75" x14ac:dyDescent="0.25">
      <c r="A372" s="862"/>
      <c r="B372" s="862" t="s">
        <v>49</v>
      </c>
      <c r="C372" s="862">
        <v>5.32</v>
      </c>
      <c r="D372" s="880"/>
      <c r="E372" s="862"/>
      <c r="F372" s="862"/>
    </row>
    <row r="373" spans="1:18" s="11" customFormat="1" x14ac:dyDescent="0.25">
      <c r="A373" s="862"/>
      <c r="B373" s="861" t="s">
        <v>698</v>
      </c>
      <c r="C373" s="862"/>
      <c r="D373" s="862">
        <v>0</v>
      </c>
      <c r="E373" s="862" t="s">
        <v>866</v>
      </c>
      <c r="F373" s="862"/>
      <c r="I373" s="13"/>
    </row>
    <row r="374" spans="1:18" s="2" customFormat="1" ht="38.25" x14ac:dyDescent="0.25">
      <c r="A374" s="854"/>
      <c r="B374" s="394" t="s">
        <v>860</v>
      </c>
      <c r="C374" s="394" t="s">
        <v>861</v>
      </c>
      <c r="D374" s="394" t="s">
        <v>865</v>
      </c>
      <c r="E374" s="854"/>
      <c r="F374" s="855">
        <f>39.55*D373*D376*D375*D377*C397*1000</f>
        <v>0</v>
      </c>
      <c r="I374"/>
      <c r="J374"/>
      <c r="K374"/>
      <c r="Q374" s="17"/>
      <c r="R374" s="17"/>
    </row>
    <row r="375" spans="1:18" s="3" customFormat="1" x14ac:dyDescent="0.25">
      <c r="A375" s="866"/>
      <c r="B375" s="865" t="s">
        <v>4</v>
      </c>
      <c r="C375" s="865" t="s">
        <v>852</v>
      </c>
      <c r="D375" s="866">
        <v>0.5</v>
      </c>
      <c r="E375" s="866"/>
      <c r="F375" s="866"/>
      <c r="I375"/>
      <c r="J375"/>
      <c r="K375"/>
    </row>
    <row r="376" spans="1:18" s="3" customFormat="1" x14ac:dyDescent="0.25">
      <c r="A376" s="866"/>
      <c r="B376" s="865" t="s">
        <v>863</v>
      </c>
      <c r="C376" s="865" t="s">
        <v>864</v>
      </c>
      <c r="D376" s="866">
        <v>0.2</v>
      </c>
      <c r="E376" s="866"/>
      <c r="F376" s="866"/>
      <c r="I376"/>
      <c r="J376"/>
      <c r="K376"/>
    </row>
    <row r="377" spans="1:18" ht="89.25" x14ac:dyDescent="0.25">
      <c r="A377" s="854"/>
      <c r="B377" s="394" t="s">
        <v>15</v>
      </c>
      <c r="C377" s="394" t="s">
        <v>843</v>
      </c>
      <c r="D377" s="854">
        <f>E378/1</f>
        <v>1.1102400000000001</v>
      </c>
      <c r="E377" s="854"/>
      <c r="F377" s="854"/>
    </row>
    <row r="378" spans="1:18" x14ac:dyDescent="0.25">
      <c r="A378" s="854"/>
      <c r="B378" s="390" t="s">
        <v>6</v>
      </c>
      <c r="C378" s="869">
        <f>SUM(C379:C395)</f>
        <v>0.99999999999999989</v>
      </c>
      <c r="D378" s="870"/>
      <c r="E378" s="908">
        <f>SUM(E379:E395)</f>
        <v>1.1102400000000001</v>
      </c>
      <c r="F378" s="875"/>
      <c r="G378" s="4"/>
      <c r="H378" s="4"/>
    </row>
    <row r="379" spans="1:18" hidden="1" outlineLevel="1" x14ac:dyDescent="0.25">
      <c r="A379" s="854"/>
      <c r="B379" s="394" t="s">
        <v>20</v>
      </c>
      <c r="C379" s="873">
        <v>0.02</v>
      </c>
      <c r="D379" s="854">
        <v>1</v>
      </c>
      <c r="E379" s="875">
        <f>C379*D379</f>
        <v>0.02</v>
      </c>
      <c r="F379" s="854"/>
    </row>
    <row r="380" spans="1:18" hidden="1" outlineLevel="1" x14ac:dyDescent="0.25">
      <c r="A380" s="854"/>
      <c r="B380" s="394" t="s">
        <v>21</v>
      </c>
      <c r="C380" s="873">
        <v>0.02</v>
      </c>
      <c r="D380" s="854">
        <v>1</v>
      </c>
      <c r="E380" s="875">
        <f>C380*D380</f>
        <v>0.02</v>
      </c>
      <c r="F380" s="854"/>
    </row>
    <row r="381" spans="1:18" hidden="1" outlineLevel="1" x14ac:dyDescent="0.25">
      <c r="A381" s="854"/>
      <c r="B381" s="394" t="s">
        <v>22</v>
      </c>
      <c r="C381" s="873">
        <v>0.06</v>
      </c>
      <c r="D381" s="879" t="s">
        <v>16</v>
      </c>
      <c r="E381" s="875">
        <f>C381*(1+0.3)</f>
        <v>7.8E-2</v>
      </c>
      <c r="F381" s="854"/>
    </row>
    <row r="382" spans="1:18" hidden="1" outlineLevel="1" x14ac:dyDescent="0.25">
      <c r="A382" s="854"/>
      <c r="B382" s="394" t="s">
        <v>23</v>
      </c>
      <c r="C382" s="873">
        <v>0.12</v>
      </c>
      <c r="D382" s="879" t="s">
        <v>16</v>
      </c>
      <c r="E382" s="875">
        <f>C382*(1+0.3)</f>
        <v>0.156</v>
      </c>
      <c r="F382" s="854"/>
    </row>
    <row r="383" spans="1:18" ht="25.5" hidden="1" outlineLevel="1" x14ac:dyDescent="0.25">
      <c r="A383" s="854"/>
      <c r="B383" s="394" t="s">
        <v>343</v>
      </c>
      <c r="C383" s="873"/>
      <c r="D383" s="879"/>
      <c r="E383" s="875"/>
      <c r="F383" s="854"/>
    </row>
    <row r="384" spans="1:18" hidden="1" outlineLevel="1" x14ac:dyDescent="0.25">
      <c r="A384" s="854"/>
      <c r="B384" s="877" t="s">
        <v>37</v>
      </c>
      <c r="C384" s="873">
        <v>0.16</v>
      </c>
      <c r="D384" s="879" t="s">
        <v>16</v>
      </c>
      <c r="E384" s="875">
        <f>C384*(1+0.3)</f>
        <v>0.20800000000000002</v>
      </c>
      <c r="F384" s="854"/>
    </row>
    <row r="385" spans="1:18" hidden="1" outlineLevel="1" x14ac:dyDescent="0.25">
      <c r="A385" s="854"/>
      <c r="B385" s="877" t="s">
        <v>38</v>
      </c>
      <c r="C385" s="873">
        <v>0.02</v>
      </c>
      <c r="D385" s="854">
        <v>1</v>
      </c>
      <c r="E385" s="875">
        <f>C385*D385</f>
        <v>0.02</v>
      </c>
      <c r="F385" s="854"/>
    </row>
    <row r="386" spans="1:18" hidden="1" outlineLevel="1" x14ac:dyDescent="0.25">
      <c r="A386" s="854"/>
      <c r="B386" s="877" t="s">
        <v>39</v>
      </c>
      <c r="C386" s="873">
        <v>0.02</v>
      </c>
      <c r="D386" s="854">
        <v>1</v>
      </c>
      <c r="E386" s="875">
        <f t="shared" ref="E386:E387" si="15">C386*D386</f>
        <v>0.02</v>
      </c>
      <c r="F386" s="854"/>
    </row>
    <row r="387" spans="1:18" hidden="1" outlineLevel="1" x14ac:dyDescent="0.25">
      <c r="A387" s="854"/>
      <c r="B387" s="877" t="s">
        <v>40</v>
      </c>
      <c r="C387" s="873">
        <v>0.1</v>
      </c>
      <c r="D387" s="854">
        <v>1</v>
      </c>
      <c r="E387" s="875">
        <f t="shared" si="15"/>
        <v>0.1</v>
      </c>
      <c r="F387" s="854"/>
    </row>
    <row r="388" spans="1:18" hidden="1" outlineLevel="1" x14ac:dyDescent="0.25">
      <c r="A388" s="854"/>
      <c r="B388" s="877" t="s">
        <v>41</v>
      </c>
      <c r="C388" s="873">
        <v>0.02</v>
      </c>
      <c r="D388" s="879" t="s">
        <v>16</v>
      </c>
      <c r="E388" s="875">
        <f>C388*(1+0.3)</f>
        <v>2.6000000000000002E-2</v>
      </c>
      <c r="F388" s="854"/>
    </row>
    <row r="389" spans="1:18" hidden="1" outlineLevel="1" x14ac:dyDescent="0.25">
      <c r="A389" s="854"/>
      <c r="B389" s="877" t="s">
        <v>42</v>
      </c>
      <c r="C389" s="873">
        <v>0.01</v>
      </c>
      <c r="D389" s="854">
        <v>1</v>
      </c>
      <c r="E389" s="875">
        <f t="shared" ref="E389:E393" si="16">C389*D389</f>
        <v>0.01</v>
      </c>
      <c r="F389" s="854"/>
    </row>
    <row r="390" spans="1:18" hidden="1" outlineLevel="1" x14ac:dyDescent="0.25">
      <c r="A390" s="854"/>
      <c r="B390" s="877" t="s">
        <v>43</v>
      </c>
      <c r="C390" s="873">
        <v>0.18</v>
      </c>
      <c r="D390" s="854">
        <v>1</v>
      </c>
      <c r="E390" s="875">
        <f t="shared" si="16"/>
        <v>0.18</v>
      </c>
      <c r="F390" s="854"/>
    </row>
    <row r="391" spans="1:18" hidden="1" outlineLevel="1" x14ac:dyDescent="0.25">
      <c r="A391" s="854"/>
      <c r="B391" s="394" t="s">
        <v>30</v>
      </c>
      <c r="C391" s="873">
        <v>0.03</v>
      </c>
      <c r="D391" s="854">
        <v>1</v>
      </c>
      <c r="E391" s="875">
        <f t="shared" si="16"/>
        <v>0.03</v>
      </c>
      <c r="F391" s="854"/>
    </row>
    <row r="392" spans="1:18" hidden="1" outlineLevel="1" x14ac:dyDescent="0.25">
      <c r="A392" s="854"/>
      <c r="B392" s="394" t="s">
        <v>44</v>
      </c>
      <c r="C392" s="873">
        <v>0.09</v>
      </c>
      <c r="D392" s="854">
        <v>1</v>
      </c>
      <c r="E392" s="875">
        <f t="shared" si="16"/>
        <v>0.09</v>
      </c>
      <c r="F392" s="854"/>
    </row>
    <row r="393" spans="1:18" hidden="1" outlineLevel="1" x14ac:dyDescent="0.25">
      <c r="A393" s="854"/>
      <c r="B393" s="394" t="s">
        <v>32</v>
      </c>
      <c r="C393" s="873">
        <v>0.06</v>
      </c>
      <c r="D393" s="854">
        <v>1</v>
      </c>
      <c r="E393" s="875">
        <f t="shared" si="16"/>
        <v>0.06</v>
      </c>
      <c r="F393" s="854"/>
    </row>
    <row r="394" spans="1:18" hidden="1" outlineLevel="1" x14ac:dyDescent="0.25">
      <c r="A394" s="854"/>
      <c r="B394" s="394" t="s">
        <v>45</v>
      </c>
      <c r="C394" s="873">
        <v>0.01</v>
      </c>
      <c r="D394" s="854">
        <v>1</v>
      </c>
      <c r="E394" s="875">
        <f>C394*D394</f>
        <v>0.01</v>
      </c>
      <c r="F394" s="854"/>
    </row>
    <row r="395" spans="1:18" hidden="1" outlineLevel="1" x14ac:dyDescent="0.25">
      <c r="A395" s="854"/>
      <c r="B395" s="394" t="s">
        <v>34</v>
      </c>
      <c r="C395" s="873">
        <v>0.08</v>
      </c>
      <c r="D395" s="879"/>
      <c r="E395" s="890">
        <f>SUM(E379:E394)*C395</f>
        <v>8.2240000000000008E-2</v>
      </c>
      <c r="F395" s="890"/>
      <c r="G395" s="14"/>
      <c r="H395" s="14"/>
    </row>
    <row r="396" spans="1:18" s="19" customFormat="1" ht="15.75" collapsed="1" x14ac:dyDescent="0.25">
      <c r="A396" s="862"/>
      <c r="B396" s="862" t="s">
        <v>48</v>
      </c>
      <c r="C396" s="862"/>
      <c r="D396" s="862"/>
      <c r="E396" s="862"/>
      <c r="F396" s="862"/>
    </row>
    <row r="397" spans="1:18" s="19" customFormat="1" ht="15.75" x14ac:dyDescent="0.25">
      <c r="A397" s="862"/>
      <c r="B397" s="862" t="s">
        <v>49</v>
      </c>
      <c r="C397" s="862">
        <v>5.32</v>
      </c>
      <c r="D397" s="880"/>
      <c r="E397" s="862"/>
      <c r="F397" s="862"/>
    </row>
    <row r="398" spans="1:18" s="11" customFormat="1" x14ac:dyDescent="0.25">
      <c r="A398" s="862"/>
      <c r="B398" s="861" t="s">
        <v>695</v>
      </c>
      <c r="C398" s="862"/>
      <c r="D398" s="862">
        <f>D20</f>
        <v>26</v>
      </c>
      <c r="E398" s="862" t="s">
        <v>893</v>
      </c>
      <c r="F398" s="862"/>
      <c r="I398" s="13"/>
    </row>
    <row r="399" spans="1:18" s="2" customFormat="1" ht="51" x14ac:dyDescent="0.25">
      <c r="A399" s="854"/>
      <c r="B399" s="394" t="s">
        <v>841</v>
      </c>
      <c r="C399" s="394" t="s">
        <v>842</v>
      </c>
      <c r="D399" s="394" t="s">
        <v>911</v>
      </c>
      <c r="E399" s="854"/>
      <c r="F399" s="855">
        <f>(25.98+4.623*20)*1*D400*D401*C421*1000</f>
        <v>293816.50712064002</v>
      </c>
      <c r="I399"/>
      <c r="J399"/>
      <c r="K399"/>
      <c r="Q399" s="17"/>
      <c r="R399" s="17"/>
    </row>
    <row r="400" spans="1:18" s="3" customFormat="1" x14ac:dyDescent="0.25">
      <c r="A400" s="866"/>
      <c r="B400" s="865" t="s">
        <v>4</v>
      </c>
      <c r="C400" s="865" t="s">
        <v>844</v>
      </c>
      <c r="D400" s="866">
        <v>0.42</v>
      </c>
      <c r="E400" s="866"/>
      <c r="F400" s="866"/>
      <c r="I400"/>
      <c r="J400"/>
      <c r="K400"/>
    </row>
    <row r="401" spans="1:8" ht="89.25" x14ac:dyDescent="0.25">
      <c r="A401" s="854"/>
      <c r="B401" s="394" t="s">
        <v>15</v>
      </c>
      <c r="C401" s="394" t="s">
        <v>843</v>
      </c>
      <c r="D401" s="854">
        <f>E402/1</f>
        <v>1.1102400000000001</v>
      </c>
      <c r="E401" s="854"/>
      <c r="F401" s="854"/>
    </row>
    <row r="402" spans="1:8" x14ac:dyDescent="0.25">
      <c r="A402" s="854"/>
      <c r="B402" s="390" t="s">
        <v>6</v>
      </c>
      <c r="C402" s="869">
        <f>SUM(C403:C419)</f>
        <v>0.99999999999999989</v>
      </c>
      <c r="D402" s="870"/>
      <c r="E402" s="908">
        <f>SUM(E403:E419)</f>
        <v>1.1102400000000001</v>
      </c>
      <c r="F402" s="875"/>
      <c r="G402" s="4"/>
      <c r="H402" s="4"/>
    </row>
    <row r="403" spans="1:8" hidden="1" outlineLevel="1" x14ac:dyDescent="0.25">
      <c r="A403" s="854"/>
      <c r="B403" s="394" t="s">
        <v>20</v>
      </c>
      <c r="C403" s="873">
        <v>0.02</v>
      </c>
      <c r="D403" s="854">
        <v>1</v>
      </c>
      <c r="E403" s="875">
        <f>C403*D403</f>
        <v>0.02</v>
      </c>
      <c r="F403" s="854"/>
    </row>
    <row r="404" spans="1:8" hidden="1" outlineLevel="1" x14ac:dyDescent="0.25">
      <c r="A404" s="854"/>
      <c r="B404" s="394" t="s">
        <v>21</v>
      </c>
      <c r="C404" s="873">
        <v>0.02</v>
      </c>
      <c r="D404" s="854">
        <v>1</v>
      </c>
      <c r="E404" s="875">
        <f>C404*D404</f>
        <v>0.02</v>
      </c>
      <c r="F404" s="854"/>
    </row>
    <row r="405" spans="1:8" hidden="1" outlineLevel="1" x14ac:dyDescent="0.25">
      <c r="A405" s="854"/>
      <c r="B405" s="394" t="s">
        <v>22</v>
      </c>
      <c r="C405" s="873">
        <v>0.06</v>
      </c>
      <c r="D405" s="879" t="s">
        <v>16</v>
      </c>
      <c r="E405" s="875">
        <f>C405*(1+0.3)</f>
        <v>7.8E-2</v>
      </c>
      <c r="F405" s="854"/>
    </row>
    <row r="406" spans="1:8" hidden="1" outlineLevel="1" x14ac:dyDescent="0.25">
      <c r="A406" s="854"/>
      <c r="B406" s="394" t="s">
        <v>23</v>
      </c>
      <c r="C406" s="873">
        <v>0.12</v>
      </c>
      <c r="D406" s="879" t="s">
        <v>16</v>
      </c>
      <c r="E406" s="875">
        <f>C406*(1+0.3)</f>
        <v>0.156</v>
      </c>
      <c r="F406" s="854"/>
    </row>
    <row r="407" spans="1:8" ht="25.5" hidden="1" outlineLevel="1" x14ac:dyDescent="0.25">
      <c r="A407" s="854"/>
      <c r="B407" s="394" t="s">
        <v>343</v>
      </c>
      <c r="C407" s="873"/>
      <c r="D407" s="879"/>
      <c r="E407" s="875"/>
      <c r="F407" s="854"/>
    </row>
    <row r="408" spans="1:8" hidden="1" outlineLevel="1" x14ac:dyDescent="0.25">
      <c r="A408" s="854"/>
      <c r="B408" s="877" t="s">
        <v>37</v>
      </c>
      <c r="C408" s="873">
        <v>0.16</v>
      </c>
      <c r="D408" s="879" t="s">
        <v>16</v>
      </c>
      <c r="E408" s="875">
        <f>C408*(1+0.3)</f>
        <v>0.20800000000000002</v>
      </c>
      <c r="F408" s="854"/>
    </row>
    <row r="409" spans="1:8" hidden="1" outlineLevel="1" x14ac:dyDescent="0.25">
      <c r="A409" s="854"/>
      <c r="B409" s="877" t="s">
        <v>38</v>
      </c>
      <c r="C409" s="873">
        <v>0.02</v>
      </c>
      <c r="D409" s="854">
        <v>1</v>
      </c>
      <c r="E409" s="875">
        <f>C409*D409</f>
        <v>0.02</v>
      </c>
      <c r="F409" s="854"/>
    </row>
    <row r="410" spans="1:8" hidden="1" outlineLevel="1" x14ac:dyDescent="0.25">
      <c r="A410" s="854"/>
      <c r="B410" s="877" t="s">
        <v>39</v>
      </c>
      <c r="C410" s="873">
        <v>0.02</v>
      </c>
      <c r="D410" s="854">
        <v>1</v>
      </c>
      <c r="E410" s="875">
        <f t="shared" ref="E410:E411" si="17">C410*D410</f>
        <v>0.02</v>
      </c>
      <c r="F410" s="854"/>
    </row>
    <row r="411" spans="1:8" hidden="1" outlineLevel="1" x14ac:dyDescent="0.25">
      <c r="A411" s="854"/>
      <c r="B411" s="877" t="s">
        <v>40</v>
      </c>
      <c r="C411" s="873">
        <v>0.1</v>
      </c>
      <c r="D411" s="854">
        <v>1</v>
      </c>
      <c r="E411" s="875">
        <f t="shared" si="17"/>
        <v>0.1</v>
      </c>
      <c r="F411" s="854"/>
    </row>
    <row r="412" spans="1:8" hidden="1" outlineLevel="1" x14ac:dyDescent="0.25">
      <c r="A412" s="854"/>
      <c r="B412" s="877" t="s">
        <v>41</v>
      </c>
      <c r="C412" s="873">
        <v>0.02</v>
      </c>
      <c r="D412" s="879" t="s">
        <v>16</v>
      </c>
      <c r="E412" s="875">
        <f>C412*(1+0.3)</f>
        <v>2.6000000000000002E-2</v>
      </c>
      <c r="F412" s="854"/>
    </row>
    <row r="413" spans="1:8" hidden="1" outlineLevel="1" x14ac:dyDescent="0.25">
      <c r="A413" s="854"/>
      <c r="B413" s="877" t="s">
        <v>42</v>
      </c>
      <c r="C413" s="873">
        <v>0.01</v>
      </c>
      <c r="D413" s="854">
        <v>1</v>
      </c>
      <c r="E413" s="875">
        <f t="shared" ref="E413:E417" si="18">C413*D413</f>
        <v>0.01</v>
      </c>
      <c r="F413" s="854"/>
    </row>
    <row r="414" spans="1:8" hidden="1" outlineLevel="1" x14ac:dyDescent="0.25">
      <c r="A414" s="854"/>
      <c r="B414" s="877" t="s">
        <v>43</v>
      </c>
      <c r="C414" s="873">
        <v>0.18</v>
      </c>
      <c r="D414" s="854">
        <v>1</v>
      </c>
      <c r="E414" s="875">
        <f t="shared" si="18"/>
        <v>0.18</v>
      </c>
      <c r="F414" s="854"/>
    </row>
    <row r="415" spans="1:8" hidden="1" outlineLevel="1" x14ac:dyDescent="0.25">
      <c r="A415" s="854"/>
      <c r="B415" s="394" t="s">
        <v>30</v>
      </c>
      <c r="C415" s="873">
        <v>0.03</v>
      </c>
      <c r="D415" s="854">
        <v>1</v>
      </c>
      <c r="E415" s="875">
        <f t="shared" si="18"/>
        <v>0.03</v>
      </c>
      <c r="F415" s="854"/>
    </row>
    <row r="416" spans="1:8" hidden="1" outlineLevel="1" x14ac:dyDescent="0.25">
      <c r="A416" s="854"/>
      <c r="B416" s="394" t="s">
        <v>44</v>
      </c>
      <c r="C416" s="873">
        <v>0.09</v>
      </c>
      <c r="D416" s="854">
        <v>1</v>
      </c>
      <c r="E416" s="875">
        <f t="shared" si="18"/>
        <v>0.09</v>
      </c>
      <c r="F416" s="854"/>
    </row>
    <row r="417" spans="1:18" hidden="1" outlineLevel="1" x14ac:dyDescent="0.25">
      <c r="A417" s="854"/>
      <c r="B417" s="394" t="s">
        <v>32</v>
      </c>
      <c r="C417" s="873">
        <v>0.06</v>
      </c>
      <c r="D417" s="854">
        <v>1</v>
      </c>
      <c r="E417" s="875">
        <f t="shared" si="18"/>
        <v>0.06</v>
      </c>
      <c r="F417" s="854"/>
    </row>
    <row r="418" spans="1:18" hidden="1" outlineLevel="1" x14ac:dyDescent="0.25">
      <c r="A418" s="854"/>
      <c r="B418" s="394" t="s">
        <v>45</v>
      </c>
      <c r="C418" s="873">
        <v>0.01</v>
      </c>
      <c r="D418" s="854">
        <v>1</v>
      </c>
      <c r="E418" s="875">
        <f>C418*D418</f>
        <v>0.01</v>
      </c>
      <c r="F418" s="854"/>
    </row>
    <row r="419" spans="1:18" hidden="1" outlineLevel="1" x14ac:dyDescent="0.25">
      <c r="A419" s="854"/>
      <c r="B419" s="394" t="s">
        <v>34</v>
      </c>
      <c r="C419" s="873">
        <v>0.08</v>
      </c>
      <c r="D419" s="879"/>
      <c r="E419" s="890">
        <f>SUM(E403:E418)*C419</f>
        <v>8.2240000000000008E-2</v>
      </c>
      <c r="F419" s="890"/>
      <c r="G419" s="14"/>
      <c r="H419" s="14"/>
    </row>
    <row r="420" spans="1:18" s="19" customFormat="1" ht="15.75" collapsed="1" x14ac:dyDescent="0.25">
      <c r="A420" s="862"/>
      <c r="B420" s="862" t="s">
        <v>48</v>
      </c>
      <c r="C420" s="862"/>
      <c r="D420" s="862"/>
      <c r="E420" s="862"/>
      <c r="F420" s="862"/>
    </row>
    <row r="421" spans="1:18" s="19" customFormat="1" ht="15.75" x14ac:dyDescent="0.25">
      <c r="A421" s="862"/>
      <c r="B421" s="862" t="s">
        <v>49</v>
      </c>
      <c r="C421" s="862">
        <v>5.32</v>
      </c>
      <c r="D421" s="880"/>
      <c r="E421" s="862"/>
      <c r="F421" s="862"/>
    </row>
    <row r="422" spans="1:18" s="11" customFormat="1" x14ac:dyDescent="0.25">
      <c r="A422" s="862"/>
      <c r="B422" s="861" t="s">
        <v>700</v>
      </c>
      <c r="C422" s="862"/>
      <c r="D422" s="862">
        <f>D22</f>
        <v>10</v>
      </c>
      <c r="E422" s="862" t="s">
        <v>895</v>
      </c>
      <c r="F422" s="862"/>
      <c r="I422" s="13"/>
    </row>
    <row r="423" spans="1:18" s="2" customFormat="1" ht="76.5" x14ac:dyDescent="0.25">
      <c r="A423" s="854"/>
      <c r="B423" s="394" t="s">
        <v>897</v>
      </c>
      <c r="C423" s="394" t="s">
        <v>898</v>
      </c>
      <c r="D423" s="394" t="s">
        <v>899</v>
      </c>
      <c r="E423" s="854"/>
      <c r="F423" s="855">
        <f>(1.39+0.102*(0.4*10+0.6*8))*1*D424*D425*C445*1000</f>
        <v>6485.5950372864008</v>
      </c>
      <c r="I423"/>
      <c r="J423"/>
      <c r="K423"/>
      <c r="Q423" s="17"/>
      <c r="R423" s="17"/>
    </row>
    <row r="424" spans="1:18" s="3" customFormat="1" x14ac:dyDescent="0.25">
      <c r="A424" s="866"/>
      <c r="B424" s="865" t="s">
        <v>4</v>
      </c>
      <c r="C424" s="865" t="s">
        <v>346</v>
      </c>
      <c r="D424" s="866">
        <v>0.48</v>
      </c>
      <c r="E424" s="866"/>
      <c r="F424" s="866"/>
      <c r="I424"/>
      <c r="J424"/>
      <c r="K424"/>
    </row>
    <row r="425" spans="1:18" ht="89.25" x14ac:dyDescent="0.25">
      <c r="A425" s="854"/>
      <c r="B425" s="394" t="s">
        <v>15</v>
      </c>
      <c r="C425" s="394" t="s">
        <v>843</v>
      </c>
      <c r="D425" s="854">
        <f>E426/1</f>
        <v>1.1102400000000001</v>
      </c>
      <c r="E425" s="854"/>
      <c r="F425" s="854"/>
    </row>
    <row r="426" spans="1:18" x14ac:dyDescent="0.25">
      <c r="A426" s="854"/>
      <c r="B426" s="390" t="s">
        <v>6</v>
      </c>
      <c r="C426" s="869">
        <f>SUM(C427:C443)</f>
        <v>0.99999999999999989</v>
      </c>
      <c r="D426" s="870"/>
      <c r="E426" s="908">
        <f>SUM(E427:E443)</f>
        <v>1.1102400000000001</v>
      </c>
      <c r="F426" s="875"/>
      <c r="G426" s="4"/>
      <c r="H426" s="4"/>
    </row>
    <row r="427" spans="1:18" hidden="1" outlineLevel="1" x14ac:dyDescent="0.25">
      <c r="A427" s="854"/>
      <c r="B427" s="394" t="s">
        <v>20</v>
      </c>
      <c r="C427" s="873">
        <v>0.02</v>
      </c>
      <c r="D427" s="854">
        <v>1</v>
      </c>
      <c r="E427" s="875">
        <f>C427*D427</f>
        <v>0.02</v>
      </c>
      <c r="F427" s="854"/>
    </row>
    <row r="428" spans="1:18" hidden="1" outlineLevel="1" x14ac:dyDescent="0.25">
      <c r="A428" s="854"/>
      <c r="B428" s="394" t="s">
        <v>21</v>
      </c>
      <c r="C428" s="873">
        <v>0.02</v>
      </c>
      <c r="D428" s="854">
        <v>1</v>
      </c>
      <c r="E428" s="875">
        <f>C428*D428</f>
        <v>0.02</v>
      </c>
      <c r="F428" s="854"/>
    </row>
    <row r="429" spans="1:18" hidden="1" outlineLevel="1" x14ac:dyDescent="0.25">
      <c r="A429" s="854"/>
      <c r="B429" s="394" t="s">
        <v>22</v>
      </c>
      <c r="C429" s="873">
        <v>0.06</v>
      </c>
      <c r="D429" s="879" t="s">
        <v>16</v>
      </c>
      <c r="E429" s="875">
        <f>C429*(1+0.3)</f>
        <v>7.8E-2</v>
      </c>
      <c r="F429" s="854"/>
    </row>
    <row r="430" spans="1:18" hidden="1" outlineLevel="1" x14ac:dyDescent="0.25">
      <c r="A430" s="854"/>
      <c r="B430" s="394" t="s">
        <v>23</v>
      </c>
      <c r="C430" s="873">
        <v>0.12</v>
      </c>
      <c r="D430" s="879" t="s">
        <v>16</v>
      </c>
      <c r="E430" s="875">
        <f>C430*(1+0.3)</f>
        <v>0.156</v>
      </c>
      <c r="F430" s="854"/>
    </row>
    <row r="431" spans="1:18" ht="25.5" hidden="1" outlineLevel="1" x14ac:dyDescent="0.25">
      <c r="A431" s="854"/>
      <c r="B431" s="394" t="s">
        <v>343</v>
      </c>
      <c r="C431" s="873"/>
      <c r="D431" s="879"/>
      <c r="E431" s="875"/>
      <c r="F431" s="854"/>
    </row>
    <row r="432" spans="1:18" hidden="1" outlineLevel="1" x14ac:dyDescent="0.25">
      <c r="A432" s="854"/>
      <c r="B432" s="877" t="s">
        <v>37</v>
      </c>
      <c r="C432" s="873">
        <v>0.16</v>
      </c>
      <c r="D432" s="879" t="s">
        <v>16</v>
      </c>
      <c r="E432" s="875">
        <f>C432*(1+0.3)</f>
        <v>0.20800000000000002</v>
      </c>
      <c r="F432" s="854"/>
    </row>
    <row r="433" spans="1:18" hidden="1" outlineLevel="1" x14ac:dyDescent="0.25">
      <c r="A433" s="854"/>
      <c r="B433" s="877" t="s">
        <v>38</v>
      </c>
      <c r="C433" s="873">
        <v>0.02</v>
      </c>
      <c r="D433" s="854">
        <v>1</v>
      </c>
      <c r="E433" s="875">
        <f>C433*D433</f>
        <v>0.02</v>
      </c>
      <c r="F433" s="854"/>
    </row>
    <row r="434" spans="1:18" hidden="1" outlineLevel="1" x14ac:dyDescent="0.25">
      <c r="A434" s="854"/>
      <c r="B434" s="877" t="s">
        <v>39</v>
      </c>
      <c r="C434" s="873">
        <v>0.02</v>
      </c>
      <c r="D434" s="854">
        <v>1</v>
      </c>
      <c r="E434" s="875">
        <f t="shared" ref="E434:E435" si="19">C434*D434</f>
        <v>0.02</v>
      </c>
      <c r="F434" s="854"/>
    </row>
    <row r="435" spans="1:18" hidden="1" outlineLevel="1" x14ac:dyDescent="0.25">
      <c r="A435" s="854"/>
      <c r="B435" s="877" t="s">
        <v>40</v>
      </c>
      <c r="C435" s="873">
        <v>0.1</v>
      </c>
      <c r="D435" s="854">
        <v>1</v>
      </c>
      <c r="E435" s="875">
        <f t="shared" si="19"/>
        <v>0.1</v>
      </c>
      <c r="F435" s="854"/>
    </row>
    <row r="436" spans="1:18" hidden="1" outlineLevel="1" x14ac:dyDescent="0.25">
      <c r="A436" s="854"/>
      <c r="B436" s="877" t="s">
        <v>41</v>
      </c>
      <c r="C436" s="873">
        <v>0.02</v>
      </c>
      <c r="D436" s="879" t="s">
        <v>16</v>
      </c>
      <c r="E436" s="875">
        <f>C436*(1+0.3)</f>
        <v>2.6000000000000002E-2</v>
      </c>
      <c r="F436" s="854"/>
    </row>
    <row r="437" spans="1:18" hidden="1" outlineLevel="1" x14ac:dyDescent="0.25">
      <c r="A437" s="854"/>
      <c r="B437" s="877" t="s">
        <v>42</v>
      </c>
      <c r="C437" s="873">
        <v>0.01</v>
      </c>
      <c r="D437" s="854">
        <v>1</v>
      </c>
      <c r="E437" s="875">
        <f t="shared" ref="E437:E441" si="20">C437*D437</f>
        <v>0.01</v>
      </c>
      <c r="F437" s="854"/>
    </row>
    <row r="438" spans="1:18" hidden="1" outlineLevel="1" x14ac:dyDescent="0.25">
      <c r="A438" s="854"/>
      <c r="B438" s="877" t="s">
        <v>43</v>
      </c>
      <c r="C438" s="873">
        <v>0.18</v>
      </c>
      <c r="D438" s="854">
        <v>1</v>
      </c>
      <c r="E438" s="875">
        <f t="shared" si="20"/>
        <v>0.18</v>
      </c>
      <c r="F438" s="854"/>
    </row>
    <row r="439" spans="1:18" hidden="1" outlineLevel="1" x14ac:dyDescent="0.25">
      <c r="A439" s="854"/>
      <c r="B439" s="394" t="s">
        <v>30</v>
      </c>
      <c r="C439" s="873">
        <v>0.03</v>
      </c>
      <c r="D439" s="854">
        <v>1</v>
      </c>
      <c r="E439" s="875">
        <f t="shared" si="20"/>
        <v>0.03</v>
      </c>
      <c r="F439" s="854"/>
    </row>
    <row r="440" spans="1:18" hidden="1" outlineLevel="1" x14ac:dyDescent="0.25">
      <c r="A440" s="854"/>
      <c r="B440" s="394" t="s">
        <v>44</v>
      </c>
      <c r="C440" s="873">
        <v>0.09</v>
      </c>
      <c r="D440" s="854">
        <v>1</v>
      </c>
      <c r="E440" s="875">
        <f t="shared" si="20"/>
        <v>0.09</v>
      </c>
      <c r="F440" s="854"/>
    </row>
    <row r="441" spans="1:18" hidden="1" outlineLevel="1" x14ac:dyDescent="0.25">
      <c r="A441" s="854"/>
      <c r="B441" s="394" t="s">
        <v>32</v>
      </c>
      <c r="C441" s="873">
        <v>0.06</v>
      </c>
      <c r="D441" s="854">
        <v>1</v>
      </c>
      <c r="E441" s="875">
        <f t="shared" si="20"/>
        <v>0.06</v>
      </c>
      <c r="F441" s="854"/>
    </row>
    <row r="442" spans="1:18" hidden="1" outlineLevel="1" x14ac:dyDescent="0.25">
      <c r="A442" s="854"/>
      <c r="B442" s="394" t="s">
        <v>45</v>
      </c>
      <c r="C442" s="873">
        <v>0.01</v>
      </c>
      <c r="D442" s="854">
        <v>1</v>
      </c>
      <c r="E442" s="875">
        <f>C442*D442</f>
        <v>0.01</v>
      </c>
      <c r="F442" s="854"/>
    </row>
    <row r="443" spans="1:18" hidden="1" outlineLevel="1" x14ac:dyDescent="0.25">
      <c r="A443" s="854"/>
      <c r="B443" s="394" t="s">
        <v>34</v>
      </c>
      <c r="C443" s="873">
        <v>0.08</v>
      </c>
      <c r="D443" s="879"/>
      <c r="E443" s="890">
        <f>SUM(E427:E442)*C443</f>
        <v>8.2240000000000008E-2</v>
      </c>
      <c r="F443" s="890"/>
      <c r="G443" s="14"/>
      <c r="H443" s="14"/>
    </row>
    <row r="444" spans="1:18" s="19" customFormat="1" ht="15.75" collapsed="1" x14ac:dyDescent="0.25">
      <c r="A444" s="862"/>
      <c r="B444" s="862" t="s">
        <v>48</v>
      </c>
      <c r="C444" s="862"/>
      <c r="D444" s="862"/>
      <c r="E444" s="862"/>
      <c r="F444" s="862"/>
    </row>
    <row r="445" spans="1:18" s="19" customFormat="1" ht="15.75" x14ac:dyDescent="0.25">
      <c r="A445" s="862"/>
      <c r="B445" s="862" t="s">
        <v>49</v>
      </c>
      <c r="C445" s="862">
        <v>5.32</v>
      </c>
      <c r="D445" s="880"/>
      <c r="E445" s="862"/>
      <c r="F445" s="862"/>
    </row>
    <row r="446" spans="1:18" s="11" customFormat="1" x14ac:dyDescent="0.25">
      <c r="A446" s="847"/>
      <c r="B446" s="845" t="s">
        <v>2374</v>
      </c>
      <c r="C446" s="847"/>
      <c r="D446" s="847">
        <v>510</v>
      </c>
      <c r="E446" s="847" t="s">
        <v>235</v>
      </c>
      <c r="F446" s="847"/>
      <c r="I446" s="13"/>
    </row>
    <row r="447" spans="1:18" s="2" customFormat="1" ht="76.5" x14ac:dyDescent="0.25">
      <c r="A447" s="854"/>
      <c r="B447" s="394" t="s">
        <v>2388</v>
      </c>
      <c r="C447" s="394" t="s">
        <v>2389</v>
      </c>
      <c r="D447" s="394" t="s">
        <v>2391</v>
      </c>
      <c r="E447" s="854"/>
      <c r="F447" s="855">
        <f>(381.92+0*(0.4*0.5+0.6*0.51))*1*D448*D449*C469*1000</f>
        <v>562641.91639040003</v>
      </c>
      <c r="I447"/>
      <c r="J447"/>
      <c r="K447"/>
      <c r="Q447" s="17"/>
      <c r="R447" s="17"/>
    </row>
    <row r="448" spans="1:18" s="3" customFormat="1" x14ac:dyDescent="0.25">
      <c r="A448" s="866"/>
      <c r="B448" s="865" t="s">
        <v>4</v>
      </c>
      <c r="C448" s="865" t="s">
        <v>5</v>
      </c>
      <c r="D448" s="866">
        <v>0.4</v>
      </c>
      <c r="E448" s="866"/>
      <c r="F448" s="866"/>
      <c r="I448"/>
      <c r="J448"/>
      <c r="K448"/>
    </row>
    <row r="449" spans="1:8" ht="90" x14ac:dyDescent="0.25">
      <c r="A449" s="844"/>
      <c r="B449" s="895" t="s">
        <v>15</v>
      </c>
      <c r="C449" s="394" t="s">
        <v>843</v>
      </c>
      <c r="D449" s="854">
        <f>E450/1</f>
        <v>0.69229000000000007</v>
      </c>
      <c r="E449" s="844"/>
      <c r="F449" s="844"/>
    </row>
    <row r="450" spans="1:8" x14ac:dyDescent="0.25">
      <c r="A450" s="844"/>
      <c r="B450" s="896" t="s">
        <v>6</v>
      </c>
      <c r="C450" s="897">
        <f>SUM(C451:C467)</f>
        <v>0.63000000000000012</v>
      </c>
      <c r="D450" s="857"/>
      <c r="E450" s="898">
        <f>SUM(E451:E467)</f>
        <v>0.69229000000000007</v>
      </c>
      <c r="F450" s="899"/>
      <c r="G450" s="4"/>
      <c r="H450" s="4"/>
    </row>
    <row r="451" spans="1:8" hidden="1" outlineLevel="1" x14ac:dyDescent="0.25">
      <c r="A451" s="844"/>
      <c r="B451" s="900" t="s">
        <v>20</v>
      </c>
      <c r="C451" s="901">
        <v>0.02</v>
      </c>
      <c r="D451" s="844">
        <v>1</v>
      </c>
      <c r="E451" s="899">
        <f>C451*D451</f>
        <v>0.02</v>
      </c>
      <c r="F451" s="844"/>
    </row>
    <row r="452" spans="1:8" hidden="1" outlineLevel="1" x14ac:dyDescent="0.25">
      <c r="A452" s="844"/>
      <c r="B452" s="900" t="s">
        <v>21</v>
      </c>
      <c r="C452" s="901">
        <v>0.04</v>
      </c>
      <c r="D452" s="844">
        <v>1</v>
      </c>
      <c r="E452" s="899">
        <f>C452*D452</f>
        <v>0.04</v>
      </c>
      <c r="F452" s="844"/>
    </row>
    <row r="453" spans="1:8" hidden="1" outlineLevel="1" x14ac:dyDescent="0.25">
      <c r="A453" s="844"/>
      <c r="B453" s="900" t="s">
        <v>22</v>
      </c>
      <c r="C453" s="901">
        <v>0.14000000000000001</v>
      </c>
      <c r="D453" s="902" t="s">
        <v>16</v>
      </c>
      <c r="E453" s="899">
        <f>C453*(1+0.3)</f>
        <v>0.18200000000000002</v>
      </c>
      <c r="F453" s="844"/>
    </row>
    <row r="454" spans="1:8" hidden="1" outlineLevel="1" x14ac:dyDescent="0.25">
      <c r="A454" s="844"/>
      <c r="B454" s="900" t="s">
        <v>23</v>
      </c>
      <c r="C454" s="901">
        <v>0.15</v>
      </c>
      <c r="D454" s="902" t="s">
        <v>16</v>
      </c>
      <c r="E454" s="899">
        <f>C454*(1+0.3)</f>
        <v>0.19500000000000001</v>
      </c>
      <c r="F454" s="844"/>
    </row>
    <row r="455" spans="1:8" ht="25.5" hidden="1" outlineLevel="1" x14ac:dyDescent="0.25">
      <c r="A455" s="844"/>
      <c r="B455" s="900" t="s">
        <v>36</v>
      </c>
      <c r="C455" s="901"/>
      <c r="D455" s="902"/>
      <c r="E455" s="899"/>
      <c r="F455" s="844"/>
    </row>
    <row r="456" spans="1:8" hidden="1" outlineLevel="1" x14ac:dyDescent="0.25">
      <c r="A456" s="844"/>
      <c r="B456" s="903" t="s">
        <v>37</v>
      </c>
      <c r="C456" s="901"/>
      <c r="D456" s="902">
        <v>1</v>
      </c>
      <c r="E456" s="899">
        <f>C456*D456</f>
        <v>0</v>
      </c>
      <c r="F456" s="844"/>
    </row>
    <row r="457" spans="1:8" hidden="1" outlineLevel="1" x14ac:dyDescent="0.25">
      <c r="A457" s="844"/>
      <c r="B457" s="903" t="s">
        <v>38</v>
      </c>
      <c r="C457" s="901"/>
      <c r="D457" s="844">
        <v>1</v>
      </c>
      <c r="E457" s="899">
        <f t="shared" ref="E457:E466" si="21">C457*D457</f>
        <v>0</v>
      </c>
      <c r="F457" s="844"/>
    </row>
    <row r="458" spans="1:8" hidden="1" outlineLevel="1" x14ac:dyDescent="0.25">
      <c r="A458" s="844"/>
      <c r="B458" s="903" t="s">
        <v>39</v>
      </c>
      <c r="C458" s="901"/>
      <c r="D458" s="844">
        <v>1</v>
      </c>
      <c r="E458" s="899">
        <f t="shared" si="21"/>
        <v>0</v>
      </c>
      <c r="F458" s="844"/>
    </row>
    <row r="459" spans="1:8" ht="25.5" hidden="1" outlineLevel="1" x14ac:dyDescent="0.25">
      <c r="A459" s="844"/>
      <c r="B459" s="903" t="s">
        <v>40</v>
      </c>
      <c r="C459" s="901"/>
      <c r="D459" s="844">
        <v>1</v>
      </c>
      <c r="E459" s="899">
        <f t="shared" si="21"/>
        <v>0</v>
      </c>
      <c r="F459" s="844"/>
    </row>
    <row r="460" spans="1:8" hidden="1" outlineLevel="1" x14ac:dyDescent="0.25">
      <c r="A460" s="844"/>
      <c r="B460" s="903" t="s">
        <v>41</v>
      </c>
      <c r="C460" s="901"/>
      <c r="D460" s="902">
        <v>1</v>
      </c>
      <c r="E460" s="899">
        <f t="shared" si="21"/>
        <v>0</v>
      </c>
      <c r="F460" s="844"/>
    </row>
    <row r="461" spans="1:8" hidden="1" outlineLevel="1" x14ac:dyDescent="0.25">
      <c r="A461" s="844"/>
      <c r="B461" s="903" t="s">
        <v>42</v>
      </c>
      <c r="C461" s="901"/>
      <c r="D461" s="844">
        <v>1</v>
      </c>
      <c r="E461" s="899">
        <f t="shared" si="21"/>
        <v>0</v>
      </c>
      <c r="F461" s="844"/>
    </row>
    <row r="462" spans="1:8" hidden="1" outlineLevel="1" x14ac:dyDescent="0.25">
      <c r="A462" s="844"/>
      <c r="B462" s="903" t="s">
        <v>43</v>
      </c>
      <c r="C462" s="901"/>
      <c r="D462" s="844">
        <v>1</v>
      </c>
      <c r="E462" s="899">
        <f t="shared" si="21"/>
        <v>0</v>
      </c>
      <c r="F462" s="844"/>
    </row>
    <row r="463" spans="1:8" hidden="1" outlineLevel="1" x14ac:dyDescent="0.25">
      <c r="A463" s="844"/>
      <c r="B463" s="900" t="s">
        <v>30</v>
      </c>
      <c r="C463" s="901">
        <v>0.06</v>
      </c>
      <c r="D463" s="844">
        <v>1</v>
      </c>
      <c r="E463" s="899">
        <f t="shared" si="21"/>
        <v>0.06</v>
      </c>
      <c r="F463" s="844"/>
    </row>
    <row r="464" spans="1:8" hidden="1" outlineLevel="1" x14ac:dyDescent="0.25">
      <c r="A464" s="844"/>
      <c r="B464" s="900" t="s">
        <v>44</v>
      </c>
      <c r="C464" s="901">
        <v>7.0000000000000007E-2</v>
      </c>
      <c r="D464" s="844">
        <v>1</v>
      </c>
      <c r="E464" s="899">
        <f t="shared" si="21"/>
        <v>7.0000000000000007E-2</v>
      </c>
      <c r="F464" s="844"/>
    </row>
    <row r="465" spans="1:10" hidden="1" outlineLevel="1" x14ac:dyDescent="0.25">
      <c r="A465" s="844"/>
      <c r="B465" s="900" t="s">
        <v>32</v>
      </c>
      <c r="C465" s="901">
        <v>0.06</v>
      </c>
      <c r="D465" s="844">
        <v>1</v>
      </c>
      <c r="E465" s="899">
        <f t="shared" si="21"/>
        <v>0.06</v>
      </c>
      <c r="F465" s="844"/>
    </row>
    <row r="466" spans="1:10" hidden="1" outlineLevel="1" x14ac:dyDescent="0.25">
      <c r="A466" s="844"/>
      <c r="B466" s="900" t="s">
        <v>45</v>
      </c>
      <c r="C466" s="901">
        <v>0.02</v>
      </c>
      <c r="D466" s="844">
        <v>1</v>
      </c>
      <c r="E466" s="899">
        <f t="shared" si="21"/>
        <v>0.02</v>
      </c>
      <c r="F466" s="844"/>
    </row>
    <row r="467" spans="1:10" hidden="1" outlineLevel="1" x14ac:dyDescent="0.25">
      <c r="A467" s="844"/>
      <c r="B467" s="900" t="s">
        <v>34</v>
      </c>
      <c r="C467" s="901">
        <v>7.0000000000000007E-2</v>
      </c>
      <c r="D467" s="902"/>
      <c r="E467" s="904">
        <f>SUM(E451:E466)*C467</f>
        <v>4.5290000000000004E-2</v>
      </c>
      <c r="F467" s="904"/>
      <c r="G467" s="14"/>
      <c r="H467" s="14"/>
    </row>
    <row r="468" spans="1:10" s="19" customFormat="1" ht="15.75" collapsed="1" x14ac:dyDescent="0.25">
      <c r="A468" s="847"/>
      <c r="B468" s="847" t="s">
        <v>48</v>
      </c>
      <c r="C468" s="847"/>
      <c r="D468" s="847"/>
      <c r="E468" s="847"/>
      <c r="F468" s="847"/>
    </row>
    <row r="469" spans="1:10" s="19" customFormat="1" ht="15.75" x14ac:dyDescent="0.25">
      <c r="A469" s="847"/>
      <c r="B469" s="847" t="s">
        <v>49</v>
      </c>
      <c r="C469" s="847">
        <v>5.32</v>
      </c>
      <c r="D469" s="905"/>
      <c r="E469" s="847"/>
      <c r="F469" s="847"/>
    </row>
    <row r="470" spans="1:10" s="36" customFormat="1" ht="38.25" x14ac:dyDescent="0.2">
      <c r="A470" s="894"/>
      <c r="B470" s="891" t="s">
        <v>930</v>
      </c>
      <c r="C470" s="892">
        <v>0.04</v>
      </c>
      <c r="D470" s="893"/>
      <c r="E470" s="894"/>
      <c r="F470" s="855">
        <f>(SUM(F41:F447)-F132)*C470</f>
        <v>159394.50836027187</v>
      </c>
      <c r="G470" s="34"/>
      <c r="H470" s="34"/>
      <c r="I470" s="33"/>
      <c r="J470" s="35"/>
    </row>
    <row r="471" spans="1:10" x14ac:dyDescent="0.25">
      <c r="A471" s="854"/>
      <c r="B471" s="390" t="s">
        <v>50</v>
      </c>
      <c r="C471" s="854"/>
      <c r="D471" s="854"/>
      <c r="E471" s="854"/>
      <c r="F471" s="855">
        <f>SUM(F70:F470)</f>
        <v>4262848.7770729186</v>
      </c>
    </row>
    <row r="472" spans="1:10" x14ac:dyDescent="0.25">
      <c r="A472" s="854"/>
      <c r="B472" s="390" t="s">
        <v>51</v>
      </c>
      <c r="C472" s="854"/>
      <c r="D472" s="854"/>
      <c r="E472" s="854"/>
      <c r="F472" s="868">
        <f>F471*0.2</f>
        <v>852569.75541458372</v>
      </c>
    </row>
    <row r="473" spans="1:10" x14ac:dyDescent="0.25">
      <c r="A473" s="854"/>
      <c r="B473" s="390" t="s">
        <v>52</v>
      </c>
      <c r="C473" s="854"/>
      <c r="D473" s="854"/>
      <c r="E473" s="854"/>
      <c r="F473" s="855">
        <f>SUM(F471:F472)</f>
        <v>5115418.5324875023</v>
      </c>
    </row>
  </sheetData>
  <mergeCells count="8">
    <mergeCell ref="A35:B35"/>
    <mergeCell ref="A37:B37"/>
    <mergeCell ref="B1:E1"/>
    <mergeCell ref="A27:C27"/>
    <mergeCell ref="A30:F30"/>
    <mergeCell ref="A31:F31"/>
    <mergeCell ref="A33:B33"/>
    <mergeCell ref="C33:F33"/>
  </mergeCells>
  <pageMargins left="0.7" right="0.7" top="0.75" bottom="0.75" header="0.3" footer="0.3"/>
  <pageSetup paperSize="9" scale="5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4"/>
  <sheetViews>
    <sheetView view="pageBreakPreview" topLeftCell="A196" zoomScaleNormal="100" zoomScaleSheetLayoutView="100" workbookViewId="0">
      <selection activeCell="K33" sqref="K33"/>
    </sheetView>
  </sheetViews>
  <sheetFormatPr defaultRowHeight="15" outlineLevelRow="1" x14ac:dyDescent="0.25"/>
  <cols>
    <col min="1" max="1" width="10.28515625" customWidth="1"/>
    <col min="2" max="2" width="44.7109375" customWidth="1"/>
    <col min="3" max="3" width="35.7109375" customWidth="1"/>
    <col min="4" max="4" width="25.140625" customWidth="1"/>
    <col min="5" max="5" width="10.28515625" customWidth="1"/>
    <col min="6" max="6" width="21.42578125" customWidth="1"/>
  </cols>
  <sheetData>
    <row r="1" spans="1:7" ht="15.75" hidden="1" x14ac:dyDescent="0.25">
      <c r="A1" s="319"/>
      <c r="B1" s="1237" t="s">
        <v>133</v>
      </c>
      <c r="C1" s="1237"/>
      <c r="D1" s="1237"/>
      <c r="E1" s="1238"/>
      <c r="F1" s="308"/>
    </row>
    <row r="2" spans="1:7" ht="16.5" hidden="1" thickBot="1" x14ac:dyDescent="0.3">
      <c r="A2" s="344" t="s">
        <v>134</v>
      </c>
      <c r="B2" s="302" t="s">
        <v>65</v>
      </c>
      <c r="C2" s="345" t="s">
        <v>0</v>
      </c>
      <c r="D2" s="346">
        <v>1.2</v>
      </c>
      <c r="E2" s="347"/>
      <c r="F2" s="40"/>
    </row>
    <row r="3" spans="1:7" ht="32.25" hidden="1" thickBot="1" x14ac:dyDescent="0.3">
      <c r="A3" s="344" t="s">
        <v>135</v>
      </c>
      <c r="B3" s="302" t="s">
        <v>122</v>
      </c>
      <c r="C3" s="345" t="s">
        <v>620</v>
      </c>
      <c r="D3" s="346">
        <v>700</v>
      </c>
      <c r="E3" s="305" t="s">
        <v>641</v>
      </c>
      <c r="F3" s="40" t="s">
        <v>284</v>
      </c>
      <c r="G3" t="s">
        <v>659</v>
      </c>
    </row>
    <row r="4" spans="1:7" ht="48" hidden="1" thickBot="1" x14ac:dyDescent="0.3">
      <c r="A4" s="344" t="s">
        <v>136</v>
      </c>
      <c r="B4" s="302" t="s">
        <v>73</v>
      </c>
      <c r="C4" s="345" t="s">
        <v>660</v>
      </c>
      <c r="D4" s="346">
        <v>650</v>
      </c>
      <c r="E4" s="305" t="s">
        <v>641</v>
      </c>
      <c r="F4" s="40" t="s">
        <v>262</v>
      </c>
      <c r="G4" t="s">
        <v>661</v>
      </c>
    </row>
    <row r="5" spans="1:7" ht="79.5" hidden="1" thickBot="1" x14ac:dyDescent="0.3">
      <c r="A5" s="344" t="s">
        <v>137</v>
      </c>
      <c r="B5" s="302" t="s">
        <v>127</v>
      </c>
      <c r="C5" s="345"/>
      <c r="D5" s="346">
        <v>0.8</v>
      </c>
      <c r="E5" s="305" t="s">
        <v>662</v>
      </c>
      <c r="F5" s="40" t="s">
        <v>287</v>
      </c>
    </row>
    <row r="6" spans="1:7" ht="95.25" hidden="1" thickBot="1" x14ac:dyDescent="0.3">
      <c r="A6" s="344" t="s">
        <v>138</v>
      </c>
      <c r="B6" s="302" t="s">
        <v>71</v>
      </c>
      <c r="C6" s="345"/>
      <c r="D6" s="346"/>
      <c r="E6" s="305" t="s">
        <v>625</v>
      </c>
      <c r="F6" s="40" t="s">
        <v>256</v>
      </c>
      <c r="G6" t="s">
        <v>626</v>
      </c>
    </row>
    <row r="7" spans="1:7" ht="15" hidden="1" customHeight="1" thickBot="1" x14ac:dyDescent="0.3">
      <c r="A7" s="344" t="s">
        <v>663</v>
      </c>
      <c r="B7" s="302" t="s">
        <v>628</v>
      </c>
      <c r="C7" s="345" t="s">
        <v>211</v>
      </c>
      <c r="D7" s="346">
        <v>8</v>
      </c>
      <c r="E7" s="305"/>
      <c r="F7" s="40"/>
    </row>
    <row r="8" spans="1:7" ht="32.25" hidden="1" thickBot="1" x14ac:dyDescent="0.3">
      <c r="A8" s="307" t="s">
        <v>664</v>
      </c>
      <c r="B8" s="310" t="s">
        <v>630</v>
      </c>
      <c r="C8" s="311" t="s">
        <v>211</v>
      </c>
      <c r="D8" s="312"/>
      <c r="E8" s="305"/>
      <c r="F8" s="40"/>
    </row>
    <row r="9" spans="1:7" ht="16.5" hidden="1" thickBot="1" x14ac:dyDescent="0.3">
      <c r="A9" s="307" t="s">
        <v>665</v>
      </c>
      <c r="B9" s="310" t="s">
        <v>632</v>
      </c>
      <c r="C9" s="311" t="s">
        <v>211</v>
      </c>
      <c r="D9" s="312"/>
      <c r="E9" s="305"/>
      <c r="F9" s="40"/>
    </row>
    <row r="10" spans="1:7" ht="16.5" hidden="1" thickBot="1" x14ac:dyDescent="0.3">
      <c r="A10" s="344" t="s">
        <v>666</v>
      </c>
      <c r="B10" s="302" t="s">
        <v>634</v>
      </c>
      <c r="C10" s="345" t="s">
        <v>211</v>
      </c>
      <c r="D10" s="346">
        <v>4</v>
      </c>
      <c r="E10" s="305"/>
      <c r="F10" s="40"/>
    </row>
    <row r="11" spans="1:7" ht="16.5" hidden="1" thickBot="1" x14ac:dyDescent="0.3">
      <c r="A11" s="344" t="s">
        <v>139</v>
      </c>
      <c r="B11" s="302" t="s">
        <v>79</v>
      </c>
      <c r="C11" s="345" t="s">
        <v>211</v>
      </c>
      <c r="D11" s="346">
        <v>10</v>
      </c>
      <c r="E11" s="305" t="s">
        <v>667</v>
      </c>
      <c r="F11" s="40" t="s">
        <v>254</v>
      </c>
    </row>
    <row r="12" spans="1:7" ht="16.5" hidden="1" thickBot="1" x14ac:dyDescent="0.3">
      <c r="A12" s="320" t="s">
        <v>140</v>
      </c>
      <c r="B12" s="321" t="s">
        <v>82</v>
      </c>
      <c r="C12" s="322" t="s">
        <v>668</v>
      </c>
      <c r="D12" s="323" t="s">
        <v>669</v>
      </c>
      <c r="E12" s="305" t="s">
        <v>635</v>
      </c>
      <c r="F12" s="40" t="s">
        <v>254</v>
      </c>
      <c r="G12" t="s">
        <v>638</v>
      </c>
    </row>
    <row r="13" spans="1:7" ht="141.75" hidden="1" x14ac:dyDescent="0.25">
      <c r="A13" s="344" t="s">
        <v>141</v>
      </c>
      <c r="B13" s="302" t="s">
        <v>132</v>
      </c>
      <c r="C13" s="345" t="s">
        <v>622</v>
      </c>
      <c r="D13" s="346">
        <v>1</v>
      </c>
      <c r="E13" s="318" t="s">
        <v>670</v>
      </c>
      <c r="F13" s="324" t="s">
        <v>649</v>
      </c>
      <c r="G13" t="s">
        <v>650</v>
      </c>
    </row>
    <row r="14" spans="1:7" hidden="1" x14ac:dyDescent="0.25"/>
    <row r="15" spans="1:7" hidden="1" x14ac:dyDescent="0.25"/>
    <row r="16" spans="1:7" hidden="1" x14ac:dyDescent="0.25"/>
    <row r="17" spans="1:11" s="828" customFormat="1" ht="27" customHeight="1" x14ac:dyDescent="0.25">
      <c r="A17" s="1254" t="s">
        <v>2397</v>
      </c>
      <c r="B17" s="1254"/>
      <c r="C17" s="1254"/>
      <c r="E17" s="835"/>
      <c r="F17" s="835" t="s">
        <v>2398</v>
      </c>
      <c r="G17" s="835"/>
      <c r="H17" s="835"/>
      <c r="I17" s="835"/>
    </row>
    <row r="18" spans="1:11" s="831" customFormat="1" x14ac:dyDescent="0.25">
      <c r="A18" s="829"/>
      <c r="B18" s="829"/>
      <c r="C18" s="829"/>
      <c r="D18" s="830"/>
      <c r="E18" s="830"/>
      <c r="F18" s="830"/>
      <c r="G18" s="830"/>
      <c r="H18" s="830"/>
      <c r="I18" s="830"/>
    </row>
    <row r="19" spans="1:11" s="831" customFormat="1" x14ac:dyDescent="0.25">
      <c r="A19" s="829"/>
      <c r="B19" s="829"/>
      <c r="C19" s="829"/>
      <c r="D19" s="830"/>
      <c r="E19" s="830"/>
      <c r="F19" s="830"/>
      <c r="G19" s="830"/>
      <c r="H19" s="830"/>
      <c r="I19" s="830"/>
    </row>
    <row r="20" spans="1:11" s="828" customFormat="1" ht="28.5" customHeight="1" x14ac:dyDescent="0.25">
      <c r="A20" s="1255" t="s">
        <v>2410</v>
      </c>
      <c r="B20" s="1255"/>
      <c r="C20" s="1255"/>
      <c r="D20" s="1255"/>
      <c r="E20" s="1255"/>
      <c r="F20" s="1255"/>
      <c r="G20" s="836"/>
      <c r="H20" s="836"/>
      <c r="I20" s="836"/>
    </row>
    <row r="21" spans="1:11" s="839" customFormat="1" ht="15.75" x14ac:dyDescent="0.25">
      <c r="A21" s="1256" t="s">
        <v>1112</v>
      </c>
      <c r="B21" s="1256"/>
      <c r="C21" s="1256"/>
      <c r="D21" s="1256"/>
      <c r="E21" s="1256"/>
      <c r="F21" s="1256"/>
      <c r="G21" s="838"/>
      <c r="H21" s="838"/>
      <c r="I21" s="838"/>
    </row>
    <row r="22" spans="1:11" s="828" customFormat="1" ht="15.75" x14ac:dyDescent="0.25">
      <c r="A22" s="840"/>
      <c r="B22" s="840"/>
      <c r="C22" s="840"/>
      <c r="D22" s="841"/>
      <c r="E22" s="841"/>
      <c r="F22" s="841"/>
      <c r="G22" s="829"/>
      <c r="H22" s="832"/>
      <c r="I22" s="832"/>
    </row>
    <row r="23" spans="1:11" s="828" customFormat="1" ht="81" customHeight="1" x14ac:dyDescent="0.25">
      <c r="A23" s="1258" t="s">
        <v>2399</v>
      </c>
      <c r="B23" s="1258"/>
      <c r="C23" s="1257" t="s">
        <v>2411</v>
      </c>
      <c r="D23" s="1257"/>
      <c r="E23" s="1257"/>
      <c r="F23" s="1257"/>
      <c r="G23" s="837"/>
      <c r="H23" s="837"/>
      <c r="I23" s="837"/>
    </row>
    <row r="24" spans="1:11" s="828" customFormat="1" ht="15.75" x14ac:dyDescent="0.25">
      <c r="A24" s="842"/>
      <c r="B24" s="842"/>
      <c r="C24" s="842"/>
      <c r="D24" s="840"/>
      <c r="E24" s="840"/>
      <c r="F24" s="840"/>
      <c r="G24" s="832"/>
      <c r="H24" s="832"/>
      <c r="I24" s="832"/>
    </row>
    <row r="25" spans="1:11" s="828" customFormat="1" ht="41.25" customHeight="1" x14ac:dyDescent="0.25">
      <c r="A25" s="1253" t="s">
        <v>1203</v>
      </c>
      <c r="B25" s="1253"/>
      <c r="C25" s="843"/>
      <c r="D25" s="843"/>
      <c r="E25" s="843"/>
      <c r="F25" s="843"/>
      <c r="G25" s="833"/>
      <c r="H25" s="833"/>
      <c r="I25" s="833"/>
    </row>
    <row r="26" spans="1:11" s="828" customFormat="1" ht="15.75" x14ac:dyDescent="0.25">
      <c r="A26" s="840"/>
      <c r="B26" s="840"/>
      <c r="C26" s="840"/>
      <c r="D26" s="840"/>
      <c r="E26" s="840"/>
      <c r="F26" s="840"/>
      <c r="G26" s="832"/>
      <c r="H26" s="832"/>
      <c r="I26" s="832"/>
    </row>
    <row r="27" spans="1:11" s="828" customFormat="1" ht="30" customHeight="1" x14ac:dyDescent="0.25">
      <c r="A27" s="1253" t="s">
        <v>2400</v>
      </c>
      <c r="B27" s="1253"/>
      <c r="C27" s="843" t="s">
        <v>2403</v>
      </c>
      <c r="D27" s="843"/>
      <c r="E27" s="843"/>
      <c r="F27" s="843"/>
      <c r="G27" s="833"/>
      <c r="H27" s="833"/>
      <c r="I27" s="833"/>
    </row>
    <row r="28" spans="1:11" s="294" customFormat="1" ht="38.25" x14ac:dyDescent="0.25">
      <c r="A28" s="291" t="s">
        <v>529</v>
      </c>
      <c r="B28" s="291" t="s">
        <v>528</v>
      </c>
      <c r="C28" s="291" t="s">
        <v>527</v>
      </c>
      <c r="D28" s="292" t="s">
        <v>526</v>
      </c>
      <c r="E28" s="293"/>
      <c r="F28" s="291" t="s">
        <v>525</v>
      </c>
    </row>
    <row r="29" spans="1:11" s="268" customFormat="1" ht="12.75" x14ac:dyDescent="0.2">
      <c r="A29" s="290">
        <v>1</v>
      </c>
      <c r="B29" s="290">
        <v>2</v>
      </c>
      <c r="C29" s="290">
        <v>3</v>
      </c>
      <c r="D29" s="290">
        <v>4</v>
      </c>
      <c r="E29" s="290"/>
      <c r="F29" s="290">
        <v>5</v>
      </c>
      <c r="G29" s="295"/>
    </row>
    <row r="30" spans="1:11" x14ac:dyDescent="0.25">
      <c r="A30" s="844"/>
      <c r="B30" s="845" t="str">
        <f>B3</f>
        <v>Пешеходные тропы</v>
      </c>
      <c r="C30" s="847">
        <v>1</v>
      </c>
      <c r="D30" s="847" t="s">
        <v>304</v>
      </c>
      <c r="E30" s="844"/>
      <c r="F30" s="844"/>
    </row>
    <row r="31" spans="1:11" s="2" customFormat="1" ht="51" x14ac:dyDescent="0.25">
      <c r="A31" s="854"/>
      <c r="B31" s="854" t="s">
        <v>931</v>
      </c>
      <c r="C31" s="394" t="s">
        <v>932</v>
      </c>
      <c r="D31" s="394" t="s">
        <v>933</v>
      </c>
      <c r="E31" s="854"/>
      <c r="F31" s="855">
        <f>42.32*C30*D33*D32*D34*C54*1000</f>
        <v>27173.787110400015</v>
      </c>
      <c r="G31" s="37"/>
      <c r="H31" s="37"/>
      <c r="I31"/>
      <c r="J31"/>
      <c r="K31"/>
    </row>
    <row r="32" spans="1:11" s="3" customFormat="1" x14ac:dyDescent="0.25">
      <c r="A32" s="866"/>
      <c r="B32" s="865" t="s">
        <v>4</v>
      </c>
      <c r="C32" s="865" t="s">
        <v>5</v>
      </c>
      <c r="D32" s="866">
        <v>0.4</v>
      </c>
      <c r="E32" s="866"/>
      <c r="F32" s="866"/>
      <c r="I32"/>
      <c r="J32"/>
      <c r="K32"/>
    </row>
    <row r="33" spans="1:9" ht="128.25" x14ac:dyDescent="0.25">
      <c r="A33" s="844"/>
      <c r="B33" s="895" t="s">
        <v>310</v>
      </c>
      <c r="C33" s="394" t="s">
        <v>311</v>
      </c>
      <c r="D33" s="844">
        <v>0.25</v>
      </c>
      <c r="E33" s="844"/>
      <c r="F33" s="844"/>
    </row>
    <row r="34" spans="1:9" ht="102.75" x14ac:dyDescent="0.25">
      <c r="A34" s="844"/>
      <c r="B34" s="895" t="s">
        <v>15</v>
      </c>
      <c r="C34" s="895" t="s">
        <v>215</v>
      </c>
      <c r="D34" s="844">
        <f>E35/1</f>
        <v>1.2069600000000005</v>
      </c>
      <c r="E34" s="844"/>
      <c r="F34" s="844"/>
    </row>
    <row r="35" spans="1:9" x14ac:dyDescent="0.25">
      <c r="A35" s="844"/>
      <c r="B35" s="896" t="s">
        <v>6</v>
      </c>
      <c r="C35" s="897">
        <f>SUM(C36:C52)</f>
        <v>1.0000000000000002</v>
      </c>
      <c r="D35" s="857"/>
      <c r="E35" s="916">
        <f>SUM(E36:E52)</f>
        <v>1.2069600000000005</v>
      </c>
      <c r="F35" s="856"/>
      <c r="G35" s="9"/>
      <c r="H35" s="9"/>
    </row>
    <row r="36" spans="1:9" hidden="1" outlineLevel="1" x14ac:dyDescent="0.25">
      <c r="A36" s="844"/>
      <c r="B36" s="900" t="s">
        <v>20</v>
      </c>
      <c r="C36" s="901">
        <v>0.02</v>
      </c>
      <c r="D36" s="902">
        <v>1</v>
      </c>
      <c r="E36" s="899">
        <f>C36*D36</f>
        <v>0.02</v>
      </c>
      <c r="F36" s="857"/>
      <c r="G36" s="6"/>
      <c r="H36" s="6"/>
    </row>
    <row r="37" spans="1:9" ht="25.5" hidden="1" outlineLevel="1" x14ac:dyDescent="0.25">
      <c r="A37" s="844"/>
      <c r="B37" s="900" t="s">
        <v>21</v>
      </c>
      <c r="C37" s="901">
        <v>0.04</v>
      </c>
      <c r="D37" s="844">
        <v>1</v>
      </c>
      <c r="E37" s="899">
        <f>C37*D37</f>
        <v>0.04</v>
      </c>
      <c r="F37" s="844"/>
    </row>
    <row r="38" spans="1:9" hidden="1" outlineLevel="1" x14ac:dyDescent="0.25">
      <c r="A38" s="844"/>
      <c r="B38" s="900" t="s">
        <v>22</v>
      </c>
      <c r="C38" s="901">
        <v>0.14000000000000001</v>
      </c>
      <c r="D38" s="902" t="s">
        <v>16</v>
      </c>
      <c r="E38" s="899">
        <f>C38*(1+0.3)</f>
        <v>0.18200000000000002</v>
      </c>
      <c r="F38" s="844"/>
    </row>
    <row r="39" spans="1:9" ht="25.5" hidden="1" outlineLevel="1" x14ac:dyDescent="0.25">
      <c r="A39" s="844"/>
      <c r="B39" s="900" t="s">
        <v>23</v>
      </c>
      <c r="C39" s="901">
        <v>0.15</v>
      </c>
      <c r="D39" s="902" t="s">
        <v>16</v>
      </c>
      <c r="E39" s="899">
        <f>C39*(1+0.3)</f>
        <v>0.19500000000000001</v>
      </c>
      <c r="F39" s="844"/>
    </row>
    <row r="40" spans="1:9" ht="38.25" hidden="1" outlineLevel="1" x14ac:dyDescent="0.25">
      <c r="A40" s="844"/>
      <c r="B40" s="900" t="s">
        <v>36</v>
      </c>
      <c r="C40" s="901"/>
      <c r="D40" s="902"/>
      <c r="E40" s="899">
        <f>C40*(1+0.3)</f>
        <v>0</v>
      </c>
      <c r="F40" s="857"/>
      <c r="G40" s="6"/>
      <c r="H40" s="6"/>
    </row>
    <row r="41" spans="1:9" hidden="1" outlineLevel="1" x14ac:dyDescent="0.25">
      <c r="A41" s="844"/>
      <c r="B41" s="903" t="s">
        <v>37</v>
      </c>
      <c r="C41" s="901">
        <v>7.0000000000000007E-2</v>
      </c>
      <c r="D41" s="902" t="s">
        <v>16</v>
      </c>
      <c r="E41" s="899">
        <f>C41*(1+0.3)</f>
        <v>9.1000000000000011E-2</v>
      </c>
      <c r="F41" s="857"/>
      <c r="G41" s="6"/>
      <c r="H41" s="6"/>
    </row>
    <row r="42" spans="1:9" hidden="1" outlineLevel="1" x14ac:dyDescent="0.25">
      <c r="A42" s="844"/>
      <c r="B42" s="903" t="s">
        <v>38</v>
      </c>
      <c r="C42" s="901">
        <v>0.04</v>
      </c>
      <c r="D42" s="902" t="s">
        <v>16</v>
      </c>
      <c r="E42" s="899">
        <f t="shared" ref="E42:E47" si="0">C42*(1+0.3)</f>
        <v>5.2000000000000005E-2</v>
      </c>
      <c r="F42" s="857"/>
      <c r="G42" s="6"/>
      <c r="H42" s="6"/>
    </row>
    <row r="43" spans="1:9" hidden="1" outlineLevel="1" x14ac:dyDescent="0.25">
      <c r="A43" s="844"/>
      <c r="B43" s="903" t="s">
        <v>39</v>
      </c>
      <c r="C43" s="901">
        <v>0.04</v>
      </c>
      <c r="D43" s="902" t="s">
        <v>16</v>
      </c>
      <c r="E43" s="899">
        <f t="shared" si="0"/>
        <v>5.2000000000000005E-2</v>
      </c>
      <c r="F43" s="858"/>
      <c r="G43" s="7"/>
      <c r="H43" s="7"/>
      <c r="I43" s="8"/>
    </row>
    <row r="44" spans="1:9" ht="25.5" hidden="1" outlineLevel="1" x14ac:dyDescent="0.25">
      <c r="A44" s="844"/>
      <c r="B44" s="903" t="s">
        <v>40</v>
      </c>
      <c r="C44" s="901">
        <v>0.12</v>
      </c>
      <c r="D44" s="902" t="s">
        <v>16</v>
      </c>
      <c r="E44" s="899">
        <f t="shared" si="0"/>
        <v>0.156</v>
      </c>
      <c r="F44" s="857"/>
      <c r="G44" s="6"/>
      <c r="H44" s="6"/>
    </row>
    <row r="45" spans="1:9" hidden="1" outlineLevel="1" x14ac:dyDescent="0.25">
      <c r="A45" s="844"/>
      <c r="B45" s="903" t="s">
        <v>41</v>
      </c>
      <c r="C45" s="901">
        <v>0.03</v>
      </c>
      <c r="D45" s="902" t="s">
        <v>16</v>
      </c>
      <c r="E45" s="899">
        <f t="shared" si="0"/>
        <v>3.9E-2</v>
      </c>
      <c r="F45" s="844"/>
    </row>
    <row r="46" spans="1:9" hidden="1" outlineLevel="1" x14ac:dyDescent="0.25">
      <c r="A46" s="844"/>
      <c r="B46" s="903" t="s">
        <v>42</v>
      </c>
      <c r="C46" s="901">
        <v>0.02</v>
      </c>
      <c r="D46" s="902" t="s">
        <v>16</v>
      </c>
      <c r="E46" s="899">
        <f t="shared" si="0"/>
        <v>2.6000000000000002E-2</v>
      </c>
      <c r="F46" s="844"/>
    </row>
    <row r="47" spans="1:9" hidden="1" outlineLevel="1" x14ac:dyDescent="0.25">
      <c r="A47" s="844"/>
      <c r="B47" s="903" t="s">
        <v>43</v>
      </c>
      <c r="C47" s="901">
        <v>0.05</v>
      </c>
      <c r="D47" s="902" t="s">
        <v>16</v>
      </c>
      <c r="E47" s="899">
        <f t="shared" si="0"/>
        <v>6.5000000000000002E-2</v>
      </c>
      <c r="F47" s="844"/>
    </row>
    <row r="48" spans="1:9" hidden="1" outlineLevel="1" x14ac:dyDescent="0.25">
      <c r="A48" s="844"/>
      <c r="B48" s="900" t="s">
        <v>30</v>
      </c>
      <c r="C48" s="901">
        <v>0.06</v>
      </c>
      <c r="D48" s="902">
        <v>1</v>
      </c>
      <c r="E48" s="899">
        <f>C48*D48</f>
        <v>0.06</v>
      </c>
      <c r="F48" s="857"/>
      <c r="G48" s="6"/>
      <c r="H48" s="6"/>
    </row>
    <row r="49" spans="1:11" hidden="1" outlineLevel="1" x14ac:dyDescent="0.25">
      <c r="A49" s="844"/>
      <c r="B49" s="900" t="s">
        <v>44</v>
      </c>
      <c r="C49" s="901">
        <v>7.0000000000000007E-2</v>
      </c>
      <c r="D49" s="902">
        <v>1</v>
      </c>
      <c r="E49" s="899">
        <f>C49*D49</f>
        <v>7.0000000000000007E-2</v>
      </c>
      <c r="F49" s="858"/>
      <c r="G49" s="7"/>
      <c r="H49" s="7"/>
      <c r="I49" s="8"/>
    </row>
    <row r="50" spans="1:11" ht="25.5" hidden="1" outlineLevel="1" x14ac:dyDescent="0.25">
      <c r="A50" s="844"/>
      <c r="B50" s="900" t="s">
        <v>32</v>
      </c>
      <c r="C50" s="901">
        <v>0.06</v>
      </c>
      <c r="D50" s="902">
        <v>1</v>
      </c>
      <c r="E50" s="899">
        <f>C50*D50</f>
        <v>0.06</v>
      </c>
      <c r="F50" s="857"/>
      <c r="G50" s="6"/>
      <c r="H50" s="6"/>
    </row>
    <row r="51" spans="1:11" ht="25.5" hidden="1" outlineLevel="1" x14ac:dyDescent="0.25">
      <c r="A51" s="844"/>
      <c r="B51" s="900" t="s">
        <v>45</v>
      </c>
      <c r="C51" s="901">
        <v>0.02</v>
      </c>
      <c r="D51" s="902">
        <v>1</v>
      </c>
      <c r="E51" s="899">
        <f>C51*D51</f>
        <v>0.02</v>
      </c>
      <c r="F51" s="844"/>
    </row>
    <row r="52" spans="1:11" hidden="1" outlineLevel="1" x14ac:dyDescent="0.25">
      <c r="A52" s="844"/>
      <c r="B52" s="844" t="s">
        <v>13</v>
      </c>
      <c r="C52" s="901">
        <v>7.0000000000000007E-2</v>
      </c>
      <c r="D52" s="844"/>
      <c r="E52" s="917">
        <f>SUM(E36:E51)*C52</f>
        <v>7.896000000000003E-2</v>
      </c>
      <c r="F52" s="858"/>
      <c r="G52" s="7"/>
      <c r="H52" s="7"/>
      <c r="I52" s="8"/>
    </row>
    <row r="53" spans="1:11" s="19" customFormat="1" ht="15.75" collapsed="1" x14ac:dyDescent="0.25">
      <c r="A53" s="847"/>
      <c r="B53" s="847" t="s">
        <v>48</v>
      </c>
      <c r="C53" s="847"/>
      <c r="D53" s="847"/>
      <c r="E53" s="847"/>
      <c r="F53" s="847"/>
    </row>
    <row r="54" spans="1:11" s="19" customFormat="1" ht="15.75" x14ac:dyDescent="0.25">
      <c r="A54" s="847"/>
      <c r="B54" s="847" t="s">
        <v>49</v>
      </c>
      <c r="C54" s="847">
        <v>5.32</v>
      </c>
      <c r="D54" s="905"/>
      <c r="E54" s="847"/>
      <c r="F54" s="847"/>
    </row>
    <row r="55" spans="1:11" collapsed="1" x14ac:dyDescent="0.25">
      <c r="A55" s="844"/>
      <c r="B55" s="845" t="s">
        <v>73</v>
      </c>
      <c r="C55" s="847">
        <f>D4</f>
        <v>650</v>
      </c>
      <c r="D55" s="847" t="s">
        <v>746</v>
      </c>
      <c r="E55" s="844"/>
      <c r="F55" s="844"/>
    </row>
    <row r="56" spans="1:11" s="2" customFormat="1" ht="76.5" x14ac:dyDescent="0.25">
      <c r="A56" s="854"/>
      <c r="B56" s="394" t="s">
        <v>934</v>
      </c>
      <c r="C56" s="863" t="s">
        <v>935</v>
      </c>
      <c r="D56" s="394" t="s">
        <v>936</v>
      </c>
      <c r="E56" s="854"/>
      <c r="F56" s="855">
        <f>(25.97+0.063*650)*1*D57*D58*D59*D60*C79*1000</f>
        <v>344575.76858249999</v>
      </c>
      <c r="I56"/>
      <c r="J56"/>
      <c r="K56"/>
    </row>
    <row r="57" spans="1:11" s="3" customFormat="1" x14ac:dyDescent="0.25">
      <c r="A57" s="866"/>
      <c r="B57" s="865" t="s">
        <v>4</v>
      </c>
      <c r="C57" s="865" t="s">
        <v>852</v>
      </c>
      <c r="D57" s="866">
        <v>0.5</v>
      </c>
      <c r="E57" s="866"/>
      <c r="F57" s="866"/>
      <c r="I57"/>
      <c r="J57"/>
      <c r="K57"/>
    </row>
    <row r="58" spans="1:11" ht="77.25" x14ac:dyDescent="0.25">
      <c r="A58" s="844"/>
      <c r="B58" s="895" t="s">
        <v>276</v>
      </c>
      <c r="C58" s="895" t="s">
        <v>329</v>
      </c>
      <c r="D58" s="918">
        <v>1.3</v>
      </c>
      <c r="E58" s="844"/>
      <c r="F58" s="844"/>
    </row>
    <row r="59" spans="1:11" ht="77.25" x14ac:dyDescent="0.25">
      <c r="A59" s="844"/>
      <c r="B59" s="895" t="s">
        <v>278</v>
      </c>
      <c r="C59" s="895" t="s">
        <v>328</v>
      </c>
      <c r="D59" s="919">
        <v>1.25</v>
      </c>
      <c r="E59" s="844"/>
      <c r="F59" s="844"/>
    </row>
    <row r="60" spans="1:11" ht="102.75" x14ac:dyDescent="0.25">
      <c r="A60" s="844"/>
      <c r="B60" s="895" t="s">
        <v>15</v>
      </c>
      <c r="C60" s="895" t="s">
        <v>275</v>
      </c>
      <c r="D60" s="844">
        <f>E61/1</f>
        <v>1.191225</v>
      </c>
      <c r="E60" s="844"/>
      <c r="F60" s="844"/>
    </row>
    <row r="61" spans="1:11" x14ac:dyDescent="0.25">
      <c r="A61" s="844"/>
      <c r="B61" s="896" t="s">
        <v>6</v>
      </c>
      <c r="C61" s="897">
        <f>SUM(C62:C77)</f>
        <v>1</v>
      </c>
      <c r="D61" s="857"/>
      <c r="E61" s="916">
        <f>SUM(E62:E77)</f>
        <v>1.191225</v>
      </c>
      <c r="F61" s="856"/>
      <c r="G61" s="9"/>
      <c r="H61" s="9"/>
    </row>
    <row r="62" spans="1:11" hidden="1" outlineLevel="1" x14ac:dyDescent="0.25">
      <c r="A62" s="844"/>
      <c r="B62" s="900" t="s">
        <v>20</v>
      </c>
      <c r="C62" s="901">
        <v>0.02</v>
      </c>
      <c r="D62" s="920">
        <v>1</v>
      </c>
      <c r="E62" s="899">
        <f>C62*D62</f>
        <v>0.02</v>
      </c>
      <c r="F62" s="844"/>
    </row>
    <row r="63" spans="1:11" hidden="1" outlineLevel="1" x14ac:dyDescent="0.25">
      <c r="A63" s="844"/>
      <c r="B63" s="900" t="s">
        <v>265</v>
      </c>
      <c r="C63" s="901">
        <v>0.02</v>
      </c>
      <c r="D63" s="920" t="s">
        <v>16</v>
      </c>
      <c r="E63" s="899">
        <f>C63*(1+0.3)</f>
        <v>2.6000000000000002E-2</v>
      </c>
      <c r="F63" s="844"/>
    </row>
    <row r="64" spans="1:11" ht="38.25" hidden="1" outlineLevel="1" x14ac:dyDescent="0.25">
      <c r="A64" s="844"/>
      <c r="B64" s="900" t="s">
        <v>266</v>
      </c>
      <c r="C64" s="901"/>
      <c r="D64" s="921">
        <v>1</v>
      </c>
      <c r="E64" s="901">
        <f>C64*D64</f>
        <v>0</v>
      </c>
      <c r="F64" s="844"/>
    </row>
    <row r="65" spans="1:6" hidden="1" outlineLevel="1" x14ac:dyDescent="0.25">
      <c r="A65" s="844"/>
      <c r="B65" s="903" t="s">
        <v>43</v>
      </c>
      <c r="C65" s="922">
        <v>0.245</v>
      </c>
      <c r="D65" s="920" t="s">
        <v>16</v>
      </c>
      <c r="E65" s="899">
        <f>C65*(1+0.3)</f>
        <v>0.31850000000000001</v>
      </c>
      <c r="F65" s="844"/>
    </row>
    <row r="66" spans="1:6" hidden="1" outlineLevel="1" x14ac:dyDescent="0.25">
      <c r="A66" s="844"/>
      <c r="B66" s="903" t="s">
        <v>267</v>
      </c>
      <c r="C66" s="922">
        <v>0.27500000000000002</v>
      </c>
      <c r="D66" s="920" t="s">
        <v>16</v>
      </c>
      <c r="E66" s="899">
        <f>C66*(1+0.3)</f>
        <v>0.35750000000000004</v>
      </c>
      <c r="F66" s="844"/>
    </row>
    <row r="67" spans="1:6" hidden="1" outlineLevel="1" x14ac:dyDescent="0.25">
      <c r="A67" s="844"/>
      <c r="B67" s="903" t="s">
        <v>268</v>
      </c>
      <c r="C67" s="922">
        <v>1.4999999999999999E-2</v>
      </c>
      <c r="D67" s="920" t="s">
        <v>16</v>
      </c>
      <c r="E67" s="899">
        <f>C67*(1+0.3)</f>
        <v>1.95E-2</v>
      </c>
      <c r="F67" s="844"/>
    </row>
    <row r="68" spans="1:6" hidden="1" outlineLevel="1" x14ac:dyDescent="0.25">
      <c r="A68" s="844"/>
      <c r="B68" s="903" t="s">
        <v>269</v>
      </c>
      <c r="C68" s="922">
        <v>2.5000000000000001E-2</v>
      </c>
      <c r="D68" s="902">
        <v>1</v>
      </c>
      <c r="E68" s="922">
        <f>C68*D68</f>
        <v>2.5000000000000001E-2</v>
      </c>
      <c r="F68" s="844"/>
    </row>
    <row r="69" spans="1:6" hidden="1" outlineLevel="1" x14ac:dyDescent="0.25">
      <c r="A69" s="844"/>
      <c r="B69" s="903" t="s">
        <v>37</v>
      </c>
      <c r="C69" s="922">
        <v>0.1</v>
      </c>
      <c r="D69" s="921">
        <v>1</v>
      </c>
      <c r="E69" s="922">
        <f>C69*D69</f>
        <v>0.1</v>
      </c>
      <c r="F69" s="844"/>
    </row>
    <row r="70" spans="1:6" hidden="1" outlineLevel="1" x14ac:dyDescent="0.25">
      <c r="A70" s="844"/>
      <c r="B70" s="903" t="s">
        <v>270</v>
      </c>
      <c r="C70" s="922">
        <v>2.5000000000000001E-2</v>
      </c>
      <c r="D70" s="902">
        <v>1</v>
      </c>
      <c r="E70" s="922">
        <f>C70*D70</f>
        <v>2.5000000000000001E-2</v>
      </c>
      <c r="F70" s="844"/>
    </row>
    <row r="71" spans="1:6" hidden="1" outlineLevel="1" x14ac:dyDescent="0.25">
      <c r="A71" s="844"/>
      <c r="B71" s="903" t="s">
        <v>271</v>
      </c>
      <c r="C71" s="922">
        <v>1.4999999999999999E-2</v>
      </c>
      <c r="D71" s="902">
        <v>1</v>
      </c>
      <c r="E71" s="922">
        <f>C71*D71</f>
        <v>1.4999999999999999E-2</v>
      </c>
      <c r="F71" s="844"/>
    </row>
    <row r="72" spans="1:6" ht="25.5" hidden="1" outlineLevel="1" x14ac:dyDescent="0.25">
      <c r="A72" s="844"/>
      <c r="B72" s="900" t="s">
        <v>272</v>
      </c>
      <c r="C72" s="922">
        <v>0.06</v>
      </c>
      <c r="D72" s="920" t="s">
        <v>16</v>
      </c>
      <c r="E72" s="922">
        <f>C72*(1+0.3)</f>
        <v>7.8E-2</v>
      </c>
      <c r="F72" s="844"/>
    </row>
    <row r="73" spans="1:6" hidden="1" outlineLevel="1" x14ac:dyDescent="0.25">
      <c r="A73" s="844"/>
      <c r="B73" s="900" t="s">
        <v>30</v>
      </c>
      <c r="C73" s="922">
        <v>0.02</v>
      </c>
      <c r="D73" s="902">
        <v>1</v>
      </c>
      <c r="E73" s="922">
        <f>C73*D73</f>
        <v>0.02</v>
      </c>
      <c r="F73" s="844"/>
    </row>
    <row r="74" spans="1:6" hidden="1" outlineLevel="1" x14ac:dyDescent="0.25">
      <c r="A74" s="844"/>
      <c r="B74" s="900" t="s">
        <v>273</v>
      </c>
      <c r="C74" s="922">
        <v>0.01</v>
      </c>
      <c r="D74" s="921">
        <v>1</v>
      </c>
      <c r="E74" s="922">
        <f>C74*D74</f>
        <v>0.01</v>
      </c>
      <c r="F74" s="844"/>
    </row>
    <row r="75" spans="1:6" hidden="1" outlineLevel="1" x14ac:dyDescent="0.25">
      <c r="A75" s="844"/>
      <c r="B75" s="900" t="s">
        <v>274</v>
      </c>
      <c r="C75" s="922">
        <v>0.09</v>
      </c>
      <c r="D75" s="902">
        <v>1</v>
      </c>
      <c r="E75" s="922">
        <f>C75*D75</f>
        <v>0.09</v>
      </c>
      <c r="F75" s="844"/>
    </row>
    <row r="76" spans="1:6" ht="25.5" hidden="1" outlineLevel="1" x14ac:dyDescent="0.25">
      <c r="A76" s="844"/>
      <c r="B76" s="900" t="s">
        <v>32</v>
      </c>
      <c r="C76" s="922">
        <v>0.03</v>
      </c>
      <c r="D76" s="902">
        <v>1</v>
      </c>
      <c r="E76" s="922">
        <f>C76*D76</f>
        <v>0.03</v>
      </c>
      <c r="F76" s="844"/>
    </row>
    <row r="77" spans="1:6" hidden="1" outlineLevel="1" x14ac:dyDescent="0.25">
      <c r="A77" s="844"/>
      <c r="B77" s="900" t="s">
        <v>212</v>
      </c>
      <c r="C77" s="922">
        <v>0.05</v>
      </c>
      <c r="D77" s="921"/>
      <c r="E77" s="899">
        <f>SUM(E62:E76)*C77</f>
        <v>5.6725000000000005E-2</v>
      </c>
      <c r="F77" s="844"/>
    </row>
    <row r="78" spans="1:6" s="19" customFormat="1" ht="15.75" collapsed="1" x14ac:dyDescent="0.25">
      <c r="A78" s="847"/>
      <c r="B78" s="847" t="s">
        <v>48</v>
      </c>
      <c r="C78" s="847"/>
      <c r="D78" s="847"/>
      <c r="E78" s="847"/>
      <c r="F78" s="847"/>
    </row>
    <row r="79" spans="1:6" s="19" customFormat="1" ht="15.75" x14ac:dyDescent="0.25">
      <c r="A79" s="847"/>
      <c r="B79" s="847" t="s">
        <v>49</v>
      </c>
      <c r="C79" s="847">
        <v>5.32</v>
      </c>
      <c r="D79" s="905"/>
      <c r="E79" s="847"/>
      <c r="F79" s="847"/>
    </row>
    <row r="80" spans="1:6" x14ac:dyDescent="0.25">
      <c r="A80" s="844"/>
      <c r="B80" s="845" t="s">
        <v>127</v>
      </c>
      <c r="C80" s="847">
        <f>D5</f>
        <v>0.8</v>
      </c>
      <c r="D80" s="847" t="s">
        <v>0</v>
      </c>
      <c r="E80" s="844"/>
      <c r="F80" s="844"/>
    </row>
    <row r="81" spans="1:11" s="2" customFormat="1" ht="147.75" customHeight="1" x14ac:dyDescent="0.25">
      <c r="A81" s="854"/>
      <c r="B81" s="394" t="s">
        <v>1282</v>
      </c>
      <c r="C81" s="394" t="s">
        <v>1284</v>
      </c>
      <c r="D81" s="864" t="s">
        <v>1283</v>
      </c>
      <c r="E81" s="854"/>
      <c r="F81" s="855">
        <f>(21.43+2.55*C80)*D82*D83*D84*C95*1000</f>
        <v>60242.346127040008</v>
      </c>
      <c r="I81"/>
      <c r="J81"/>
      <c r="K81"/>
    </row>
    <row r="82" spans="1:11" s="3" customFormat="1" x14ac:dyDescent="0.25">
      <c r="A82" s="866"/>
      <c r="B82" s="865" t="s">
        <v>4</v>
      </c>
      <c r="C82" s="865" t="s">
        <v>5</v>
      </c>
      <c r="D82" s="866">
        <v>0.4</v>
      </c>
      <c r="E82" s="866"/>
      <c r="F82" s="866"/>
      <c r="I82"/>
      <c r="J82"/>
      <c r="K82"/>
    </row>
    <row r="83" spans="1:11" ht="51.75" x14ac:dyDescent="0.25">
      <c r="A83" s="844"/>
      <c r="B83" s="895" t="s">
        <v>17</v>
      </c>
      <c r="C83" s="844" t="s">
        <v>18</v>
      </c>
      <c r="D83" s="918">
        <v>1.1000000000000001</v>
      </c>
      <c r="E83" s="844"/>
      <c r="F83" s="844"/>
    </row>
    <row r="84" spans="1:11" ht="102.75" x14ac:dyDescent="0.25">
      <c r="A84" s="844"/>
      <c r="B84" s="895" t="s">
        <v>15</v>
      </c>
      <c r="C84" s="895" t="s">
        <v>1072</v>
      </c>
      <c r="D84" s="844">
        <f>E85/1</f>
        <v>1.0965400000000001</v>
      </c>
      <c r="E84" s="844"/>
      <c r="F84" s="844"/>
    </row>
    <row r="85" spans="1:11" x14ac:dyDescent="0.25">
      <c r="A85" s="844"/>
      <c r="B85" s="896" t="s">
        <v>6</v>
      </c>
      <c r="C85" s="897">
        <f>SUM(C86:C93)</f>
        <v>1.0000000000000002</v>
      </c>
      <c r="D85" s="857"/>
      <c r="E85" s="916">
        <f>SUM(E86:E93)</f>
        <v>1.0965400000000001</v>
      </c>
      <c r="F85" s="856"/>
      <c r="G85" s="9"/>
      <c r="H85" s="9"/>
    </row>
    <row r="86" spans="1:11" hidden="1" outlineLevel="1" x14ac:dyDescent="0.25">
      <c r="A86" s="844"/>
      <c r="B86" s="844" t="s">
        <v>7</v>
      </c>
      <c r="C86" s="901">
        <v>0.23</v>
      </c>
      <c r="D86" s="902">
        <v>1</v>
      </c>
      <c r="E86" s="899">
        <f>C86*1</f>
        <v>0.23</v>
      </c>
      <c r="F86" s="857"/>
      <c r="G86" s="6"/>
      <c r="H86" s="6"/>
    </row>
    <row r="87" spans="1:11" hidden="1" outlineLevel="1" x14ac:dyDescent="0.25">
      <c r="A87" s="844"/>
      <c r="B87" s="844" t="s">
        <v>14</v>
      </c>
      <c r="C87" s="901">
        <v>0.09</v>
      </c>
      <c r="D87" s="844">
        <v>1</v>
      </c>
      <c r="E87" s="899">
        <f>C87*D87</f>
        <v>0.09</v>
      </c>
      <c r="F87" s="844"/>
    </row>
    <row r="88" spans="1:11" hidden="1" outlineLevel="1" x14ac:dyDescent="0.25">
      <c r="A88" s="844"/>
      <c r="B88" s="844" t="s">
        <v>8</v>
      </c>
      <c r="C88" s="901">
        <v>0.13</v>
      </c>
      <c r="D88" s="921">
        <v>1</v>
      </c>
      <c r="E88" s="899">
        <f>C88*D88</f>
        <v>0.13</v>
      </c>
      <c r="F88" s="844"/>
    </row>
    <row r="89" spans="1:11" hidden="1" outlineLevel="1" x14ac:dyDescent="0.25">
      <c r="A89" s="844"/>
      <c r="B89" s="844" t="s">
        <v>9</v>
      </c>
      <c r="C89" s="901">
        <v>0.14000000000000001</v>
      </c>
      <c r="D89" s="921">
        <v>1</v>
      </c>
      <c r="E89" s="899">
        <f>C89*D89</f>
        <v>0.14000000000000001</v>
      </c>
      <c r="F89" s="844"/>
    </row>
    <row r="90" spans="1:11" hidden="1" outlineLevel="1" x14ac:dyDescent="0.25">
      <c r="A90" s="844"/>
      <c r="B90" s="844" t="s">
        <v>10</v>
      </c>
      <c r="C90" s="901">
        <v>0.16</v>
      </c>
      <c r="D90" s="902" t="s">
        <v>16</v>
      </c>
      <c r="E90" s="899">
        <f>C90*(1+0.3)</f>
        <v>0.20800000000000002</v>
      </c>
      <c r="F90" s="857"/>
      <c r="G90" s="6"/>
      <c r="H90" s="6"/>
    </row>
    <row r="91" spans="1:11" hidden="1" outlineLevel="1" x14ac:dyDescent="0.25">
      <c r="A91" s="844"/>
      <c r="B91" s="844" t="s">
        <v>11</v>
      </c>
      <c r="C91" s="901">
        <v>0.09</v>
      </c>
      <c r="D91" s="902" t="s">
        <v>16</v>
      </c>
      <c r="E91" s="899">
        <f>C91*(1+0.3)</f>
        <v>0.11699999999999999</v>
      </c>
      <c r="F91" s="857"/>
      <c r="G91" s="6"/>
      <c r="H91" s="6"/>
    </row>
    <row r="92" spans="1:11" hidden="1" outlineLevel="1" x14ac:dyDescent="0.25">
      <c r="A92" s="844"/>
      <c r="B92" s="844" t="s">
        <v>12</v>
      </c>
      <c r="C92" s="901">
        <v>7.0000000000000007E-2</v>
      </c>
      <c r="D92" s="902" t="s">
        <v>16</v>
      </c>
      <c r="E92" s="899">
        <f>C92*(1+0.3)</f>
        <v>9.1000000000000011E-2</v>
      </c>
      <c r="F92" s="857"/>
      <c r="G92" s="6"/>
      <c r="H92" s="6"/>
    </row>
    <row r="93" spans="1:11" hidden="1" outlineLevel="1" x14ac:dyDescent="0.25">
      <c r="A93" s="844"/>
      <c r="B93" s="844" t="s">
        <v>13</v>
      </c>
      <c r="C93" s="901">
        <v>0.09</v>
      </c>
      <c r="D93" s="844"/>
      <c r="E93" s="917">
        <f>SUM(E86:E92)*C93</f>
        <v>9.0539999999999995E-2</v>
      </c>
      <c r="F93" s="858"/>
      <c r="G93" s="7"/>
      <c r="H93" s="7"/>
      <c r="I93" s="8"/>
    </row>
    <row r="94" spans="1:11" s="19" customFormat="1" ht="15.75" collapsed="1" x14ac:dyDescent="0.25">
      <c r="A94" s="847"/>
      <c r="B94" s="847" t="s">
        <v>48</v>
      </c>
      <c r="C94" s="847"/>
      <c r="D94" s="847"/>
      <c r="E94" s="847"/>
      <c r="F94" s="847"/>
    </row>
    <row r="95" spans="1:11" s="19" customFormat="1" ht="15.75" x14ac:dyDescent="0.25">
      <c r="A95" s="847"/>
      <c r="B95" s="847" t="s">
        <v>49</v>
      </c>
      <c r="C95" s="847">
        <v>5.32</v>
      </c>
      <c r="D95" s="905"/>
      <c r="E95" s="847"/>
      <c r="F95" s="847"/>
    </row>
    <row r="96" spans="1:11" s="10" customFormat="1" x14ac:dyDescent="0.25">
      <c r="A96" s="845"/>
      <c r="B96" s="845" t="s">
        <v>71</v>
      </c>
      <c r="C96" s="848"/>
      <c r="D96" s="845">
        <f>D7+D10</f>
        <v>12</v>
      </c>
      <c r="E96" s="849" t="s">
        <v>211</v>
      </c>
      <c r="F96" s="850"/>
      <c r="G96" s="15"/>
      <c r="H96" s="15"/>
      <c r="I96" s="16"/>
    </row>
    <row r="97" spans="1:16" s="2" customFormat="1" ht="76.5" x14ac:dyDescent="0.25">
      <c r="A97" s="854"/>
      <c r="B97" s="394" t="s">
        <v>937</v>
      </c>
      <c r="C97" s="394" t="s">
        <v>879</v>
      </c>
      <c r="D97" s="394" t="s">
        <v>877</v>
      </c>
      <c r="E97" s="854"/>
      <c r="F97" s="855">
        <f>19.082*D98*D99*D100*C120*1000</f>
        <v>150159.57368832009</v>
      </c>
      <c r="I97"/>
      <c r="J97"/>
      <c r="K97"/>
      <c r="O97" s="17"/>
      <c r="P97" s="17"/>
    </row>
    <row r="98" spans="1:16" s="3" customFormat="1" x14ac:dyDescent="0.25">
      <c r="A98" s="866"/>
      <c r="B98" s="865" t="s">
        <v>4</v>
      </c>
      <c r="C98" s="865" t="s">
        <v>5</v>
      </c>
      <c r="D98" s="866">
        <v>0.4</v>
      </c>
      <c r="E98" s="866"/>
      <c r="F98" s="866"/>
      <c r="I98"/>
      <c r="J98"/>
      <c r="K98"/>
    </row>
    <row r="99" spans="1:16" s="3" customFormat="1" ht="102" x14ac:dyDescent="0.25">
      <c r="A99" s="866"/>
      <c r="B99" s="394" t="s">
        <v>46</v>
      </c>
      <c r="C99" s="865" t="s">
        <v>878</v>
      </c>
      <c r="D99" s="866">
        <f>1+(D96-1)*0.2</f>
        <v>3.2</v>
      </c>
      <c r="E99" s="866"/>
      <c r="F99" s="866"/>
      <c r="I99"/>
      <c r="J99"/>
      <c r="K99"/>
    </row>
    <row r="100" spans="1:16" s="2" customFormat="1" ht="102" x14ac:dyDescent="0.25">
      <c r="A100" s="854"/>
      <c r="B100" s="394" t="s">
        <v>15</v>
      </c>
      <c r="C100" s="394" t="s">
        <v>209</v>
      </c>
      <c r="D100" s="854">
        <f>E101/1</f>
        <v>1.1556000000000004</v>
      </c>
      <c r="E100" s="854"/>
      <c r="F100" s="854"/>
    </row>
    <row r="101" spans="1:16" x14ac:dyDescent="0.25">
      <c r="A101" s="844"/>
      <c r="B101" s="896" t="s">
        <v>6</v>
      </c>
      <c r="C101" s="897">
        <f>SUM(C102:C118)</f>
        <v>1.0000000000000002</v>
      </c>
      <c r="D101" s="857"/>
      <c r="E101" s="916">
        <f>SUM(E102:E118)</f>
        <v>1.1556000000000004</v>
      </c>
      <c r="F101" s="856"/>
      <c r="G101" s="9"/>
      <c r="H101" s="9"/>
    </row>
    <row r="102" spans="1:16" hidden="1" outlineLevel="1" x14ac:dyDescent="0.25">
      <c r="A102" s="844"/>
      <c r="B102" s="900" t="s">
        <v>20</v>
      </c>
      <c r="C102" s="901">
        <v>0.02</v>
      </c>
      <c r="D102" s="902">
        <v>1</v>
      </c>
      <c r="E102" s="899">
        <f>C102*D102</f>
        <v>0.02</v>
      </c>
      <c r="F102" s="857"/>
      <c r="G102" s="6"/>
      <c r="H102" s="6"/>
    </row>
    <row r="103" spans="1:16" ht="25.5" hidden="1" outlineLevel="1" x14ac:dyDescent="0.25">
      <c r="A103" s="844"/>
      <c r="B103" s="900" t="s">
        <v>21</v>
      </c>
      <c r="C103" s="901">
        <v>0.04</v>
      </c>
      <c r="D103" s="844">
        <v>1</v>
      </c>
      <c r="E103" s="899">
        <f>C103*D103</f>
        <v>0.04</v>
      </c>
      <c r="F103" s="844"/>
    </row>
    <row r="104" spans="1:16" hidden="1" outlineLevel="1" x14ac:dyDescent="0.25">
      <c r="A104" s="844"/>
      <c r="B104" s="900" t="s">
        <v>22</v>
      </c>
      <c r="C104" s="901">
        <v>0.14000000000000001</v>
      </c>
      <c r="D104" s="902" t="s">
        <v>16</v>
      </c>
      <c r="E104" s="899">
        <f>C104*(1+0.3)</f>
        <v>0.18200000000000002</v>
      </c>
      <c r="F104" s="844"/>
    </row>
    <row r="105" spans="1:16" ht="25.5" hidden="1" outlineLevel="1" x14ac:dyDescent="0.25">
      <c r="A105" s="844"/>
      <c r="B105" s="900" t="s">
        <v>23</v>
      </c>
      <c r="C105" s="901">
        <v>0.15</v>
      </c>
      <c r="D105" s="902" t="s">
        <v>16</v>
      </c>
      <c r="E105" s="899">
        <f>C105*(1+0.3)</f>
        <v>0.19500000000000001</v>
      </c>
      <c r="F105" s="844"/>
    </row>
    <row r="106" spans="1:16" ht="38.25" hidden="1" outlineLevel="1" x14ac:dyDescent="0.25">
      <c r="A106" s="844"/>
      <c r="B106" s="900" t="s">
        <v>36</v>
      </c>
      <c r="C106" s="901"/>
      <c r="D106" s="902"/>
      <c r="E106" s="899"/>
      <c r="F106" s="857"/>
      <c r="G106" s="6"/>
      <c r="H106" s="6"/>
    </row>
    <row r="107" spans="1:16" hidden="1" outlineLevel="1" x14ac:dyDescent="0.25">
      <c r="A107" s="844"/>
      <c r="B107" s="903" t="s">
        <v>37</v>
      </c>
      <c r="C107" s="901">
        <v>7.0000000000000007E-2</v>
      </c>
      <c r="D107" s="902">
        <v>1</v>
      </c>
      <c r="E107" s="899">
        <f>C107*D107</f>
        <v>7.0000000000000007E-2</v>
      </c>
      <c r="F107" s="857"/>
      <c r="G107" s="6"/>
      <c r="H107" s="6"/>
    </row>
    <row r="108" spans="1:16" hidden="1" outlineLevel="1" x14ac:dyDescent="0.25">
      <c r="A108" s="844"/>
      <c r="B108" s="903" t="s">
        <v>38</v>
      </c>
      <c r="C108" s="901">
        <v>0.04</v>
      </c>
      <c r="D108" s="902">
        <v>1</v>
      </c>
      <c r="E108" s="899">
        <f t="shared" ref="E108:E113" si="1">C108*D108</f>
        <v>0.04</v>
      </c>
      <c r="F108" s="857"/>
      <c r="G108" s="6"/>
      <c r="H108" s="6"/>
    </row>
    <row r="109" spans="1:16" hidden="1" outlineLevel="1" x14ac:dyDescent="0.25">
      <c r="A109" s="844"/>
      <c r="B109" s="903" t="s">
        <v>39</v>
      </c>
      <c r="C109" s="901">
        <v>0.04</v>
      </c>
      <c r="D109" s="902">
        <v>1</v>
      </c>
      <c r="E109" s="899">
        <f t="shared" si="1"/>
        <v>0.04</v>
      </c>
      <c r="F109" s="858"/>
      <c r="G109" s="7"/>
      <c r="H109" s="7"/>
      <c r="I109" s="8"/>
    </row>
    <row r="110" spans="1:16" ht="25.5" hidden="1" outlineLevel="1" x14ac:dyDescent="0.25">
      <c r="A110" s="844"/>
      <c r="B110" s="903" t="s">
        <v>40</v>
      </c>
      <c r="C110" s="901">
        <v>0.12</v>
      </c>
      <c r="D110" s="902">
        <v>1</v>
      </c>
      <c r="E110" s="899">
        <f t="shared" si="1"/>
        <v>0.12</v>
      </c>
      <c r="F110" s="857"/>
      <c r="G110" s="6"/>
      <c r="H110" s="6"/>
    </row>
    <row r="111" spans="1:16" hidden="1" outlineLevel="1" x14ac:dyDescent="0.25">
      <c r="A111" s="844"/>
      <c r="B111" s="903" t="s">
        <v>41</v>
      </c>
      <c r="C111" s="901">
        <v>0.03</v>
      </c>
      <c r="D111" s="844">
        <v>1</v>
      </c>
      <c r="E111" s="899">
        <f t="shared" si="1"/>
        <v>0.03</v>
      </c>
      <c r="F111" s="844"/>
    </row>
    <row r="112" spans="1:16" hidden="1" outlineLevel="1" x14ac:dyDescent="0.25">
      <c r="A112" s="844"/>
      <c r="B112" s="903" t="s">
        <v>42</v>
      </c>
      <c r="C112" s="901">
        <v>0.02</v>
      </c>
      <c r="D112" s="921">
        <v>1</v>
      </c>
      <c r="E112" s="899">
        <f t="shared" si="1"/>
        <v>0.02</v>
      </c>
      <c r="F112" s="844"/>
    </row>
    <row r="113" spans="1:18" hidden="1" outlineLevel="1" x14ac:dyDescent="0.25">
      <c r="A113" s="844"/>
      <c r="B113" s="903" t="s">
        <v>43</v>
      </c>
      <c r="C113" s="901">
        <v>0.05</v>
      </c>
      <c r="D113" s="921">
        <v>1</v>
      </c>
      <c r="E113" s="899">
        <f t="shared" si="1"/>
        <v>0.05</v>
      </c>
      <c r="F113" s="844"/>
    </row>
    <row r="114" spans="1:18" hidden="1" outlineLevel="1" x14ac:dyDescent="0.25">
      <c r="A114" s="844"/>
      <c r="B114" s="900" t="s">
        <v>30</v>
      </c>
      <c r="C114" s="901">
        <v>0.06</v>
      </c>
      <c r="D114" s="902">
        <v>1</v>
      </c>
      <c r="E114" s="899">
        <f>C114*(1+0.3)</f>
        <v>7.8E-2</v>
      </c>
      <c r="F114" s="857"/>
      <c r="G114" s="6"/>
      <c r="H114" s="6"/>
    </row>
    <row r="115" spans="1:18" hidden="1" outlineLevel="1" x14ac:dyDescent="0.25">
      <c r="A115" s="844"/>
      <c r="B115" s="900" t="s">
        <v>44</v>
      </c>
      <c r="C115" s="901">
        <v>7.0000000000000007E-2</v>
      </c>
      <c r="D115" s="902">
        <v>1</v>
      </c>
      <c r="E115" s="899">
        <f>C115*(1+0.3)</f>
        <v>9.1000000000000011E-2</v>
      </c>
      <c r="F115" s="857"/>
      <c r="G115" s="6"/>
      <c r="H115" s="6"/>
    </row>
    <row r="116" spans="1:18" ht="25.5" hidden="1" outlineLevel="1" x14ac:dyDescent="0.25">
      <c r="A116" s="844"/>
      <c r="B116" s="900" t="s">
        <v>32</v>
      </c>
      <c r="C116" s="901">
        <v>0.06</v>
      </c>
      <c r="D116" s="902">
        <v>1</v>
      </c>
      <c r="E116" s="899">
        <f>C116*(1+0.3)</f>
        <v>7.8E-2</v>
      </c>
      <c r="F116" s="857"/>
      <c r="G116" s="6"/>
      <c r="H116" s="6"/>
    </row>
    <row r="117" spans="1:18" ht="25.5" hidden="1" outlineLevel="1" x14ac:dyDescent="0.25">
      <c r="A117" s="844"/>
      <c r="B117" s="900" t="s">
        <v>45</v>
      </c>
      <c r="C117" s="901">
        <v>0.02</v>
      </c>
      <c r="D117" s="902">
        <v>1</v>
      </c>
      <c r="E117" s="899">
        <f>C117*(1+0.3)</f>
        <v>2.6000000000000002E-2</v>
      </c>
      <c r="F117" s="857"/>
      <c r="G117" s="6"/>
      <c r="H117" s="6"/>
    </row>
    <row r="118" spans="1:18" hidden="1" outlineLevel="1" x14ac:dyDescent="0.25">
      <c r="A118" s="844"/>
      <c r="B118" s="900" t="s">
        <v>34</v>
      </c>
      <c r="C118" s="923">
        <v>7.0000000000000007E-2</v>
      </c>
      <c r="D118" s="844"/>
      <c r="E118" s="924">
        <f>SUM(E102:E117)*C118</f>
        <v>7.5600000000000028E-2</v>
      </c>
      <c r="F118" s="858"/>
      <c r="G118" s="7"/>
      <c r="H118" s="7"/>
      <c r="I118" s="8"/>
    </row>
    <row r="119" spans="1:18" s="19" customFormat="1" ht="15.75" collapsed="1" x14ac:dyDescent="0.25">
      <c r="A119" s="847"/>
      <c r="B119" s="847" t="s">
        <v>48</v>
      </c>
      <c r="C119" s="847"/>
      <c r="D119" s="847"/>
      <c r="E119" s="847"/>
      <c r="F119" s="847"/>
    </row>
    <row r="120" spans="1:18" s="19" customFormat="1" ht="15.75" x14ac:dyDescent="0.25">
      <c r="A120" s="847"/>
      <c r="B120" s="847" t="s">
        <v>49</v>
      </c>
      <c r="C120" s="847">
        <v>5.32</v>
      </c>
      <c r="D120" s="905"/>
      <c r="E120" s="847"/>
      <c r="F120" s="847"/>
    </row>
    <row r="121" spans="1:18" s="10" customFormat="1" x14ac:dyDescent="0.25">
      <c r="A121" s="845"/>
      <c r="B121" s="845" t="s">
        <v>53</v>
      </c>
      <c r="C121" s="845"/>
      <c r="D121" s="845">
        <f>D11</f>
        <v>10</v>
      </c>
      <c r="E121" s="845" t="s">
        <v>54</v>
      </c>
      <c r="F121" s="845"/>
    </row>
    <row r="122" spans="1:18" ht="153" x14ac:dyDescent="0.25">
      <c r="A122" s="844"/>
      <c r="B122" s="394" t="s">
        <v>340</v>
      </c>
      <c r="C122" s="394" t="s">
        <v>914</v>
      </c>
      <c r="D122" s="394" t="s">
        <v>875</v>
      </c>
      <c r="E122" s="844"/>
      <c r="F122" s="888">
        <f>21*D124*1*D123*C126*1000</f>
        <v>312816</v>
      </c>
    </row>
    <row r="123" spans="1:18" s="3" customFormat="1" x14ac:dyDescent="0.25">
      <c r="A123" s="866"/>
      <c r="B123" s="865" t="s">
        <v>338</v>
      </c>
      <c r="C123" s="865" t="s">
        <v>337</v>
      </c>
      <c r="D123" s="866">
        <v>1</v>
      </c>
      <c r="E123" s="866"/>
      <c r="F123" s="866"/>
    </row>
    <row r="124" spans="1:18" s="3" customFormat="1" ht="102" x14ac:dyDescent="0.25">
      <c r="A124" s="866"/>
      <c r="B124" s="394" t="s">
        <v>46</v>
      </c>
      <c r="C124" s="865" t="s">
        <v>938</v>
      </c>
      <c r="D124" s="866">
        <f>1+(10-1)*0.2</f>
        <v>2.8</v>
      </c>
      <c r="E124" s="866"/>
      <c r="F124" s="866"/>
      <c r="I124"/>
      <c r="J124"/>
      <c r="K124"/>
    </row>
    <row r="125" spans="1:18" x14ac:dyDescent="0.25">
      <c r="A125" s="844"/>
      <c r="B125" s="847" t="s">
        <v>48</v>
      </c>
      <c r="C125" s="847"/>
      <c r="D125" s="844"/>
      <c r="E125" s="844"/>
      <c r="F125" s="844"/>
    </row>
    <row r="126" spans="1:18" x14ac:dyDescent="0.25">
      <c r="A126" s="844"/>
      <c r="B126" s="847" t="s">
        <v>49</v>
      </c>
      <c r="C126" s="847">
        <v>5.32</v>
      </c>
      <c r="D126" s="844"/>
      <c r="E126" s="844"/>
      <c r="F126" s="844"/>
    </row>
    <row r="127" spans="1:18" s="11" customFormat="1" x14ac:dyDescent="0.25">
      <c r="A127" s="847"/>
      <c r="B127" s="845" t="s">
        <v>205</v>
      </c>
      <c r="C127" s="847"/>
      <c r="D127" s="847">
        <v>4</v>
      </c>
      <c r="E127" s="847" t="s">
        <v>19</v>
      </c>
      <c r="F127" s="847"/>
      <c r="I127" s="13"/>
    </row>
    <row r="128" spans="1:18" s="2" customFormat="1" ht="63.75" x14ac:dyDescent="0.25">
      <c r="A128" s="854"/>
      <c r="B128" s="854" t="s">
        <v>205</v>
      </c>
      <c r="C128" s="394" t="s">
        <v>237</v>
      </c>
      <c r="D128" s="394" t="s">
        <v>917</v>
      </c>
      <c r="E128" s="854"/>
      <c r="F128" s="855">
        <f>(33+5.5*1)*D129*D130*D131*C149*1000</f>
        <v>143144.60160000002</v>
      </c>
      <c r="I128"/>
      <c r="J128"/>
      <c r="K128"/>
      <c r="Q128" s="17"/>
      <c r="R128" s="17"/>
    </row>
    <row r="129" spans="1:11" s="3" customFormat="1" x14ac:dyDescent="0.25">
      <c r="A129" s="866"/>
      <c r="B129" s="865" t="s">
        <v>4</v>
      </c>
      <c r="C129" s="865" t="s">
        <v>5</v>
      </c>
      <c r="D129" s="866">
        <v>0.4</v>
      </c>
      <c r="E129" s="866"/>
      <c r="F129" s="866"/>
      <c r="I129"/>
      <c r="J129"/>
      <c r="K129"/>
    </row>
    <row r="130" spans="1:11" s="3" customFormat="1" ht="102" x14ac:dyDescent="0.25">
      <c r="A130" s="866"/>
      <c r="B130" s="394" t="s">
        <v>46</v>
      </c>
      <c r="C130" s="865" t="s">
        <v>916</v>
      </c>
      <c r="D130" s="866">
        <f>1+(D127-1)*0.2</f>
        <v>1.6</v>
      </c>
      <c r="E130" s="866"/>
      <c r="F130" s="866"/>
      <c r="I130"/>
      <c r="J130"/>
      <c r="K130"/>
    </row>
    <row r="131" spans="1:11" ht="102.75" x14ac:dyDescent="0.25">
      <c r="A131" s="844"/>
      <c r="B131" s="895" t="s">
        <v>15</v>
      </c>
      <c r="C131" s="394" t="s">
        <v>884</v>
      </c>
      <c r="D131" s="854">
        <f>E132/1</f>
        <v>1.0920000000000001</v>
      </c>
      <c r="E131" s="844"/>
      <c r="F131" s="844"/>
    </row>
    <row r="132" spans="1:11" x14ac:dyDescent="0.25">
      <c r="A132" s="844"/>
      <c r="B132" s="896" t="s">
        <v>6</v>
      </c>
      <c r="C132" s="897">
        <f>SUM(C133:C147)</f>
        <v>1</v>
      </c>
      <c r="D132" s="857"/>
      <c r="E132" s="925">
        <f>SUM(E133:E147)</f>
        <v>1.0920000000000001</v>
      </c>
      <c r="F132" s="899"/>
      <c r="G132" s="4"/>
      <c r="H132" s="4"/>
    </row>
    <row r="133" spans="1:11" hidden="1" outlineLevel="1" x14ac:dyDescent="0.25">
      <c r="A133" s="844"/>
      <c r="B133" s="900" t="s">
        <v>20</v>
      </c>
      <c r="C133" s="901">
        <v>0.01</v>
      </c>
      <c r="D133" s="844">
        <v>1</v>
      </c>
      <c r="E133" s="899">
        <f>C133*D133</f>
        <v>0.01</v>
      </c>
      <c r="F133" s="899"/>
      <c r="G133" s="4"/>
      <c r="H133" s="4"/>
    </row>
    <row r="134" spans="1:11" ht="25.5" hidden="1" outlineLevel="1" x14ac:dyDescent="0.25">
      <c r="A134" s="844"/>
      <c r="B134" s="900" t="s">
        <v>21</v>
      </c>
      <c r="C134" s="901">
        <v>0.03</v>
      </c>
      <c r="D134" s="844">
        <v>1</v>
      </c>
      <c r="E134" s="899">
        <f>C134*D134</f>
        <v>0.03</v>
      </c>
      <c r="F134" s="899"/>
      <c r="G134" s="4"/>
      <c r="H134" s="4"/>
    </row>
    <row r="135" spans="1:11" hidden="1" outlineLevel="1" x14ac:dyDescent="0.25">
      <c r="A135" s="844"/>
      <c r="B135" s="900" t="s">
        <v>22</v>
      </c>
      <c r="C135" s="901">
        <v>0.09</v>
      </c>
      <c r="D135" s="902" t="s">
        <v>16</v>
      </c>
      <c r="E135" s="899">
        <f>C135*(1+0.3)</f>
        <v>0.11699999999999999</v>
      </c>
      <c r="F135" s="899"/>
      <c r="G135" s="4"/>
      <c r="H135" s="4"/>
    </row>
    <row r="136" spans="1:11" ht="25.5" hidden="1" outlineLevel="1" x14ac:dyDescent="0.25">
      <c r="A136" s="844"/>
      <c r="B136" s="900" t="s">
        <v>23</v>
      </c>
      <c r="C136" s="901">
        <v>0.12</v>
      </c>
      <c r="D136" s="902" t="s">
        <v>16</v>
      </c>
      <c r="E136" s="899">
        <f>C136*(1+0.3)</f>
        <v>0.156</v>
      </c>
      <c r="F136" s="899"/>
      <c r="G136" s="4"/>
      <c r="H136" s="4"/>
    </row>
    <row r="137" spans="1:11" ht="38.25" hidden="1" outlineLevel="1" x14ac:dyDescent="0.25">
      <c r="A137" s="844"/>
      <c r="B137" s="900" t="s">
        <v>24</v>
      </c>
      <c r="C137" s="901">
        <v>0.05</v>
      </c>
      <c r="D137" s="902" t="s">
        <v>16</v>
      </c>
      <c r="E137" s="899">
        <f>C137*(1+0.3)</f>
        <v>6.5000000000000002E-2</v>
      </c>
      <c r="F137" s="899"/>
      <c r="G137" s="4"/>
      <c r="H137" s="4"/>
    </row>
    <row r="138" spans="1:11" ht="51" hidden="1" outlineLevel="1" x14ac:dyDescent="0.25">
      <c r="A138" s="844"/>
      <c r="B138" s="900" t="s">
        <v>25</v>
      </c>
      <c r="C138" s="901">
        <v>0.04</v>
      </c>
      <c r="D138" s="902" t="s">
        <v>16</v>
      </c>
      <c r="E138" s="899">
        <f>C138*(1+0.3)</f>
        <v>5.2000000000000005E-2</v>
      </c>
      <c r="F138" s="899"/>
      <c r="G138" s="4"/>
      <c r="H138" s="4"/>
    </row>
    <row r="139" spans="1:11" ht="38.25" hidden="1" outlineLevel="1" x14ac:dyDescent="0.25">
      <c r="A139" s="844"/>
      <c r="B139" s="900" t="s">
        <v>26</v>
      </c>
      <c r="C139" s="901">
        <v>0.05</v>
      </c>
      <c r="D139" s="844">
        <v>1</v>
      </c>
      <c r="E139" s="899">
        <f t="shared" ref="E139:E146" si="2">C139*D139</f>
        <v>0.05</v>
      </c>
      <c r="F139" s="899"/>
      <c r="G139" s="4"/>
      <c r="H139" s="4"/>
    </row>
    <row r="140" spans="1:11" ht="51" hidden="1" outlineLevel="1" x14ac:dyDescent="0.25">
      <c r="A140" s="844"/>
      <c r="B140" s="900" t="s">
        <v>27</v>
      </c>
      <c r="C140" s="901">
        <v>0.04</v>
      </c>
      <c r="D140" s="844">
        <v>1</v>
      </c>
      <c r="E140" s="899">
        <f t="shared" si="2"/>
        <v>0.04</v>
      </c>
      <c r="F140" s="899"/>
      <c r="G140" s="4"/>
      <c r="H140" s="4"/>
      <c r="I140" s="8"/>
    </row>
    <row r="141" spans="1:11" ht="38.25" hidden="1" outlineLevel="1" x14ac:dyDescent="0.25">
      <c r="A141" s="844"/>
      <c r="B141" s="900" t="s">
        <v>28</v>
      </c>
      <c r="C141" s="901">
        <v>0.02</v>
      </c>
      <c r="D141" s="844">
        <v>1</v>
      </c>
      <c r="E141" s="899">
        <f t="shared" si="2"/>
        <v>0.02</v>
      </c>
      <c r="F141" s="899"/>
      <c r="G141" s="4"/>
      <c r="H141" s="4"/>
    </row>
    <row r="142" spans="1:11" ht="38.25" hidden="1" outlineLevel="1" x14ac:dyDescent="0.25">
      <c r="A142" s="844"/>
      <c r="B142" s="900" t="s">
        <v>29</v>
      </c>
      <c r="C142" s="901">
        <v>0.31</v>
      </c>
      <c r="D142" s="844">
        <v>1</v>
      </c>
      <c r="E142" s="899">
        <f t="shared" si="2"/>
        <v>0.31</v>
      </c>
      <c r="F142" s="899"/>
      <c r="G142" s="4"/>
      <c r="H142" s="4"/>
    </row>
    <row r="143" spans="1:11" hidden="1" outlineLevel="1" x14ac:dyDescent="0.25">
      <c r="A143" s="844"/>
      <c r="B143" s="900" t="s">
        <v>30</v>
      </c>
      <c r="C143" s="901">
        <v>0.04</v>
      </c>
      <c r="D143" s="902">
        <v>1</v>
      </c>
      <c r="E143" s="899">
        <f t="shared" si="2"/>
        <v>0.04</v>
      </c>
      <c r="F143" s="899"/>
      <c r="G143" s="4"/>
      <c r="H143" s="4"/>
    </row>
    <row r="144" spans="1:11" ht="25.5" hidden="1" outlineLevel="1" x14ac:dyDescent="0.25">
      <c r="A144" s="844"/>
      <c r="B144" s="900" t="s">
        <v>31</v>
      </c>
      <c r="C144" s="901">
        <v>0.09</v>
      </c>
      <c r="D144" s="844">
        <v>1</v>
      </c>
      <c r="E144" s="899">
        <f t="shared" si="2"/>
        <v>0.09</v>
      </c>
      <c r="F144" s="899"/>
      <c r="G144" s="4"/>
      <c r="H144" s="4"/>
    </row>
    <row r="145" spans="1:11" ht="25.5" hidden="1" outlineLevel="1" x14ac:dyDescent="0.25">
      <c r="A145" s="844"/>
      <c r="B145" s="900" t="s">
        <v>32</v>
      </c>
      <c r="C145" s="901">
        <v>0.05</v>
      </c>
      <c r="D145" s="844">
        <v>1</v>
      </c>
      <c r="E145" s="899">
        <f t="shared" si="2"/>
        <v>0.05</v>
      </c>
      <c r="F145" s="899"/>
      <c r="G145" s="4"/>
      <c r="H145" s="4"/>
    </row>
    <row r="146" spans="1:11" ht="25.5" hidden="1" outlineLevel="1" x14ac:dyDescent="0.25">
      <c r="A146" s="844"/>
      <c r="B146" s="900" t="s">
        <v>33</v>
      </c>
      <c r="C146" s="901">
        <v>0.01</v>
      </c>
      <c r="D146" s="844">
        <v>1</v>
      </c>
      <c r="E146" s="899">
        <f t="shared" si="2"/>
        <v>0.01</v>
      </c>
      <c r="F146" s="899"/>
      <c r="G146" s="4"/>
      <c r="H146" s="4"/>
    </row>
    <row r="147" spans="1:11" hidden="1" outlineLevel="1" x14ac:dyDescent="0.25">
      <c r="A147" s="844"/>
      <c r="B147" s="900" t="s">
        <v>34</v>
      </c>
      <c r="C147" s="901">
        <v>0.05</v>
      </c>
      <c r="D147" s="902"/>
      <c r="E147" s="904">
        <f>SUM(E133:E146)*C147</f>
        <v>5.2000000000000005E-2</v>
      </c>
      <c r="F147" s="904"/>
      <c r="G147" s="14"/>
      <c r="H147" s="14"/>
    </row>
    <row r="148" spans="1:11" s="19" customFormat="1" ht="15.75" collapsed="1" x14ac:dyDescent="0.25">
      <c r="A148" s="847"/>
      <c r="B148" s="847" t="s">
        <v>48</v>
      </c>
      <c r="C148" s="847"/>
      <c r="D148" s="847"/>
      <c r="E148" s="847"/>
      <c r="F148" s="847"/>
    </row>
    <row r="149" spans="1:11" s="19" customFormat="1" ht="15.75" x14ac:dyDescent="0.25">
      <c r="A149" s="847"/>
      <c r="B149" s="847" t="s">
        <v>49</v>
      </c>
      <c r="C149" s="847">
        <v>5.32</v>
      </c>
      <c r="D149" s="905"/>
      <c r="E149" s="847"/>
      <c r="F149" s="847"/>
    </row>
    <row r="150" spans="1:11" x14ac:dyDescent="0.25">
      <c r="A150" s="844"/>
      <c r="B150" s="845" t="s">
        <v>919</v>
      </c>
      <c r="C150" s="844"/>
      <c r="D150" s="847">
        <v>30</v>
      </c>
      <c r="E150" s="847" t="s">
        <v>235</v>
      </c>
      <c r="F150" s="844"/>
    </row>
    <row r="151" spans="1:11" s="2" customFormat="1" ht="51" x14ac:dyDescent="0.25">
      <c r="A151" s="854"/>
      <c r="B151" s="891" t="s">
        <v>921</v>
      </c>
      <c r="C151" s="891" t="s">
        <v>920</v>
      </c>
      <c r="D151" s="394" t="s">
        <v>939</v>
      </c>
      <c r="E151" s="854"/>
      <c r="F151" s="855">
        <f>(456.5+0*(0.4*50+0.6*30))*1*D152*D153*C171*1000</f>
        <v>1128123.9816000003</v>
      </c>
      <c r="I151"/>
      <c r="J151"/>
      <c r="K151"/>
    </row>
    <row r="152" spans="1:11" s="3" customFormat="1" x14ac:dyDescent="0.25">
      <c r="A152" s="866"/>
      <c r="B152" s="865" t="s">
        <v>4</v>
      </c>
      <c r="C152" s="865" t="s">
        <v>5</v>
      </c>
      <c r="D152" s="866">
        <v>0.4</v>
      </c>
      <c r="E152" s="866"/>
      <c r="F152" s="866"/>
      <c r="I152"/>
      <c r="J152"/>
      <c r="K152"/>
    </row>
    <row r="153" spans="1:11" ht="102.75" x14ac:dyDescent="0.25">
      <c r="A153" s="844"/>
      <c r="B153" s="895" t="s">
        <v>15</v>
      </c>
      <c r="C153" s="895" t="s">
        <v>232</v>
      </c>
      <c r="D153" s="844">
        <f>E154/1</f>
        <v>1.1613</v>
      </c>
      <c r="E153" s="844"/>
      <c r="F153" s="844"/>
    </row>
    <row r="154" spans="1:11" x14ac:dyDescent="0.25">
      <c r="A154" s="844"/>
      <c r="B154" s="896" t="s">
        <v>6</v>
      </c>
      <c r="C154" s="897">
        <f>SUM(C155:C169)</f>
        <v>1</v>
      </c>
      <c r="D154" s="857"/>
      <c r="E154" s="916">
        <f>SUM(E155:E169)</f>
        <v>1.1613</v>
      </c>
      <c r="F154" s="856"/>
      <c r="G154" s="9"/>
      <c r="H154" s="9"/>
    </row>
    <row r="155" spans="1:11" hidden="1" outlineLevel="1" x14ac:dyDescent="0.25">
      <c r="A155" s="844"/>
      <c r="B155" s="900" t="s">
        <v>20</v>
      </c>
      <c r="C155" s="901">
        <v>0.01</v>
      </c>
      <c r="D155" s="920">
        <v>1</v>
      </c>
      <c r="E155" s="899">
        <f>C155*D155</f>
        <v>0.01</v>
      </c>
      <c r="F155" s="844"/>
    </row>
    <row r="156" spans="1:11" ht="25.5" hidden="1" outlineLevel="1" x14ac:dyDescent="0.25">
      <c r="A156" s="844"/>
      <c r="B156" s="900" t="s">
        <v>21</v>
      </c>
      <c r="C156" s="901">
        <v>0.03</v>
      </c>
      <c r="D156" s="902">
        <v>1</v>
      </c>
      <c r="E156" s="901">
        <f>C156*D156</f>
        <v>0.03</v>
      </c>
      <c r="F156" s="844"/>
    </row>
    <row r="157" spans="1:11" hidden="1" outlineLevel="1" x14ac:dyDescent="0.25">
      <c r="A157" s="844"/>
      <c r="B157" s="900" t="s">
        <v>22</v>
      </c>
      <c r="C157" s="901">
        <v>0.09</v>
      </c>
      <c r="D157" s="920" t="s">
        <v>16</v>
      </c>
      <c r="E157" s="899">
        <f>C157*(1+0.3)</f>
        <v>0.11699999999999999</v>
      </c>
      <c r="F157" s="844"/>
    </row>
    <row r="158" spans="1:11" ht="25.5" hidden="1" outlineLevel="1" x14ac:dyDescent="0.25">
      <c r="A158" s="844"/>
      <c r="B158" s="900" t="s">
        <v>23</v>
      </c>
      <c r="C158" s="901">
        <v>0.12</v>
      </c>
      <c r="D158" s="920" t="s">
        <v>16</v>
      </c>
      <c r="E158" s="899">
        <f>C158*(1+0.3)</f>
        <v>0.156</v>
      </c>
      <c r="F158" s="844"/>
    </row>
    <row r="159" spans="1:11" ht="38.25" hidden="1" outlineLevel="1" x14ac:dyDescent="0.25">
      <c r="A159" s="844"/>
      <c r="B159" s="900" t="s">
        <v>24</v>
      </c>
      <c r="C159" s="901">
        <v>0.05</v>
      </c>
      <c r="D159" s="920">
        <v>1</v>
      </c>
      <c r="E159" s="899">
        <f>C159*D159</f>
        <v>0.05</v>
      </c>
      <c r="F159" s="844"/>
    </row>
    <row r="160" spans="1:11" ht="51" hidden="1" outlineLevel="1" x14ac:dyDescent="0.25">
      <c r="A160" s="844"/>
      <c r="B160" s="900" t="s">
        <v>25</v>
      </c>
      <c r="C160" s="901">
        <v>0.04</v>
      </c>
      <c r="D160" s="920">
        <v>1</v>
      </c>
      <c r="E160" s="899">
        <f>C160*D160</f>
        <v>0.04</v>
      </c>
      <c r="F160" s="844"/>
    </row>
    <row r="161" spans="1:11" ht="38.25" hidden="1" outlineLevel="1" x14ac:dyDescent="0.25">
      <c r="A161" s="844"/>
      <c r="B161" s="900" t="s">
        <v>26</v>
      </c>
      <c r="C161" s="901">
        <v>0.05</v>
      </c>
      <c r="D161" s="902">
        <v>1</v>
      </c>
      <c r="E161" s="901">
        <f>C161*D161</f>
        <v>0.05</v>
      </c>
      <c r="F161" s="844"/>
    </row>
    <row r="162" spans="1:11" ht="51" hidden="1" outlineLevel="1" x14ac:dyDescent="0.25">
      <c r="A162" s="844"/>
      <c r="B162" s="900" t="s">
        <v>27</v>
      </c>
      <c r="C162" s="901">
        <v>0.04</v>
      </c>
      <c r="D162" s="921">
        <v>1</v>
      </c>
      <c r="E162" s="901">
        <f>C162*D162</f>
        <v>0.04</v>
      </c>
      <c r="F162" s="844"/>
    </row>
    <row r="163" spans="1:11" ht="38.25" hidden="1" outlineLevel="1" x14ac:dyDescent="0.25">
      <c r="A163" s="844"/>
      <c r="B163" s="900" t="s">
        <v>28</v>
      </c>
      <c r="C163" s="901">
        <v>0.02</v>
      </c>
      <c r="D163" s="902">
        <v>1</v>
      </c>
      <c r="E163" s="901">
        <f>C163*D163</f>
        <v>0.02</v>
      </c>
      <c r="F163" s="844"/>
    </row>
    <row r="164" spans="1:11" ht="38.25" hidden="1" outlineLevel="1" x14ac:dyDescent="0.25">
      <c r="A164" s="844"/>
      <c r="B164" s="900" t="s">
        <v>29</v>
      </c>
      <c r="C164" s="901">
        <v>0.31</v>
      </c>
      <c r="D164" s="920" t="s">
        <v>16</v>
      </c>
      <c r="E164" s="899">
        <f>C164*(1+0.3)</f>
        <v>0.40300000000000002</v>
      </c>
      <c r="F164" s="844"/>
    </row>
    <row r="165" spans="1:11" hidden="1" outlineLevel="1" x14ac:dyDescent="0.25">
      <c r="A165" s="844"/>
      <c r="B165" s="900" t="s">
        <v>30</v>
      </c>
      <c r="C165" s="901">
        <v>0.04</v>
      </c>
      <c r="D165" s="920">
        <v>1</v>
      </c>
      <c r="E165" s="899">
        <f>C165*D165</f>
        <v>0.04</v>
      </c>
      <c r="F165" s="844"/>
    </row>
    <row r="166" spans="1:11" ht="25.5" hidden="1" outlineLevel="1" x14ac:dyDescent="0.25">
      <c r="A166" s="844"/>
      <c r="B166" s="900" t="s">
        <v>31</v>
      </c>
      <c r="C166" s="901">
        <v>0.09</v>
      </c>
      <c r="D166" s="902">
        <v>1</v>
      </c>
      <c r="E166" s="901">
        <f>C166*D166</f>
        <v>0.09</v>
      </c>
      <c r="F166" s="844"/>
    </row>
    <row r="167" spans="1:11" ht="25.5" hidden="1" outlineLevel="1" x14ac:dyDescent="0.25">
      <c r="A167" s="844"/>
      <c r="B167" s="900" t="s">
        <v>32</v>
      </c>
      <c r="C167" s="901">
        <v>0.05</v>
      </c>
      <c r="D167" s="921">
        <v>1</v>
      </c>
      <c r="E167" s="901">
        <f>C167*D167</f>
        <v>0.05</v>
      </c>
      <c r="F167" s="844"/>
    </row>
    <row r="168" spans="1:11" ht="25.5" hidden="1" outlineLevel="1" x14ac:dyDescent="0.25">
      <c r="A168" s="844"/>
      <c r="B168" s="900" t="s">
        <v>33</v>
      </c>
      <c r="C168" s="901">
        <v>0.01</v>
      </c>
      <c r="D168" s="902">
        <v>1</v>
      </c>
      <c r="E168" s="901">
        <f>C168*D168</f>
        <v>0.01</v>
      </c>
      <c r="F168" s="844"/>
    </row>
    <row r="169" spans="1:11" hidden="1" outlineLevel="1" x14ac:dyDescent="0.25">
      <c r="A169" s="844"/>
      <c r="B169" s="900" t="s">
        <v>212</v>
      </c>
      <c r="C169" s="901">
        <v>0.05</v>
      </c>
      <c r="D169" s="921"/>
      <c r="E169" s="899">
        <f>SUM(E155:E168)*C169</f>
        <v>5.5300000000000009E-2</v>
      </c>
      <c r="F169" s="844"/>
    </row>
    <row r="170" spans="1:11" s="19" customFormat="1" ht="15.75" collapsed="1" x14ac:dyDescent="0.25">
      <c r="A170" s="847"/>
      <c r="B170" s="847" t="s">
        <v>48</v>
      </c>
      <c r="C170" s="847"/>
      <c r="D170" s="847"/>
      <c r="E170" s="847"/>
      <c r="F170" s="847"/>
    </row>
    <row r="171" spans="1:11" s="19" customFormat="1" ht="15.75" x14ac:dyDescent="0.25">
      <c r="A171" s="847"/>
      <c r="B171" s="847" t="s">
        <v>49</v>
      </c>
      <c r="C171" s="847">
        <v>5.32</v>
      </c>
      <c r="D171" s="905"/>
      <c r="E171" s="847"/>
      <c r="F171" s="847"/>
    </row>
    <row r="172" spans="1:11" x14ac:dyDescent="0.25">
      <c r="A172" s="844"/>
      <c r="B172" s="845" t="s">
        <v>918</v>
      </c>
      <c r="C172" s="844"/>
      <c r="D172" s="847">
        <v>20</v>
      </c>
      <c r="E172" s="847" t="s">
        <v>235</v>
      </c>
      <c r="F172" s="844"/>
    </row>
    <row r="173" spans="1:11" s="2" customFormat="1" ht="51" x14ac:dyDescent="0.25">
      <c r="A173" s="854"/>
      <c r="B173" s="891" t="s">
        <v>921</v>
      </c>
      <c r="C173" s="891" t="s">
        <v>920</v>
      </c>
      <c r="D173" s="394" t="s">
        <v>923</v>
      </c>
      <c r="E173" s="854"/>
      <c r="F173" s="855">
        <f>(456.5+0*(0.4*50+0.6*20))*1*D174*D175*D176*C194*1000</f>
        <v>902499.18528000009</v>
      </c>
      <c r="I173"/>
      <c r="J173"/>
      <c r="K173"/>
    </row>
    <row r="174" spans="1:11" s="3" customFormat="1" x14ac:dyDescent="0.25">
      <c r="A174" s="866"/>
      <c r="B174" s="865" t="s">
        <v>4</v>
      </c>
      <c r="C174" s="865" t="s">
        <v>5</v>
      </c>
      <c r="D174" s="866">
        <v>0.4</v>
      </c>
      <c r="E174" s="866"/>
      <c r="F174" s="866"/>
      <c r="I174"/>
      <c r="J174"/>
      <c r="K174"/>
    </row>
    <row r="175" spans="1:11" s="2" customFormat="1" ht="51" x14ac:dyDescent="0.25">
      <c r="A175" s="854"/>
      <c r="B175" s="394" t="s">
        <v>233</v>
      </c>
      <c r="C175" s="854" t="s">
        <v>234</v>
      </c>
      <c r="D175" s="867">
        <v>0.8</v>
      </c>
      <c r="E175" s="854"/>
      <c r="F175" s="854"/>
    </row>
    <row r="176" spans="1:11" ht="102.75" x14ac:dyDescent="0.25">
      <c r="A176" s="844"/>
      <c r="B176" s="895" t="s">
        <v>15</v>
      </c>
      <c r="C176" s="895" t="s">
        <v>232</v>
      </c>
      <c r="D176" s="844">
        <f>E177/1</f>
        <v>1.1613</v>
      </c>
      <c r="E176" s="844"/>
      <c r="F176" s="844"/>
    </row>
    <row r="177" spans="1:8" x14ac:dyDescent="0.25">
      <c r="A177" s="844"/>
      <c r="B177" s="896" t="s">
        <v>6</v>
      </c>
      <c r="C177" s="897">
        <f>SUM(C178:C192)</f>
        <v>1</v>
      </c>
      <c r="D177" s="857"/>
      <c r="E177" s="916">
        <f>SUM(E178:E192)</f>
        <v>1.1613</v>
      </c>
      <c r="F177" s="856"/>
      <c r="G177" s="9"/>
      <c r="H177" s="9"/>
    </row>
    <row r="178" spans="1:8" hidden="1" outlineLevel="1" x14ac:dyDescent="0.25">
      <c r="A178" s="844"/>
      <c r="B178" s="900" t="s">
        <v>20</v>
      </c>
      <c r="C178" s="901">
        <v>0.01</v>
      </c>
      <c r="D178" s="920">
        <v>1</v>
      </c>
      <c r="E178" s="899">
        <f>C178*D178</f>
        <v>0.01</v>
      </c>
      <c r="F178" s="844"/>
    </row>
    <row r="179" spans="1:8" ht="25.5" hidden="1" outlineLevel="1" x14ac:dyDescent="0.25">
      <c r="A179" s="844"/>
      <c r="B179" s="900" t="s">
        <v>21</v>
      </c>
      <c r="C179" s="901">
        <v>0.03</v>
      </c>
      <c r="D179" s="902">
        <v>1</v>
      </c>
      <c r="E179" s="901">
        <f>C179*D179</f>
        <v>0.03</v>
      </c>
      <c r="F179" s="844"/>
    </row>
    <row r="180" spans="1:8" hidden="1" outlineLevel="1" x14ac:dyDescent="0.25">
      <c r="A180" s="844"/>
      <c r="B180" s="900" t="s">
        <v>22</v>
      </c>
      <c r="C180" s="901">
        <v>0.09</v>
      </c>
      <c r="D180" s="920" t="s">
        <v>16</v>
      </c>
      <c r="E180" s="899">
        <f>C180*(1+0.3)</f>
        <v>0.11699999999999999</v>
      </c>
      <c r="F180" s="844"/>
    </row>
    <row r="181" spans="1:8" ht="25.5" hidden="1" outlineLevel="1" x14ac:dyDescent="0.25">
      <c r="A181" s="844"/>
      <c r="B181" s="900" t="s">
        <v>23</v>
      </c>
      <c r="C181" s="901">
        <v>0.12</v>
      </c>
      <c r="D181" s="920" t="s">
        <v>16</v>
      </c>
      <c r="E181" s="899">
        <f>C181*(1+0.3)</f>
        <v>0.156</v>
      </c>
      <c r="F181" s="844"/>
    </row>
    <row r="182" spans="1:8" ht="38.25" hidden="1" outlineLevel="1" x14ac:dyDescent="0.25">
      <c r="A182" s="844"/>
      <c r="B182" s="900" t="s">
        <v>24</v>
      </c>
      <c r="C182" s="901">
        <v>0.05</v>
      </c>
      <c r="D182" s="920">
        <v>1</v>
      </c>
      <c r="E182" s="899">
        <f>C182*D182</f>
        <v>0.05</v>
      </c>
      <c r="F182" s="844"/>
    </row>
    <row r="183" spans="1:8" ht="51" hidden="1" outlineLevel="1" x14ac:dyDescent="0.25">
      <c r="A183" s="844"/>
      <c r="B183" s="900" t="s">
        <v>25</v>
      </c>
      <c r="C183" s="901">
        <v>0.04</v>
      </c>
      <c r="D183" s="920">
        <v>1</v>
      </c>
      <c r="E183" s="899">
        <f>C183*D183</f>
        <v>0.04</v>
      </c>
      <c r="F183" s="844"/>
    </row>
    <row r="184" spans="1:8" ht="38.25" hidden="1" outlineLevel="1" x14ac:dyDescent="0.25">
      <c r="A184" s="844"/>
      <c r="B184" s="900" t="s">
        <v>26</v>
      </c>
      <c r="C184" s="901">
        <v>0.05</v>
      </c>
      <c r="D184" s="902">
        <v>1</v>
      </c>
      <c r="E184" s="901">
        <f>C184*D184</f>
        <v>0.05</v>
      </c>
      <c r="F184" s="844"/>
    </row>
    <row r="185" spans="1:8" ht="51" hidden="1" outlineLevel="1" x14ac:dyDescent="0.25">
      <c r="A185" s="844"/>
      <c r="B185" s="900" t="s">
        <v>27</v>
      </c>
      <c r="C185" s="901">
        <v>0.04</v>
      </c>
      <c r="D185" s="921">
        <v>1</v>
      </c>
      <c r="E185" s="901">
        <f>C185*D185</f>
        <v>0.04</v>
      </c>
      <c r="F185" s="844"/>
    </row>
    <row r="186" spans="1:8" ht="38.25" hidden="1" outlineLevel="1" x14ac:dyDescent="0.25">
      <c r="A186" s="844"/>
      <c r="B186" s="900" t="s">
        <v>28</v>
      </c>
      <c r="C186" s="901">
        <v>0.02</v>
      </c>
      <c r="D186" s="902">
        <v>1</v>
      </c>
      <c r="E186" s="901">
        <f>C186*D186</f>
        <v>0.02</v>
      </c>
      <c r="F186" s="844"/>
    </row>
    <row r="187" spans="1:8" ht="38.25" hidden="1" outlineLevel="1" x14ac:dyDescent="0.25">
      <c r="A187" s="844"/>
      <c r="B187" s="900" t="s">
        <v>29</v>
      </c>
      <c r="C187" s="901">
        <v>0.31</v>
      </c>
      <c r="D187" s="920" t="s">
        <v>16</v>
      </c>
      <c r="E187" s="899">
        <f>C187*(1+0.3)</f>
        <v>0.40300000000000002</v>
      </c>
      <c r="F187" s="844"/>
    </row>
    <row r="188" spans="1:8" hidden="1" outlineLevel="1" x14ac:dyDescent="0.25">
      <c r="A188" s="844"/>
      <c r="B188" s="900" t="s">
        <v>30</v>
      </c>
      <c r="C188" s="901">
        <v>0.04</v>
      </c>
      <c r="D188" s="920">
        <v>1</v>
      </c>
      <c r="E188" s="899">
        <f>C188*D188</f>
        <v>0.04</v>
      </c>
      <c r="F188" s="844"/>
    </row>
    <row r="189" spans="1:8" ht="25.5" hidden="1" outlineLevel="1" x14ac:dyDescent="0.25">
      <c r="A189" s="844"/>
      <c r="B189" s="900" t="s">
        <v>31</v>
      </c>
      <c r="C189" s="901">
        <v>0.09</v>
      </c>
      <c r="D189" s="902">
        <v>1</v>
      </c>
      <c r="E189" s="901">
        <f>C189*D189</f>
        <v>0.09</v>
      </c>
      <c r="F189" s="844"/>
    </row>
    <row r="190" spans="1:8" ht="25.5" hidden="1" outlineLevel="1" x14ac:dyDescent="0.25">
      <c r="A190" s="844"/>
      <c r="B190" s="900" t="s">
        <v>32</v>
      </c>
      <c r="C190" s="901">
        <v>0.05</v>
      </c>
      <c r="D190" s="921">
        <v>1</v>
      </c>
      <c r="E190" s="901">
        <f>C190*D190</f>
        <v>0.05</v>
      </c>
      <c r="F190" s="844"/>
    </row>
    <row r="191" spans="1:8" ht="25.5" hidden="1" outlineLevel="1" x14ac:dyDescent="0.25">
      <c r="A191" s="844"/>
      <c r="B191" s="900" t="s">
        <v>33</v>
      </c>
      <c r="C191" s="901">
        <v>0.01</v>
      </c>
      <c r="D191" s="902">
        <v>1</v>
      </c>
      <c r="E191" s="901">
        <f>C191*D191</f>
        <v>0.01</v>
      </c>
      <c r="F191" s="844"/>
    </row>
    <row r="192" spans="1:8" hidden="1" outlineLevel="1" x14ac:dyDescent="0.25">
      <c r="A192" s="844"/>
      <c r="B192" s="900" t="s">
        <v>212</v>
      </c>
      <c r="C192" s="901">
        <v>0.05</v>
      </c>
      <c r="D192" s="921"/>
      <c r="E192" s="899">
        <f>SUM(E178:E191)*C192</f>
        <v>5.5300000000000009E-2</v>
      </c>
      <c r="F192" s="844"/>
    </row>
    <row r="193" spans="1:18" s="19" customFormat="1" ht="15.75" collapsed="1" x14ac:dyDescent="0.25">
      <c r="A193" s="847"/>
      <c r="B193" s="847" t="s">
        <v>48</v>
      </c>
      <c r="C193" s="847"/>
      <c r="D193" s="847"/>
      <c r="E193" s="847"/>
      <c r="F193" s="847"/>
    </row>
    <row r="194" spans="1:18" s="19" customFormat="1" ht="16.5" customHeight="1" x14ac:dyDescent="0.25">
      <c r="A194" s="847"/>
      <c r="B194" s="847" t="s">
        <v>49</v>
      </c>
      <c r="C194" s="847">
        <v>5.32</v>
      </c>
      <c r="D194" s="905"/>
      <c r="E194" s="847"/>
      <c r="F194" s="847"/>
    </row>
    <row r="195" spans="1:18" s="11" customFormat="1" x14ac:dyDescent="0.25">
      <c r="A195" s="847"/>
      <c r="B195" s="845" t="s">
        <v>2374</v>
      </c>
      <c r="C195" s="847"/>
      <c r="D195" s="847">
        <v>520</v>
      </c>
      <c r="E195" s="847" t="s">
        <v>235</v>
      </c>
      <c r="F195" s="847"/>
      <c r="I195" s="13"/>
    </row>
    <row r="196" spans="1:18" s="2" customFormat="1" ht="51" x14ac:dyDescent="0.25">
      <c r="A196" s="854"/>
      <c r="B196" s="394" t="s">
        <v>2388</v>
      </c>
      <c r="C196" s="394" t="s">
        <v>2389</v>
      </c>
      <c r="D196" s="394" t="s">
        <v>2392</v>
      </c>
      <c r="E196" s="854"/>
      <c r="F196" s="855">
        <f>(381.92+0*(0.4*0.5+0.6*0.52))*1*D197*D198*C218*1000</f>
        <v>562641.91639040003</v>
      </c>
      <c r="I196"/>
      <c r="J196"/>
      <c r="K196"/>
      <c r="Q196" s="17"/>
      <c r="R196" s="17"/>
    </row>
    <row r="197" spans="1:18" s="3" customFormat="1" x14ac:dyDescent="0.25">
      <c r="A197" s="866"/>
      <c r="B197" s="865" t="s">
        <v>4</v>
      </c>
      <c r="C197" s="865" t="s">
        <v>5</v>
      </c>
      <c r="D197" s="866">
        <v>0.4</v>
      </c>
      <c r="E197" s="866"/>
      <c r="F197" s="866"/>
      <c r="I197"/>
      <c r="J197"/>
      <c r="K197"/>
    </row>
    <row r="198" spans="1:18" ht="102.75" x14ac:dyDescent="0.25">
      <c r="A198" s="844"/>
      <c r="B198" s="895" t="s">
        <v>15</v>
      </c>
      <c r="C198" s="394" t="s">
        <v>843</v>
      </c>
      <c r="D198" s="854">
        <f>E199/1</f>
        <v>0.69229000000000007</v>
      </c>
      <c r="E198" s="844"/>
      <c r="F198" s="844"/>
    </row>
    <row r="199" spans="1:18" x14ac:dyDescent="0.25">
      <c r="A199" s="844"/>
      <c r="B199" s="896" t="s">
        <v>6</v>
      </c>
      <c r="C199" s="897">
        <f>SUM(C200:C216)</f>
        <v>0.63000000000000012</v>
      </c>
      <c r="D199" s="857"/>
      <c r="E199" s="898">
        <f>SUM(E200:E216)</f>
        <v>0.69229000000000007</v>
      </c>
      <c r="F199" s="899"/>
      <c r="G199" s="4"/>
      <c r="H199" s="4"/>
    </row>
    <row r="200" spans="1:18" hidden="1" outlineLevel="1" x14ac:dyDescent="0.25">
      <c r="A200" s="844"/>
      <c r="B200" s="900" t="s">
        <v>20</v>
      </c>
      <c r="C200" s="901">
        <v>0.02</v>
      </c>
      <c r="D200" s="844">
        <v>1</v>
      </c>
      <c r="E200" s="899">
        <f>C200*D200</f>
        <v>0.02</v>
      </c>
      <c r="F200" s="844"/>
    </row>
    <row r="201" spans="1:18" ht="25.5" hidden="1" outlineLevel="1" x14ac:dyDescent="0.25">
      <c r="A201" s="844"/>
      <c r="B201" s="900" t="s">
        <v>21</v>
      </c>
      <c r="C201" s="901">
        <v>0.04</v>
      </c>
      <c r="D201" s="844">
        <v>1</v>
      </c>
      <c r="E201" s="899">
        <f>C201*D201</f>
        <v>0.04</v>
      </c>
      <c r="F201" s="844"/>
    </row>
    <row r="202" spans="1:18" hidden="1" outlineLevel="1" x14ac:dyDescent="0.25">
      <c r="A202" s="844"/>
      <c r="B202" s="900" t="s">
        <v>22</v>
      </c>
      <c r="C202" s="901">
        <v>0.14000000000000001</v>
      </c>
      <c r="D202" s="902" t="s">
        <v>16</v>
      </c>
      <c r="E202" s="899">
        <f>C202*(1+0.3)</f>
        <v>0.18200000000000002</v>
      </c>
      <c r="F202" s="844"/>
    </row>
    <row r="203" spans="1:18" ht="25.5" hidden="1" outlineLevel="1" x14ac:dyDescent="0.25">
      <c r="A203" s="844"/>
      <c r="B203" s="900" t="s">
        <v>23</v>
      </c>
      <c r="C203" s="901">
        <v>0.15</v>
      </c>
      <c r="D203" s="902" t="s">
        <v>16</v>
      </c>
      <c r="E203" s="899">
        <f>C203*(1+0.3)</f>
        <v>0.19500000000000001</v>
      </c>
      <c r="F203" s="844"/>
    </row>
    <row r="204" spans="1:18" ht="38.25" hidden="1" outlineLevel="1" x14ac:dyDescent="0.25">
      <c r="A204" s="844"/>
      <c r="B204" s="900" t="s">
        <v>36</v>
      </c>
      <c r="C204" s="901"/>
      <c r="D204" s="902"/>
      <c r="E204" s="899"/>
      <c r="F204" s="844"/>
    </row>
    <row r="205" spans="1:18" hidden="1" outlineLevel="1" x14ac:dyDescent="0.25">
      <c r="A205" s="844"/>
      <c r="B205" s="903" t="s">
        <v>37</v>
      </c>
      <c r="C205" s="901"/>
      <c r="D205" s="902">
        <v>1</v>
      </c>
      <c r="E205" s="899">
        <f>C205*D205</f>
        <v>0</v>
      </c>
      <c r="F205" s="844"/>
    </row>
    <row r="206" spans="1:18" hidden="1" outlineLevel="1" x14ac:dyDescent="0.25">
      <c r="A206" s="844"/>
      <c r="B206" s="903" t="s">
        <v>38</v>
      </c>
      <c r="C206" s="901"/>
      <c r="D206" s="844">
        <v>1</v>
      </c>
      <c r="E206" s="899">
        <f t="shared" ref="E206:E215" si="3">C206*D206</f>
        <v>0</v>
      </c>
      <c r="F206" s="844"/>
    </row>
    <row r="207" spans="1:18" hidden="1" outlineLevel="1" x14ac:dyDescent="0.25">
      <c r="A207" s="844"/>
      <c r="B207" s="903" t="s">
        <v>39</v>
      </c>
      <c r="C207" s="901"/>
      <c r="D207" s="844">
        <v>1</v>
      </c>
      <c r="E207" s="899">
        <f t="shared" si="3"/>
        <v>0</v>
      </c>
      <c r="F207" s="844"/>
    </row>
    <row r="208" spans="1:18" ht="25.5" hidden="1" outlineLevel="1" x14ac:dyDescent="0.25">
      <c r="A208" s="844"/>
      <c r="B208" s="903" t="s">
        <v>40</v>
      </c>
      <c r="C208" s="901"/>
      <c r="D208" s="844">
        <v>1</v>
      </c>
      <c r="E208" s="899">
        <f t="shared" si="3"/>
        <v>0</v>
      </c>
      <c r="F208" s="844"/>
    </row>
    <row r="209" spans="1:10" hidden="1" outlineLevel="1" x14ac:dyDescent="0.25">
      <c r="A209" s="844"/>
      <c r="B209" s="903" t="s">
        <v>41</v>
      </c>
      <c r="C209" s="901"/>
      <c r="D209" s="902">
        <v>1</v>
      </c>
      <c r="E209" s="899">
        <f t="shared" si="3"/>
        <v>0</v>
      </c>
      <c r="F209" s="844"/>
    </row>
    <row r="210" spans="1:10" hidden="1" outlineLevel="1" x14ac:dyDescent="0.25">
      <c r="A210" s="844"/>
      <c r="B210" s="903" t="s">
        <v>42</v>
      </c>
      <c r="C210" s="901"/>
      <c r="D210" s="844">
        <v>1</v>
      </c>
      <c r="E210" s="899">
        <f t="shared" si="3"/>
        <v>0</v>
      </c>
      <c r="F210" s="844"/>
    </row>
    <row r="211" spans="1:10" hidden="1" outlineLevel="1" x14ac:dyDescent="0.25">
      <c r="A211" s="844"/>
      <c r="B211" s="903" t="s">
        <v>43</v>
      </c>
      <c r="C211" s="901"/>
      <c r="D211" s="844">
        <v>1</v>
      </c>
      <c r="E211" s="899">
        <f t="shared" si="3"/>
        <v>0</v>
      </c>
      <c r="F211" s="844"/>
    </row>
    <row r="212" spans="1:10" hidden="1" outlineLevel="1" x14ac:dyDescent="0.25">
      <c r="A212" s="844"/>
      <c r="B212" s="900" t="s">
        <v>30</v>
      </c>
      <c r="C212" s="901">
        <v>0.06</v>
      </c>
      <c r="D212" s="844">
        <v>1</v>
      </c>
      <c r="E212" s="899">
        <f t="shared" si="3"/>
        <v>0.06</v>
      </c>
      <c r="F212" s="844"/>
    </row>
    <row r="213" spans="1:10" hidden="1" outlineLevel="1" x14ac:dyDescent="0.25">
      <c r="A213" s="844"/>
      <c r="B213" s="900" t="s">
        <v>44</v>
      </c>
      <c r="C213" s="901">
        <v>7.0000000000000007E-2</v>
      </c>
      <c r="D213" s="844">
        <v>1</v>
      </c>
      <c r="E213" s="899">
        <f t="shared" si="3"/>
        <v>7.0000000000000007E-2</v>
      </c>
      <c r="F213" s="844"/>
    </row>
    <row r="214" spans="1:10" ht="25.5" hidden="1" outlineLevel="1" x14ac:dyDescent="0.25">
      <c r="A214" s="844"/>
      <c r="B214" s="900" t="s">
        <v>32</v>
      </c>
      <c r="C214" s="901">
        <v>0.06</v>
      </c>
      <c r="D214" s="844">
        <v>1</v>
      </c>
      <c r="E214" s="899">
        <f t="shared" si="3"/>
        <v>0.06</v>
      </c>
      <c r="F214" s="844"/>
    </row>
    <row r="215" spans="1:10" ht="25.5" hidden="1" outlineLevel="1" x14ac:dyDescent="0.25">
      <c r="A215" s="844"/>
      <c r="B215" s="900" t="s">
        <v>45</v>
      </c>
      <c r="C215" s="901">
        <v>0.02</v>
      </c>
      <c r="D215" s="844">
        <v>1</v>
      </c>
      <c r="E215" s="899">
        <f t="shared" si="3"/>
        <v>0.02</v>
      </c>
      <c r="F215" s="844"/>
    </row>
    <row r="216" spans="1:10" hidden="1" outlineLevel="1" x14ac:dyDescent="0.25">
      <c r="A216" s="844"/>
      <c r="B216" s="900" t="s">
        <v>34</v>
      </c>
      <c r="C216" s="901">
        <v>7.0000000000000007E-2</v>
      </c>
      <c r="D216" s="902"/>
      <c r="E216" s="904">
        <f>SUM(E200:E215)*C216</f>
        <v>4.5290000000000004E-2</v>
      </c>
      <c r="F216" s="904"/>
      <c r="G216" s="14"/>
      <c r="H216" s="14"/>
    </row>
    <row r="217" spans="1:10" s="19" customFormat="1" ht="15.75" collapsed="1" x14ac:dyDescent="0.25">
      <c r="A217" s="847"/>
      <c r="B217" s="847" t="s">
        <v>48</v>
      </c>
      <c r="C217" s="847"/>
      <c r="D217" s="847"/>
      <c r="E217" s="847"/>
      <c r="F217" s="847"/>
    </row>
    <row r="218" spans="1:10" s="19" customFormat="1" ht="15.75" x14ac:dyDescent="0.25">
      <c r="A218" s="847"/>
      <c r="B218" s="847" t="s">
        <v>49</v>
      </c>
      <c r="C218" s="847">
        <v>5.32</v>
      </c>
      <c r="D218" s="905"/>
      <c r="E218" s="847"/>
      <c r="F218" s="847"/>
    </row>
    <row r="219" spans="1:10" s="36" customFormat="1" ht="51" x14ac:dyDescent="0.2">
      <c r="A219" s="926"/>
      <c r="B219" s="891" t="s">
        <v>930</v>
      </c>
      <c r="C219" s="892">
        <v>0.04</v>
      </c>
      <c r="D219" s="927"/>
      <c r="E219" s="926"/>
      <c r="F219" s="855">
        <f>(SUM(F31:F173)-F122)*C219</f>
        <v>110236.76975953043</v>
      </c>
      <c r="G219" s="34"/>
      <c r="H219" s="34"/>
      <c r="I219" s="33"/>
      <c r="J219" s="35"/>
    </row>
    <row r="220" spans="1:10" ht="15.75" x14ac:dyDescent="0.25">
      <c r="A220" s="844"/>
      <c r="B220" s="289" t="s">
        <v>50</v>
      </c>
      <c r="C220" s="844"/>
      <c r="D220" s="844"/>
      <c r="E220" s="844"/>
      <c r="F220" s="859">
        <f>SUM(F31:F219)</f>
        <v>3741613.9301381912</v>
      </c>
    </row>
    <row r="221" spans="1:10" ht="15.75" x14ac:dyDescent="0.25">
      <c r="A221" s="844"/>
      <c r="B221" s="289" t="s">
        <v>51</v>
      </c>
      <c r="C221" s="844"/>
      <c r="D221" s="844"/>
      <c r="E221" s="844"/>
      <c r="F221" s="860">
        <f>F220*0.2</f>
        <v>748322.78602763824</v>
      </c>
    </row>
    <row r="222" spans="1:10" ht="15.75" x14ac:dyDescent="0.25">
      <c r="A222" s="844"/>
      <c r="B222" s="289" t="s">
        <v>52</v>
      </c>
      <c r="C222" s="844"/>
      <c r="D222" s="844"/>
      <c r="E222" s="844"/>
      <c r="F222" s="859">
        <f>SUM(F220:F221)</f>
        <v>4489936.7161658294</v>
      </c>
    </row>
    <row r="223" spans="1:10" x14ac:dyDescent="0.25">
      <c r="A223" s="374"/>
      <c r="B223" s="374"/>
      <c r="C223" s="374"/>
      <c r="D223" s="374"/>
      <c r="E223" s="374"/>
      <c r="F223" s="374"/>
    </row>
    <row r="224" spans="1:10" x14ac:dyDescent="0.25">
      <c r="A224" s="374"/>
      <c r="B224" s="374"/>
      <c r="C224" s="374"/>
      <c r="D224" s="374"/>
      <c r="E224" s="374"/>
      <c r="F224" s="374"/>
    </row>
  </sheetData>
  <mergeCells count="8">
    <mergeCell ref="A25:B25"/>
    <mergeCell ref="A27:B27"/>
    <mergeCell ref="B1:E1"/>
    <mergeCell ref="A17:C17"/>
    <mergeCell ref="A20:F20"/>
    <mergeCell ref="A21:F21"/>
    <mergeCell ref="A23:B23"/>
    <mergeCell ref="C23:F23"/>
  </mergeCells>
  <pageMargins left="0.7" right="0.7" top="0.75" bottom="0.75" header="0.3" footer="0.3"/>
  <pageSetup paperSize="9" scale="5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6"/>
  <sheetViews>
    <sheetView view="pageBreakPreview" topLeftCell="A257" zoomScaleNormal="100" zoomScaleSheetLayoutView="100" workbookViewId="0">
      <selection activeCell="J181" sqref="J181"/>
    </sheetView>
  </sheetViews>
  <sheetFormatPr defaultRowHeight="15" outlineLevelRow="1" x14ac:dyDescent="0.25"/>
  <cols>
    <col min="2" max="2" width="57.28515625" customWidth="1"/>
    <col min="3" max="3" width="30.28515625" customWidth="1"/>
    <col min="4" max="4" width="28.28515625" customWidth="1"/>
    <col min="5" max="5" width="13" customWidth="1"/>
    <col min="6" max="6" width="17.7109375" customWidth="1"/>
    <col min="7" max="7" width="16.28515625" customWidth="1"/>
    <col min="9" max="9" width="12.42578125" bestFit="1" customWidth="1"/>
    <col min="10" max="10" width="12.140625" customWidth="1"/>
  </cols>
  <sheetData>
    <row r="1" spans="1:7" ht="16.5" hidden="1" thickBot="1" x14ac:dyDescent="0.3">
      <c r="A1" s="344" t="s">
        <v>145</v>
      </c>
      <c r="B1" s="302" t="s">
        <v>65</v>
      </c>
      <c r="C1" s="345" t="s">
        <v>0</v>
      </c>
      <c r="D1" s="346">
        <v>1.8</v>
      </c>
      <c r="E1" s="347"/>
      <c r="F1" s="40"/>
    </row>
    <row r="2" spans="1:7" ht="221.25" hidden="1" thickBot="1" x14ac:dyDescent="0.3">
      <c r="A2" s="344" t="s">
        <v>146</v>
      </c>
      <c r="B2" s="302" t="s">
        <v>147</v>
      </c>
      <c r="C2" s="345" t="s">
        <v>622</v>
      </c>
      <c r="D2" s="346">
        <v>1</v>
      </c>
      <c r="E2" s="305" t="s">
        <v>639</v>
      </c>
      <c r="F2" s="315" t="s">
        <v>640</v>
      </c>
    </row>
    <row r="3" spans="1:7" ht="32.25" hidden="1" thickBot="1" x14ac:dyDescent="0.3">
      <c r="A3" s="307" t="s">
        <v>148</v>
      </c>
      <c r="B3" s="316" t="s">
        <v>149</v>
      </c>
      <c r="C3" s="317"/>
      <c r="D3" s="312"/>
      <c r="E3" s="305" t="s">
        <v>641</v>
      </c>
      <c r="F3" s="40" t="s">
        <v>259</v>
      </c>
    </row>
    <row r="4" spans="1:7" ht="95.25" hidden="1" thickBot="1" x14ac:dyDescent="0.3">
      <c r="A4" s="344" t="s">
        <v>150</v>
      </c>
      <c r="B4" s="302" t="s">
        <v>71</v>
      </c>
      <c r="C4" s="345"/>
      <c r="D4" s="346"/>
      <c r="E4" s="305" t="s">
        <v>625</v>
      </c>
      <c r="F4" s="40" t="s">
        <v>256</v>
      </c>
      <c r="G4" t="s">
        <v>626</v>
      </c>
    </row>
    <row r="5" spans="1:7" ht="16.5" hidden="1" thickBot="1" x14ac:dyDescent="0.3">
      <c r="A5" s="344" t="s">
        <v>642</v>
      </c>
      <c r="B5" s="302" t="s">
        <v>628</v>
      </c>
      <c r="C5" s="345" t="s">
        <v>211</v>
      </c>
      <c r="D5" s="346">
        <v>10</v>
      </c>
      <c r="E5" s="305"/>
      <c r="F5" s="40"/>
    </row>
    <row r="6" spans="1:7" ht="32.25" hidden="1" thickBot="1" x14ac:dyDescent="0.3">
      <c r="A6" s="307" t="s">
        <v>643</v>
      </c>
      <c r="B6" s="310" t="s">
        <v>630</v>
      </c>
      <c r="C6" s="311" t="s">
        <v>211</v>
      </c>
      <c r="D6" s="312"/>
      <c r="E6" s="305"/>
      <c r="F6" s="40"/>
    </row>
    <row r="7" spans="1:7" ht="16.5" hidden="1" thickBot="1" x14ac:dyDescent="0.3">
      <c r="A7" s="307" t="s">
        <v>644</v>
      </c>
      <c r="B7" s="310" t="s">
        <v>632</v>
      </c>
      <c r="C7" s="311" t="s">
        <v>211</v>
      </c>
      <c r="D7" s="312"/>
      <c r="E7" s="305"/>
      <c r="F7" s="40"/>
    </row>
    <row r="8" spans="1:7" ht="16.5" hidden="1" thickBot="1" x14ac:dyDescent="0.3">
      <c r="A8" s="344" t="s">
        <v>645</v>
      </c>
      <c r="B8" s="302" t="s">
        <v>634</v>
      </c>
      <c r="C8" s="345" t="s">
        <v>211</v>
      </c>
      <c r="D8" s="346">
        <v>10</v>
      </c>
      <c r="E8" s="305"/>
      <c r="F8" s="40"/>
    </row>
    <row r="9" spans="1:7" ht="16.5" hidden="1" thickBot="1" x14ac:dyDescent="0.3">
      <c r="A9" s="344" t="s">
        <v>151</v>
      </c>
      <c r="B9" s="302" t="s">
        <v>79</v>
      </c>
      <c r="C9" s="345" t="s">
        <v>211</v>
      </c>
      <c r="D9" s="346">
        <v>30</v>
      </c>
      <c r="E9" s="305" t="s">
        <v>635</v>
      </c>
      <c r="F9" s="40" t="s">
        <v>254</v>
      </c>
    </row>
    <row r="10" spans="1:7" ht="118.5" hidden="1" customHeight="1" thickBot="1" x14ac:dyDescent="0.3">
      <c r="A10" s="344" t="s">
        <v>152</v>
      </c>
      <c r="B10" s="302" t="s">
        <v>117</v>
      </c>
      <c r="C10" s="345" t="s">
        <v>211</v>
      </c>
      <c r="D10" s="346">
        <v>15</v>
      </c>
      <c r="E10" s="318" t="s">
        <v>646</v>
      </c>
      <c r="F10" s="40" t="s">
        <v>283</v>
      </c>
    </row>
    <row r="11" spans="1:7" ht="16.5" hidden="1" thickBot="1" x14ac:dyDescent="0.3">
      <c r="A11" s="320" t="s">
        <v>153</v>
      </c>
      <c r="B11" s="321" t="s">
        <v>82</v>
      </c>
      <c r="C11" s="322" t="s">
        <v>668</v>
      </c>
      <c r="D11" s="323" t="s">
        <v>669</v>
      </c>
      <c r="E11" s="305" t="s">
        <v>648</v>
      </c>
      <c r="F11" s="40" t="s">
        <v>254</v>
      </c>
    </row>
    <row r="12" spans="1:7" ht="174" hidden="1" thickBot="1" x14ac:dyDescent="0.3">
      <c r="A12" s="344" t="s">
        <v>154</v>
      </c>
      <c r="B12" s="302" t="s">
        <v>132</v>
      </c>
      <c r="C12" s="345" t="s">
        <v>211</v>
      </c>
      <c r="D12" s="346">
        <v>1</v>
      </c>
      <c r="E12" s="305" t="s">
        <v>639</v>
      </c>
      <c r="F12" s="315" t="s">
        <v>649</v>
      </c>
      <c r="G12" t="s">
        <v>650</v>
      </c>
    </row>
    <row r="13" spans="1:7" ht="15.75" hidden="1" x14ac:dyDescent="0.25">
      <c r="A13" s="344" t="s">
        <v>619</v>
      </c>
      <c r="B13" s="302" t="s">
        <v>73</v>
      </c>
      <c r="C13" s="345" t="s">
        <v>620</v>
      </c>
      <c r="D13" s="346">
        <v>1600</v>
      </c>
      <c r="E13" s="305"/>
      <c r="F13" s="306"/>
    </row>
    <row r="14" spans="1:7" ht="15.75" hidden="1" x14ac:dyDescent="0.25">
      <c r="A14" s="344" t="s">
        <v>621</v>
      </c>
      <c r="B14" s="302" t="s">
        <v>127</v>
      </c>
      <c r="C14" s="345" t="s">
        <v>0</v>
      </c>
      <c r="D14" s="346">
        <v>1</v>
      </c>
      <c r="E14" s="305"/>
      <c r="F14" s="306"/>
    </row>
    <row r="15" spans="1:7" hidden="1" x14ac:dyDescent="0.25"/>
    <row r="16" spans="1:7" hidden="1" x14ac:dyDescent="0.25"/>
    <row r="17" spans="1:18" s="828" customFormat="1" ht="27" customHeight="1" x14ac:dyDescent="0.25">
      <c r="A17" s="1254" t="s">
        <v>2397</v>
      </c>
      <c r="B17" s="1254"/>
      <c r="C17" s="1254"/>
      <c r="E17" s="835"/>
      <c r="F17" s="835" t="s">
        <v>2398</v>
      </c>
      <c r="G17" s="835"/>
      <c r="H17" s="835"/>
      <c r="I17" s="835"/>
    </row>
    <row r="18" spans="1:18" s="831" customFormat="1" x14ac:dyDescent="0.25">
      <c r="A18" s="829"/>
      <c r="B18" s="829"/>
      <c r="C18" s="829"/>
      <c r="D18" s="830"/>
      <c r="E18" s="830"/>
      <c r="F18" s="830"/>
      <c r="G18" s="830"/>
      <c r="H18" s="830"/>
      <c r="I18" s="830"/>
    </row>
    <row r="19" spans="1:18" s="831" customFormat="1" x14ac:dyDescent="0.25">
      <c r="A19" s="829"/>
      <c r="B19" s="829"/>
      <c r="C19" s="829"/>
      <c r="D19" s="830"/>
      <c r="E19" s="830"/>
      <c r="F19" s="830"/>
      <c r="G19" s="830"/>
      <c r="H19" s="830"/>
      <c r="I19" s="830"/>
    </row>
    <row r="20" spans="1:18" s="828" customFormat="1" ht="28.5" customHeight="1" x14ac:dyDescent="0.25">
      <c r="A20" s="1255" t="s">
        <v>2412</v>
      </c>
      <c r="B20" s="1255"/>
      <c r="C20" s="1255"/>
      <c r="D20" s="1255"/>
      <c r="E20" s="1255"/>
      <c r="F20" s="1255"/>
      <c r="G20" s="836"/>
      <c r="H20" s="836"/>
      <c r="I20" s="836"/>
    </row>
    <row r="21" spans="1:18" s="839" customFormat="1" ht="15.75" x14ac:dyDescent="0.25">
      <c r="A21" s="1256" t="s">
        <v>1112</v>
      </c>
      <c r="B21" s="1256"/>
      <c r="C21" s="1256"/>
      <c r="D21" s="1256"/>
      <c r="E21" s="1256"/>
      <c r="F21" s="1256"/>
      <c r="G21" s="838"/>
      <c r="H21" s="838"/>
      <c r="I21" s="838"/>
    </row>
    <row r="22" spans="1:18" s="828" customFormat="1" ht="15.75" x14ac:dyDescent="0.25">
      <c r="A22" s="840"/>
      <c r="B22" s="840"/>
      <c r="C22" s="840"/>
      <c r="D22" s="841"/>
      <c r="E22" s="841"/>
      <c r="F22" s="841"/>
      <c r="G22" s="829"/>
      <c r="H22" s="832"/>
      <c r="I22" s="832"/>
    </row>
    <row r="23" spans="1:18" s="828" customFormat="1" ht="81" customHeight="1" x14ac:dyDescent="0.25">
      <c r="A23" s="1258" t="s">
        <v>2399</v>
      </c>
      <c r="B23" s="1258"/>
      <c r="C23" s="1257" t="s">
        <v>2413</v>
      </c>
      <c r="D23" s="1257"/>
      <c r="E23" s="1257"/>
      <c r="F23" s="1257"/>
      <c r="G23" s="837"/>
      <c r="H23" s="837"/>
      <c r="I23" s="837"/>
    </row>
    <row r="24" spans="1:18" s="828" customFormat="1" ht="15.75" x14ac:dyDescent="0.25">
      <c r="A24" s="842"/>
      <c r="B24" s="842"/>
      <c r="C24" s="842"/>
      <c r="D24" s="840"/>
      <c r="E24" s="840"/>
      <c r="F24" s="840"/>
      <c r="G24" s="832"/>
      <c r="H24" s="832"/>
      <c r="I24" s="832"/>
    </row>
    <row r="25" spans="1:18" s="828" customFormat="1" ht="41.25" customHeight="1" x14ac:dyDescent="0.25">
      <c r="A25" s="1253" t="s">
        <v>1203</v>
      </c>
      <c r="B25" s="1253"/>
      <c r="C25" s="843"/>
      <c r="D25" s="843"/>
      <c r="E25" s="843"/>
      <c r="F25" s="843"/>
      <c r="G25" s="833"/>
      <c r="H25" s="833"/>
      <c r="I25" s="833"/>
    </row>
    <row r="26" spans="1:18" s="828" customFormat="1" ht="15.75" x14ac:dyDescent="0.25">
      <c r="A26" s="840"/>
      <c r="B26" s="840"/>
      <c r="C26" s="840"/>
      <c r="D26" s="840"/>
      <c r="E26" s="840"/>
      <c r="F26" s="840"/>
      <c r="G26" s="832"/>
      <c r="H26" s="832"/>
      <c r="I26" s="832"/>
    </row>
    <row r="27" spans="1:18" s="828" customFormat="1" ht="30" customHeight="1" x14ac:dyDescent="0.25">
      <c r="A27" s="1253" t="s">
        <v>2400</v>
      </c>
      <c r="B27" s="1253"/>
      <c r="C27" s="843" t="s">
        <v>2403</v>
      </c>
      <c r="D27" s="843"/>
      <c r="E27" s="843"/>
      <c r="F27" s="843"/>
      <c r="G27" s="833"/>
      <c r="H27" s="833"/>
      <c r="I27" s="833"/>
    </row>
    <row r="28" spans="1:18" s="365" customFormat="1" ht="57" customHeight="1" x14ac:dyDescent="0.35">
      <c r="B28" s="1261" t="s">
        <v>940</v>
      </c>
      <c r="C28" s="1261"/>
      <c r="D28" s="1261"/>
      <c r="E28" s="1261"/>
      <c r="F28" s="1261"/>
    </row>
    <row r="29" spans="1:18" s="294" customFormat="1" ht="38.25" x14ac:dyDescent="0.25">
      <c r="A29" s="298" t="s">
        <v>529</v>
      </c>
      <c r="B29" s="298" t="s">
        <v>528</v>
      </c>
      <c r="C29" s="298" t="s">
        <v>527</v>
      </c>
      <c r="D29" s="271" t="s">
        <v>526</v>
      </c>
      <c r="E29" s="377"/>
      <c r="F29" s="298" t="s">
        <v>525</v>
      </c>
    </row>
    <row r="30" spans="1:18" s="268" customFormat="1" ht="14.25" customHeight="1" x14ac:dyDescent="0.2">
      <c r="A30" s="298">
        <v>1</v>
      </c>
      <c r="B30" s="298">
        <v>2</v>
      </c>
      <c r="C30" s="298">
        <v>3</v>
      </c>
      <c r="D30" s="298">
        <v>4</v>
      </c>
      <c r="E30" s="298"/>
      <c r="F30" s="298">
        <v>5</v>
      </c>
      <c r="G30" s="295"/>
    </row>
    <row r="31" spans="1:18" s="11" customFormat="1" hidden="1" x14ac:dyDescent="0.25">
      <c r="A31" s="379"/>
      <c r="B31" s="395" t="str">
        <f>B2</f>
        <v>Родельбан</v>
      </c>
      <c r="C31" s="379"/>
      <c r="D31" s="379">
        <v>2</v>
      </c>
      <c r="E31" s="379" t="s">
        <v>210</v>
      </c>
      <c r="F31" s="379"/>
      <c r="I31" s="13"/>
    </row>
    <row r="32" spans="1:18" s="2" customFormat="1" ht="63.75" hidden="1" x14ac:dyDescent="0.25">
      <c r="A32" s="272"/>
      <c r="B32" s="273" t="s">
        <v>941</v>
      </c>
      <c r="C32" s="273" t="s">
        <v>942</v>
      </c>
      <c r="D32" s="273" t="s">
        <v>1631</v>
      </c>
      <c r="E32" s="272"/>
      <c r="F32" s="274"/>
      <c r="G32" s="2" t="s">
        <v>307</v>
      </c>
      <c r="I32"/>
      <c r="J32"/>
      <c r="K32"/>
      <c r="Q32" s="17"/>
      <c r="R32" s="17"/>
    </row>
    <row r="33" spans="1:11" s="3" customFormat="1" hidden="1" x14ac:dyDescent="0.25">
      <c r="A33" s="276"/>
      <c r="B33" s="275" t="s">
        <v>4</v>
      </c>
      <c r="C33" s="275" t="s">
        <v>5</v>
      </c>
      <c r="D33" s="276">
        <v>0.4</v>
      </c>
      <c r="E33" s="276"/>
      <c r="F33" s="276"/>
      <c r="I33"/>
      <c r="J33"/>
      <c r="K33"/>
    </row>
    <row r="34" spans="1:11" s="3" customFormat="1" ht="38.25" hidden="1" x14ac:dyDescent="0.25">
      <c r="A34" s="276"/>
      <c r="B34" s="275" t="s">
        <v>2</v>
      </c>
      <c r="C34" s="275" t="s">
        <v>231</v>
      </c>
      <c r="D34" s="297">
        <v>0.1</v>
      </c>
      <c r="E34" s="276"/>
      <c r="F34" s="276"/>
      <c r="I34"/>
      <c r="J34"/>
      <c r="K34"/>
    </row>
    <row r="35" spans="1:11" ht="76.5" hidden="1" x14ac:dyDescent="0.25">
      <c r="A35" s="272"/>
      <c r="B35" s="273" t="s">
        <v>15</v>
      </c>
      <c r="C35" s="273" t="s">
        <v>943</v>
      </c>
      <c r="D35" s="272">
        <f>E36/1</f>
        <v>0.70035000000000003</v>
      </c>
      <c r="E35" s="272"/>
      <c r="F35" s="272"/>
    </row>
    <row r="36" spans="1:11" hidden="1" x14ac:dyDescent="0.25">
      <c r="A36" s="272"/>
      <c r="B36" s="380" t="s">
        <v>6</v>
      </c>
      <c r="C36" s="381">
        <f>SUM(C37:C52)</f>
        <v>0.66</v>
      </c>
      <c r="D36" s="382"/>
      <c r="E36" s="396">
        <f>SUM(E37:E52)</f>
        <v>0.70035000000000003</v>
      </c>
      <c r="F36" s="384"/>
      <c r="G36" s="4"/>
      <c r="H36" s="4"/>
    </row>
    <row r="37" spans="1:11" hidden="1" outlineLevel="1" x14ac:dyDescent="0.25">
      <c r="A37" s="272"/>
      <c r="B37" s="273" t="s">
        <v>20</v>
      </c>
      <c r="C37" s="383">
        <v>0.02</v>
      </c>
      <c r="D37" s="272">
        <v>1</v>
      </c>
      <c r="E37" s="384">
        <f>C37*D37</f>
        <v>0.02</v>
      </c>
      <c r="F37" s="384"/>
      <c r="G37" s="4"/>
      <c r="H37" s="4"/>
    </row>
    <row r="38" spans="1:11" hidden="1" outlineLevel="1" x14ac:dyDescent="0.25">
      <c r="A38" s="272"/>
      <c r="B38" s="273" t="s">
        <v>265</v>
      </c>
      <c r="C38" s="383">
        <v>0.03</v>
      </c>
      <c r="D38" s="385" t="s">
        <v>16</v>
      </c>
      <c r="E38" s="384">
        <f>C38*(1+0.3)</f>
        <v>3.9E-2</v>
      </c>
      <c r="F38" s="384"/>
      <c r="G38" s="4"/>
      <c r="H38" s="4"/>
    </row>
    <row r="39" spans="1:11" ht="38.25" hidden="1" outlineLevel="1" x14ac:dyDescent="0.25">
      <c r="A39" s="272"/>
      <c r="B39" s="273" t="s">
        <v>347</v>
      </c>
      <c r="C39" s="383">
        <v>0</v>
      </c>
      <c r="D39" s="385" t="s">
        <v>16</v>
      </c>
      <c r="E39" s="384">
        <f>C39*(1+0.3)</f>
        <v>0</v>
      </c>
      <c r="F39" s="384"/>
      <c r="G39" s="4"/>
      <c r="H39" s="4"/>
    </row>
    <row r="40" spans="1:11" ht="51" hidden="1" outlineLevel="1" x14ac:dyDescent="0.25">
      <c r="A40" s="272"/>
      <c r="B40" s="273" t="s">
        <v>348</v>
      </c>
      <c r="C40" s="383">
        <v>0</v>
      </c>
      <c r="D40" s="385" t="s">
        <v>16</v>
      </c>
      <c r="E40" s="384">
        <f>C40*(1+0.3)</f>
        <v>0</v>
      </c>
      <c r="F40" s="384"/>
      <c r="G40" s="4"/>
      <c r="H40" s="4"/>
    </row>
    <row r="41" spans="1:11" ht="38.25" hidden="1" outlineLevel="1" x14ac:dyDescent="0.25">
      <c r="A41" s="272"/>
      <c r="B41" s="273" t="s">
        <v>349</v>
      </c>
      <c r="C41" s="383">
        <v>0.08</v>
      </c>
      <c r="D41" s="385" t="s">
        <v>16</v>
      </c>
      <c r="E41" s="384">
        <f>C41*(1+0.3)</f>
        <v>0.10400000000000001</v>
      </c>
      <c r="F41" s="384"/>
      <c r="G41" s="4"/>
      <c r="H41" s="4"/>
    </row>
    <row r="42" spans="1:11" ht="38.25" hidden="1" outlineLevel="1" x14ac:dyDescent="0.25">
      <c r="A42" s="272"/>
      <c r="B42" s="273" t="s">
        <v>350</v>
      </c>
      <c r="C42" s="383">
        <v>0.08</v>
      </c>
      <c r="D42" s="385" t="s">
        <v>16</v>
      </c>
      <c r="E42" s="384">
        <f>C42*(1+0.3)</f>
        <v>0.10400000000000001</v>
      </c>
      <c r="F42" s="384"/>
      <c r="G42" s="4"/>
      <c r="H42" s="4"/>
    </row>
    <row r="43" spans="1:11" ht="38.25" hidden="1" outlineLevel="1" x14ac:dyDescent="0.25">
      <c r="A43" s="272"/>
      <c r="B43" s="273" t="s">
        <v>351</v>
      </c>
      <c r="C43" s="383">
        <v>0</v>
      </c>
      <c r="D43" s="272">
        <v>1</v>
      </c>
      <c r="E43" s="384">
        <f t="shared" ref="E43:E51" si="0">C43*D43</f>
        <v>0</v>
      </c>
      <c r="F43" s="384"/>
      <c r="G43" s="4"/>
      <c r="H43" s="4"/>
    </row>
    <row r="44" spans="1:11" ht="51" hidden="1" outlineLevel="1" x14ac:dyDescent="0.25">
      <c r="A44" s="272"/>
      <c r="B44" s="273" t="s">
        <v>352</v>
      </c>
      <c r="C44" s="383">
        <v>0</v>
      </c>
      <c r="D44" s="272">
        <v>1</v>
      </c>
      <c r="E44" s="384">
        <f t="shared" si="0"/>
        <v>0</v>
      </c>
      <c r="F44" s="384"/>
      <c r="G44" s="4"/>
      <c r="H44" s="4"/>
      <c r="I44" s="8"/>
    </row>
    <row r="45" spans="1:11" ht="38.25" hidden="1" outlineLevel="1" x14ac:dyDescent="0.25">
      <c r="A45" s="272"/>
      <c r="B45" s="273" t="s">
        <v>353</v>
      </c>
      <c r="C45" s="383">
        <v>0.08</v>
      </c>
      <c r="D45" s="272">
        <v>1</v>
      </c>
      <c r="E45" s="384">
        <f t="shared" si="0"/>
        <v>0.08</v>
      </c>
      <c r="F45" s="384"/>
      <c r="G45" s="4"/>
      <c r="H45" s="4"/>
    </row>
    <row r="46" spans="1:11" ht="38.25" hidden="1" outlineLevel="1" x14ac:dyDescent="0.25">
      <c r="A46" s="272"/>
      <c r="B46" s="273" t="s">
        <v>354</v>
      </c>
      <c r="C46" s="383">
        <v>0.05</v>
      </c>
      <c r="D46" s="272">
        <v>1</v>
      </c>
      <c r="E46" s="384">
        <f t="shared" si="0"/>
        <v>0.05</v>
      </c>
      <c r="F46" s="384"/>
      <c r="G46" s="4"/>
      <c r="H46" s="4"/>
    </row>
    <row r="47" spans="1:11" ht="38.25" hidden="1" outlineLevel="1" x14ac:dyDescent="0.25">
      <c r="A47" s="272"/>
      <c r="B47" s="273" t="s">
        <v>355</v>
      </c>
      <c r="C47" s="383">
        <v>0.04</v>
      </c>
      <c r="D47" s="385">
        <v>1</v>
      </c>
      <c r="E47" s="384">
        <f t="shared" si="0"/>
        <v>0.04</v>
      </c>
      <c r="F47" s="384"/>
      <c r="G47" s="4"/>
      <c r="H47" s="4"/>
    </row>
    <row r="48" spans="1:11" hidden="1" outlineLevel="1" x14ac:dyDescent="0.25">
      <c r="A48" s="272"/>
      <c r="B48" s="273" t="s">
        <v>272</v>
      </c>
      <c r="C48" s="383">
        <v>0.08</v>
      </c>
      <c r="D48" s="272">
        <v>1</v>
      </c>
      <c r="E48" s="384">
        <f t="shared" si="0"/>
        <v>0.08</v>
      </c>
      <c r="F48" s="384"/>
      <c r="G48" s="4"/>
      <c r="H48" s="4"/>
    </row>
    <row r="49" spans="1:18" hidden="1" outlineLevel="1" x14ac:dyDescent="0.25">
      <c r="A49" s="272"/>
      <c r="B49" s="273" t="s">
        <v>30</v>
      </c>
      <c r="C49" s="383">
        <v>0.05</v>
      </c>
      <c r="D49" s="272">
        <v>1</v>
      </c>
      <c r="E49" s="384">
        <f t="shared" si="0"/>
        <v>0.05</v>
      </c>
      <c r="F49" s="384"/>
      <c r="G49" s="4"/>
      <c r="H49" s="4"/>
    </row>
    <row r="50" spans="1:18" hidden="1" outlineLevel="1" x14ac:dyDescent="0.25">
      <c r="A50" s="272"/>
      <c r="B50" s="273" t="s">
        <v>274</v>
      </c>
      <c r="C50" s="383">
        <v>0.08</v>
      </c>
      <c r="D50" s="272">
        <v>1</v>
      </c>
      <c r="E50" s="384">
        <f t="shared" si="0"/>
        <v>0.08</v>
      </c>
      <c r="F50" s="384"/>
      <c r="G50" s="4"/>
      <c r="H50" s="4"/>
    </row>
    <row r="51" spans="1:18" hidden="1" outlineLevel="1" x14ac:dyDescent="0.25">
      <c r="A51" s="272"/>
      <c r="B51" s="273" t="s">
        <v>32</v>
      </c>
      <c r="C51" s="383">
        <v>0.02</v>
      </c>
      <c r="D51" s="272">
        <v>1</v>
      </c>
      <c r="E51" s="384">
        <f t="shared" si="0"/>
        <v>0.02</v>
      </c>
      <c r="F51" s="384"/>
      <c r="G51" s="4"/>
      <c r="H51" s="4"/>
    </row>
    <row r="52" spans="1:18" hidden="1" outlineLevel="1" x14ac:dyDescent="0.25">
      <c r="A52" s="272"/>
      <c r="B52" s="273" t="s">
        <v>34</v>
      </c>
      <c r="C52" s="383">
        <v>0.05</v>
      </c>
      <c r="D52" s="385"/>
      <c r="E52" s="388">
        <f>SUM(E37:E51)*C52</f>
        <v>3.3350000000000005E-2</v>
      </c>
      <c r="F52" s="388"/>
      <c r="G52" s="14"/>
      <c r="H52" s="14"/>
    </row>
    <row r="53" spans="1:18" s="19" customFormat="1" ht="15.75" hidden="1" collapsed="1" x14ac:dyDescent="0.25">
      <c r="A53" s="386"/>
      <c r="B53" s="386" t="s">
        <v>48</v>
      </c>
      <c r="C53" s="386"/>
      <c r="D53" s="386"/>
      <c r="E53" s="386"/>
      <c r="F53" s="386"/>
    </row>
    <row r="54" spans="1:18" s="19" customFormat="1" ht="15.75" hidden="1" x14ac:dyDescent="0.25">
      <c r="A54" s="386"/>
      <c r="B54" s="386" t="s">
        <v>49</v>
      </c>
      <c r="C54" s="386">
        <v>5.32</v>
      </c>
      <c r="D54" s="387"/>
      <c r="E54" s="386"/>
      <c r="F54" s="386"/>
    </row>
    <row r="55" spans="1:18" s="11" customFormat="1" x14ac:dyDescent="0.25">
      <c r="A55" s="862"/>
      <c r="B55" s="861" t="s">
        <v>1634</v>
      </c>
      <c r="C55" s="862"/>
      <c r="D55" s="862">
        <v>2</v>
      </c>
      <c r="E55" s="862" t="s">
        <v>2414</v>
      </c>
      <c r="F55" s="862"/>
      <c r="I55" s="13"/>
    </row>
    <row r="56" spans="1:18" s="2" customFormat="1" ht="76.5" x14ac:dyDescent="0.25">
      <c r="A56" s="854"/>
      <c r="B56" s="394" t="s">
        <v>1632</v>
      </c>
      <c r="C56" s="394" t="s">
        <v>1635</v>
      </c>
      <c r="D56" s="394" t="s">
        <v>1637</v>
      </c>
      <c r="E56" s="854"/>
      <c r="F56" s="855">
        <f>(48.5+0.03*1.5)*D58*D57*D59*D60*C78*1000</f>
        <v>13185.485318880001</v>
      </c>
      <c r="G56" s="2" t="s">
        <v>308</v>
      </c>
      <c r="H56" s="2">
        <f>(2.5*6)/10</f>
        <v>1.5</v>
      </c>
      <c r="I56" s="651"/>
      <c r="J56" s="326"/>
      <c r="K56"/>
      <c r="Q56" s="17"/>
      <c r="R56" s="17"/>
    </row>
    <row r="57" spans="1:18" s="3" customFormat="1" x14ac:dyDescent="0.25">
      <c r="A57" s="866"/>
      <c r="B57" s="865" t="s">
        <v>4</v>
      </c>
      <c r="C57" s="865" t="s">
        <v>5</v>
      </c>
      <c r="D57" s="866">
        <v>0.4</v>
      </c>
      <c r="E57" s="866"/>
      <c r="F57" s="866"/>
      <c r="I57"/>
      <c r="J57"/>
      <c r="K57"/>
    </row>
    <row r="58" spans="1:18" s="3" customFormat="1" ht="76.5" x14ac:dyDescent="0.25">
      <c r="A58" s="866"/>
      <c r="B58" s="394" t="s">
        <v>46</v>
      </c>
      <c r="C58" s="865" t="s">
        <v>1633</v>
      </c>
      <c r="D58" s="866">
        <f>1+(D55-1)*0.2</f>
        <v>1.2</v>
      </c>
      <c r="E58" s="866"/>
      <c r="F58" s="866"/>
      <c r="I58"/>
      <c r="J58"/>
      <c r="K58"/>
    </row>
    <row r="59" spans="1:18" s="3" customFormat="1" ht="38.25" x14ac:dyDescent="0.25">
      <c r="A59" s="866"/>
      <c r="B59" s="865" t="s">
        <v>2</v>
      </c>
      <c r="C59" s="865" t="s">
        <v>231</v>
      </c>
      <c r="D59" s="915">
        <v>0.1</v>
      </c>
      <c r="E59" s="866"/>
      <c r="F59" s="866"/>
      <c r="I59"/>
      <c r="J59"/>
      <c r="K59"/>
    </row>
    <row r="60" spans="1:18" ht="76.5" x14ac:dyDescent="0.25">
      <c r="A60" s="854"/>
      <c r="B60" s="394" t="s">
        <v>15</v>
      </c>
      <c r="C60" s="394" t="s">
        <v>1636</v>
      </c>
      <c r="D60" s="854">
        <f>E61/1</f>
        <v>1.06365</v>
      </c>
      <c r="E60" s="854"/>
      <c r="F60" s="854"/>
    </row>
    <row r="61" spans="1:18" x14ac:dyDescent="0.25">
      <c r="A61" s="854"/>
      <c r="B61" s="390" t="s">
        <v>6</v>
      </c>
      <c r="C61" s="869">
        <f>SUM(C62:C76)</f>
        <v>1</v>
      </c>
      <c r="D61" s="870"/>
      <c r="E61" s="908">
        <f>SUM(E62:E76)</f>
        <v>1.06365</v>
      </c>
      <c r="F61" s="875"/>
      <c r="G61" s="4"/>
      <c r="H61" s="4"/>
    </row>
    <row r="62" spans="1:18" hidden="1" outlineLevel="1" x14ac:dyDescent="0.25">
      <c r="A62" s="854"/>
      <c r="B62" s="394" t="s">
        <v>20</v>
      </c>
      <c r="C62" s="873">
        <v>0.01</v>
      </c>
      <c r="D62" s="854">
        <v>1</v>
      </c>
      <c r="E62" s="875">
        <f>C62*D62</f>
        <v>0.01</v>
      </c>
      <c r="F62" s="875"/>
      <c r="G62" s="4"/>
      <c r="H62" s="4"/>
    </row>
    <row r="63" spans="1:18" hidden="1" outlineLevel="1" x14ac:dyDescent="0.25">
      <c r="A63" s="854"/>
      <c r="B63" s="394" t="s">
        <v>21</v>
      </c>
      <c r="C63" s="873">
        <v>0.03</v>
      </c>
      <c r="D63" s="854">
        <v>1</v>
      </c>
      <c r="E63" s="875">
        <f>C63*D63</f>
        <v>0.03</v>
      </c>
      <c r="F63" s="875"/>
      <c r="G63" s="4"/>
      <c r="H63" s="4"/>
    </row>
    <row r="64" spans="1:18" hidden="1" outlineLevel="1" x14ac:dyDescent="0.25">
      <c r="A64" s="854"/>
      <c r="B64" s="394" t="s">
        <v>22</v>
      </c>
      <c r="C64" s="873">
        <v>0.09</v>
      </c>
      <c r="D64" s="879" t="s">
        <v>16</v>
      </c>
      <c r="E64" s="875">
        <f>C64*(1+0.3)</f>
        <v>0.11699999999999999</v>
      </c>
      <c r="F64" s="875"/>
      <c r="G64" s="4"/>
      <c r="H64" s="4"/>
    </row>
    <row r="65" spans="1:11" hidden="1" outlineLevel="1" x14ac:dyDescent="0.25">
      <c r="A65" s="854"/>
      <c r="B65" s="394" t="s">
        <v>23</v>
      </c>
      <c r="C65" s="873">
        <v>0.12</v>
      </c>
      <c r="D65" s="879" t="s">
        <v>16</v>
      </c>
      <c r="E65" s="875">
        <f>C65*(1+0.3)</f>
        <v>0.156</v>
      </c>
      <c r="F65" s="875"/>
      <c r="G65" s="4"/>
      <c r="H65" s="4"/>
    </row>
    <row r="66" spans="1:11" ht="38.25" hidden="1" outlineLevel="1" x14ac:dyDescent="0.25">
      <c r="A66" s="854"/>
      <c r="B66" s="394" t="s">
        <v>24</v>
      </c>
      <c r="C66" s="873">
        <v>0.05</v>
      </c>
      <c r="D66" s="854">
        <v>1</v>
      </c>
      <c r="E66" s="875">
        <f t="shared" ref="E66:E72" si="1">C66*D66</f>
        <v>0.05</v>
      </c>
      <c r="F66" s="875"/>
      <c r="G66" s="4"/>
      <c r="H66" s="4"/>
    </row>
    <row r="67" spans="1:11" ht="38.25" hidden="1" outlineLevel="1" x14ac:dyDescent="0.25">
      <c r="A67" s="854"/>
      <c r="B67" s="394" t="s">
        <v>25</v>
      </c>
      <c r="C67" s="873">
        <v>0.04</v>
      </c>
      <c r="D67" s="854">
        <v>1</v>
      </c>
      <c r="E67" s="875">
        <f t="shared" si="1"/>
        <v>0.04</v>
      </c>
      <c r="F67" s="875"/>
      <c r="G67" s="4"/>
      <c r="H67" s="4"/>
    </row>
    <row r="68" spans="1:11" ht="25.5" hidden="1" outlineLevel="1" x14ac:dyDescent="0.25">
      <c r="A68" s="854"/>
      <c r="B68" s="394" t="s">
        <v>26</v>
      </c>
      <c r="C68" s="873">
        <v>0.05</v>
      </c>
      <c r="D68" s="854">
        <v>1</v>
      </c>
      <c r="E68" s="875">
        <f t="shared" si="1"/>
        <v>0.05</v>
      </c>
      <c r="F68" s="875"/>
      <c r="G68" s="4"/>
      <c r="H68" s="4"/>
    </row>
    <row r="69" spans="1:11" ht="38.25" hidden="1" outlineLevel="1" x14ac:dyDescent="0.25">
      <c r="A69" s="854"/>
      <c r="B69" s="394" t="s">
        <v>27</v>
      </c>
      <c r="C69" s="873">
        <v>0.04</v>
      </c>
      <c r="D69" s="854">
        <v>1</v>
      </c>
      <c r="E69" s="875">
        <f t="shared" si="1"/>
        <v>0.04</v>
      </c>
      <c r="F69" s="875"/>
      <c r="G69" s="4"/>
      <c r="H69" s="4"/>
      <c r="I69" s="8"/>
    </row>
    <row r="70" spans="1:11" ht="25.5" hidden="1" outlineLevel="1" x14ac:dyDescent="0.25">
      <c r="A70" s="854"/>
      <c r="B70" s="394" t="s">
        <v>28</v>
      </c>
      <c r="C70" s="873">
        <v>0.02</v>
      </c>
      <c r="D70" s="854">
        <v>1</v>
      </c>
      <c r="E70" s="875">
        <f t="shared" si="1"/>
        <v>0.02</v>
      </c>
      <c r="F70" s="875"/>
      <c r="G70" s="4"/>
      <c r="H70" s="4"/>
    </row>
    <row r="71" spans="1:11" ht="38.25" hidden="1" outlineLevel="1" x14ac:dyDescent="0.25">
      <c r="A71" s="854"/>
      <c r="B71" s="394" t="s">
        <v>29</v>
      </c>
      <c r="C71" s="873">
        <v>0.31</v>
      </c>
      <c r="D71" s="854">
        <v>1</v>
      </c>
      <c r="E71" s="875">
        <f t="shared" si="1"/>
        <v>0.31</v>
      </c>
      <c r="F71" s="875"/>
      <c r="G71" s="4"/>
      <c r="H71" s="4"/>
    </row>
    <row r="72" spans="1:11" hidden="1" outlineLevel="1" x14ac:dyDescent="0.25">
      <c r="A72" s="854"/>
      <c r="B72" s="394" t="s">
        <v>30</v>
      </c>
      <c r="C72" s="873">
        <v>0.04</v>
      </c>
      <c r="D72" s="854">
        <v>1</v>
      </c>
      <c r="E72" s="875">
        <f t="shared" si="1"/>
        <v>0.04</v>
      </c>
      <c r="F72" s="875"/>
      <c r="G72" s="4"/>
      <c r="H72" s="4"/>
    </row>
    <row r="73" spans="1:11" hidden="1" outlineLevel="1" x14ac:dyDescent="0.25">
      <c r="A73" s="854"/>
      <c r="B73" s="394" t="s">
        <v>31</v>
      </c>
      <c r="C73" s="873">
        <v>0.09</v>
      </c>
      <c r="D73" s="854">
        <v>1</v>
      </c>
      <c r="E73" s="875">
        <f t="shared" ref="E73:E75" si="2">C73*D73</f>
        <v>0.09</v>
      </c>
      <c r="F73" s="875"/>
      <c r="G73" s="4"/>
      <c r="H73" s="4"/>
    </row>
    <row r="74" spans="1:11" hidden="1" outlineLevel="1" x14ac:dyDescent="0.25">
      <c r="A74" s="854"/>
      <c r="B74" s="394" t="s">
        <v>32</v>
      </c>
      <c r="C74" s="873">
        <v>0.05</v>
      </c>
      <c r="D74" s="854">
        <v>1</v>
      </c>
      <c r="E74" s="875">
        <f t="shared" si="2"/>
        <v>0.05</v>
      </c>
      <c r="F74" s="875"/>
      <c r="G74" s="4"/>
      <c r="H74" s="4"/>
    </row>
    <row r="75" spans="1:11" hidden="1" outlineLevel="1" x14ac:dyDescent="0.25">
      <c r="A75" s="854"/>
      <c r="B75" s="394" t="s">
        <v>33</v>
      </c>
      <c r="C75" s="873">
        <v>0.01</v>
      </c>
      <c r="D75" s="854">
        <v>1</v>
      </c>
      <c r="E75" s="875">
        <f t="shared" si="2"/>
        <v>0.01</v>
      </c>
      <c r="F75" s="875"/>
      <c r="G75" s="4"/>
      <c r="H75" s="4"/>
    </row>
    <row r="76" spans="1:11" hidden="1" outlineLevel="1" x14ac:dyDescent="0.25">
      <c r="A76" s="854"/>
      <c r="B76" s="394" t="s">
        <v>34</v>
      </c>
      <c r="C76" s="873">
        <v>0.05</v>
      </c>
      <c r="D76" s="879"/>
      <c r="E76" s="890">
        <f>SUM(E62:E75)*C76</f>
        <v>5.0650000000000001E-2</v>
      </c>
      <c r="F76" s="890"/>
      <c r="G76" s="14"/>
      <c r="H76" s="14"/>
    </row>
    <row r="77" spans="1:11" s="19" customFormat="1" ht="15.75" collapsed="1" x14ac:dyDescent="0.25">
      <c r="A77" s="862"/>
      <c r="B77" s="862" t="s">
        <v>48</v>
      </c>
      <c r="C77" s="862"/>
      <c r="D77" s="862"/>
      <c r="E77" s="862"/>
      <c r="F77" s="862"/>
    </row>
    <row r="78" spans="1:11" s="19" customFormat="1" ht="15.75" x14ac:dyDescent="0.25">
      <c r="A78" s="862"/>
      <c r="B78" s="862" t="s">
        <v>49</v>
      </c>
      <c r="C78" s="862">
        <v>5.32</v>
      </c>
      <c r="D78" s="880"/>
      <c r="E78" s="862"/>
      <c r="F78" s="862"/>
    </row>
    <row r="79" spans="1:11" x14ac:dyDescent="0.25">
      <c r="A79" s="854"/>
      <c r="B79" s="861" t="str">
        <f>B3</f>
        <v>Лестница здоровья</v>
      </c>
      <c r="C79" s="862">
        <v>1</v>
      </c>
      <c r="D79" s="862" t="s">
        <v>304</v>
      </c>
      <c r="E79" s="854"/>
      <c r="F79" s="854"/>
    </row>
    <row r="80" spans="1:11" s="2" customFormat="1" ht="63.75" x14ac:dyDescent="0.25">
      <c r="A80" s="854"/>
      <c r="B80" s="854" t="s">
        <v>931</v>
      </c>
      <c r="C80" s="394" t="s">
        <v>303</v>
      </c>
      <c r="D80" s="394" t="s">
        <v>305</v>
      </c>
      <c r="E80" s="854"/>
      <c r="F80" s="855">
        <f>42.32*C79*D82*D81*D83*C103*1000</f>
        <v>27173.787110400015</v>
      </c>
      <c r="G80" s="37"/>
      <c r="H80" s="37"/>
      <c r="I80"/>
      <c r="J80"/>
      <c r="K80"/>
    </row>
    <row r="81" spans="1:11" s="3" customFormat="1" x14ac:dyDescent="0.25">
      <c r="A81" s="866"/>
      <c r="B81" s="865" t="s">
        <v>4</v>
      </c>
      <c r="C81" s="865" t="s">
        <v>5</v>
      </c>
      <c r="D81" s="866">
        <v>0.4</v>
      </c>
      <c r="E81" s="866"/>
      <c r="F81" s="866"/>
      <c r="I81"/>
      <c r="J81"/>
      <c r="K81"/>
    </row>
    <row r="82" spans="1:11" ht="89.25" x14ac:dyDescent="0.25">
      <c r="A82" s="854"/>
      <c r="B82" s="394" t="s">
        <v>310</v>
      </c>
      <c r="C82" s="394" t="s">
        <v>311</v>
      </c>
      <c r="D82" s="854">
        <v>0.25</v>
      </c>
      <c r="E82" s="854"/>
      <c r="F82" s="854"/>
    </row>
    <row r="83" spans="1:11" ht="76.5" x14ac:dyDescent="0.25">
      <c r="A83" s="854"/>
      <c r="B83" s="394" t="s">
        <v>15</v>
      </c>
      <c r="C83" s="394" t="s">
        <v>215</v>
      </c>
      <c r="D83" s="854">
        <f>E84/1</f>
        <v>1.2069600000000005</v>
      </c>
      <c r="E83" s="854"/>
      <c r="F83" s="854"/>
    </row>
    <row r="84" spans="1:11" x14ac:dyDescent="0.25">
      <c r="A84" s="854"/>
      <c r="B84" s="390" t="s">
        <v>6</v>
      </c>
      <c r="C84" s="869">
        <f>SUM(C85:C101)</f>
        <v>1.0000000000000002</v>
      </c>
      <c r="D84" s="870"/>
      <c r="E84" s="871">
        <f>SUM(E85:E101)</f>
        <v>1.2069600000000005</v>
      </c>
      <c r="F84" s="872"/>
      <c r="G84" s="9"/>
      <c r="H84" s="9"/>
    </row>
    <row r="85" spans="1:11" hidden="1" outlineLevel="1" x14ac:dyDescent="0.25">
      <c r="A85" s="854"/>
      <c r="B85" s="394" t="s">
        <v>20</v>
      </c>
      <c r="C85" s="873">
        <v>0.02</v>
      </c>
      <c r="D85" s="879">
        <v>1</v>
      </c>
      <c r="E85" s="875">
        <f>C85*D85</f>
        <v>0.02</v>
      </c>
      <c r="F85" s="870"/>
      <c r="G85" s="6"/>
      <c r="H85" s="6"/>
    </row>
    <row r="86" spans="1:11" hidden="1" outlineLevel="1" x14ac:dyDescent="0.25">
      <c r="A86" s="854"/>
      <c r="B86" s="394" t="s">
        <v>21</v>
      </c>
      <c r="C86" s="873">
        <v>0.04</v>
      </c>
      <c r="D86" s="854">
        <v>1</v>
      </c>
      <c r="E86" s="875">
        <f>C86*D86</f>
        <v>0.04</v>
      </c>
      <c r="F86" s="854"/>
    </row>
    <row r="87" spans="1:11" hidden="1" outlineLevel="1" x14ac:dyDescent="0.25">
      <c r="A87" s="854"/>
      <c r="B87" s="394" t="s">
        <v>22</v>
      </c>
      <c r="C87" s="873">
        <v>0.14000000000000001</v>
      </c>
      <c r="D87" s="879" t="s">
        <v>16</v>
      </c>
      <c r="E87" s="875">
        <f>C87*(1+0.3)</f>
        <v>0.18200000000000002</v>
      </c>
      <c r="F87" s="854"/>
    </row>
    <row r="88" spans="1:11" hidden="1" outlineLevel="1" x14ac:dyDescent="0.25">
      <c r="A88" s="854"/>
      <c r="B88" s="394" t="s">
        <v>23</v>
      </c>
      <c r="C88" s="873">
        <v>0.15</v>
      </c>
      <c r="D88" s="879" t="s">
        <v>16</v>
      </c>
      <c r="E88" s="875">
        <f>C88*(1+0.3)</f>
        <v>0.19500000000000001</v>
      </c>
      <c r="F88" s="854"/>
    </row>
    <row r="89" spans="1:11" ht="25.5" hidden="1" outlineLevel="1" x14ac:dyDescent="0.25">
      <c r="A89" s="854"/>
      <c r="B89" s="394" t="s">
        <v>36</v>
      </c>
      <c r="C89" s="873"/>
      <c r="D89" s="879"/>
      <c r="E89" s="875">
        <f>C89*(1+0.3)</f>
        <v>0</v>
      </c>
      <c r="F89" s="870"/>
      <c r="G89" s="6"/>
      <c r="H89" s="6"/>
    </row>
    <row r="90" spans="1:11" hidden="1" outlineLevel="1" x14ac:dyDescent="0.25">
      <c r="A90" s="854"/>
      <c r="B90" s="877" t="s">
        <v>37</v>
      </c>
      <c r="C90" s="873">
        <v>7.0000000000000007E-2</v>
      </c>
      <c r="D90" s="879" t="s">
        <v>16</v>
      </c>
      <c r="E90" s="875">
        <f>C90*(1+0.3)</f>
        <v>9.1000000000000011E-2</v>
      </c>
      <c r="F90" s="870"/>
      <c r="G90" s="6"/>
      <c r="H90" s="6"/>
    </row>
    <row r="91" spans="1:11" hidden="1" outlineLevel="1" x14ac:dyDescent="0.25">
      <c r="A91" s="854"/>
      <c r="B91" s="877" t="s">
        <v>38</v>
      </c>
      <c r="C91" s="873">
        <v>0.04</v>
      </c>
      <c r="D91" s="879" t="s">
        <v>16</v>
      </c>
      <c r="E91" s="875">
        <f t="shared" ref="E91:E96" si="3">C91*(1+0.3)</f>
        <v>5.2000000000000005E-2</v>
      </c>
      <c r="F91" s="870"/>
      <c r="G91" s="6"/>
      <c r="H91" s="6"/>
    </row>
    <row r="92" spans="1:11" hidden="1" outlineLevel="1" x14ac:dyDescent="0.25">
      <c r="A92" s="854"/>
      <c r="B92" s="877" t="s">
        <v>39</v>
      </c>
      <c r="C92" s="873">
        <v>0.04</v>
      </c>
      <c r="D92" s="879" t="s">
        <v>16</v>
      </c>
      <c r="E92" s="875">
        <f t="shared" si="3"/>
        <v>5.2000000000000005E-2</v>
      </c>
      <c r="F92" s="882"/>
      <c r="G92" s="7"/>
      <c r="H92" s="7"/>
      <c r="I92" s="8"/>
    </row>
    <row r="93" spans="1:11" hidden="1" outlineLevel="1" x14ac:dyDescent="0.25">
      <c r="A93" s="854"/>
      <c r="B93" s="877" t="s">
        <v>40</v>
      </c>
      <c r="C93" s="873">
        <v>0.12</v>
      </c>
      <c r="D93" s="879" t="s">
        <v>16</v>
      </c>
      <c r="E93" s="875">
        <f t="shared" si="3"/>
        <v>0.156</v>
      </c>
      <c r="F93" s="870"/>
      <c r="G93" s="6"/>
      <c r="H93" s="6"/>
    </row>
    <row r="94" spans="1:11" hidden="1" outlineLevel="1" x14ac:dyDescent="0.25">
      <c r="A94" s="854"/>
      <c r="B94" s="877" t="s">
        <v>41</v>
      </c>
      <c r="C94" s="873">
        <v>0.03</v>
      </c>
      <c r="D94" s="879" t="s">
        <v>16</v>
      </c>
      <c r="E94" s="875">
        <f t="shared" si="3"/>
        <v>3.9E-2</v>
      </c>
      <c r="F94" s="854"/>
    </row>
    <row r="95" spans="1:11" hidden="1" outlineLevel="1" x14ac:dyDescent="0.25">
      <c r="A95" s="854"/>
      <c r="B95" s="877" t="s">
        <v>42</v>
      </c>
      <c r="C95" s="873">
        <v>0.02</v>
      </c>
      <c r="D95" s="879" t="s">
        <v>16</v>
      </c>
      <c r="E95" s="875">
        <f t="shared" si="3"/>
        <v>2.6000000000000002E-2</v>
      </c>
      <c r="F95" s="854"/>
    </row>
    <row r="96" spans="1:11" hidden="1" outlineLevel="1" x14ac:dyDescent="0.25">
      <c r="A96" s="854"/>
      <c r="B96" s="877" t="s">
        <v>43</v>
      </c>
      <c r="C96" s="873">
        <v>0.05</v>
      </c>
      <c r="D96" s="879" t="s">
        <v>16</v>
      </c>
      <c r="E96" s="875">
        <f t="shared" si="3"/>
        <v>6.5000000000000002E-2</v>
      </c>
      <c r="F96" s="854"/>
    </row>
    <row r="97" spans="1:16" hidden="1" outlineLevel="1" x14ac:dyDescent="0.25">
      <c r="A97" s="854"/>
      <c r="B97" s="394" t="s">
        <v>30</v>
      </c>
      <c r="C97" s="873">
        <v>0.06</v>
      </c>
      <c r="D97" s="879">
        <v>1</v>
      </c>
      <c r="E97" s="875">
        <f>C97*D97</f>
        <v>0.06</v>
      </c>
      <c r="F97" s="870"/>
      <c r="G97" s="6"/>
      <c r="H97" s="6"/>
    </row>
    <row r="98" spans="1:16" hidden="1" outlineLevel="1" x14ac:dyDescent="0.25">
      <c r="A98" s="854"/>
      <c r="B98" s="394" t="s">
        <v>44</v>
      </c>
      <c r="C98" s="873">
        <v>7.0000000000000007E-2</v>
      </c>
      <c r="D98" s="879">
        <v>1</v>
      </c>
      <c r="E98" s="875">
        <f>C98*D98</f>
        <v>7.0000000000000007E-2</v>
      </c>
      <c r="F98" s="882"/>
      <c r="G98" s="7"/>
      <c r="H98" s="7"/>
      <c r="I98" s="8"/>
    </row>
    <row r="99" spans="1:16" hidden="1" outlineLevel="1" x14ac:dyDescent="0.25">
      <c r="A99" s="854"/>
      <c r="B99" s="394" t="s">
        <v>32</v>
      </c>
      <c r="C99" s="873">
        <v>0.06</v>
      </c>
      <c r="D99" s="879">
        <v>1</v>
      </c>
      <c r="E99" s="875">
        <f>C99*D99</f>
        <v>0.06</v>
      </c>
      <c r="F99" s="870"/>
      <c r="G99" s="6"/>
      <c r="H99" s="6"/>
    </row>
    <row r="100" spans="1:16" hidden="1" outlineLevel="1" x14ac:dyDescent="0.25">
      <c r="A100" s="854"/>
      <c r="B100" s="394" t="s">
        <v>45</v>
      </c>
      <c r="C100" s="873">
        <v>0.02</v>
      </c>
      <c r="D100" s="879">
        <v>1</v>
      </c>
      <c r="E100" s="875">
        <f>C100*D100</f>
        <v>0.02</v>
      </c>
      <c r="F100" s="854"/>
    </row>
    <row r="101" spans="1:16" hidden="1" outlineLevel="1" x14ac:dyDescent="0.25">
      <c r="A101" s="854"/>
      <c r="B101" s="854" t="s">
        <v>13</v>
      </c>
      <c r="C101" s="873">
        <v>7.0000000000000007E-2</v>
      </c>
      <c r="D101" s="854"/>
      <c r="E101" s="881">
        <f>SUM(E85:E100)*C101</f>
        <v>7.896000000000003E-2</v>
      </c>
      <c r="F101" s="882"/>
      <c r="G101" s="7"/>
      <c r="H101" s="7"/>
      <c r="I101" s="8"/>
    </row>
    <row r="102" spans="1:16" s="19" customFormat="1" ht="15.75" collapsed="1" x14ac:dyDescent="0.25">
      <c r="A102" s="862"/>
      <c r="B102" s="862" t="s">
        <v>48</v>
      </c>
      <c r="C102" s="862"/>
      <c r="D102" s="862"/>
      <c r="E102" s="862"/>
      <c r="F102" s="862"/>
    </row>
    <row r="103" spans="1:16" s="19" customFormat="1" ht="15.75" x14ac:dyDescent="0.25">
      <c r="A103" s="862"/>
      <c r="B103" s="862" t="s">
        <v>49</v>
      </c>
      <c r="C103" s="862">
        <v>5.32</v>
      </c>
      <c r="D103" s="880"/>
      <c r="E103" s="862"/>
      <c r="F103" s="862"/>
    </row>
    <row r="104" spans="1:16" s="10" customFormat="1" x14ac:dyDescent="0.25">
      <c r="A104" s="861"/>
      <c r="B104" s="861" t="s">
        <v>71</v>
      </c>
      <c r="C104" s="914"/>
      <c r="D104" s="861">
        <f>D5+D8</f>
        <v>20</v>
      </c>
      <c r="E104" s="883" t="s">
        <v>211</v>
      </c>
      <c r="F104" s="884"/>
      <c r="G104" s="15"/>
      <c r="H104" s="15"/>
      <c r="I104" s="16"/>
    </row>
    <row r="105" spans="1:16" s="2" customFormat="1" ht="76.5" x14ac:dyDescent="0.25">
      <c r="A105" s="854"/>
      <c r="B105" s="394" t="s">
        <v>944</v>
      </c>
      <c r="C105" s="394" t="s">
        <v>945</v>
      </c>
      <c r="D105" s="394" t="s">
        <v>947</v>
      </c>
      <c r="E105" s="854"/>
      <c r="F105" s="855">
        <f>19.082*D106*D107*D108*C128*1000</f>
        <v>225239.36053248015</v>
      </c>
      <c r="I105"/>
      <c r="J105"/>
      <c r="K105"/>
      <c r="O105" s="17"/>
      <c r="P105" s="17"/>
    </row>
    <row r="106" spans="1:16" s="3" customFormat="1" x14ac:dyDescent="0.25">
      <c r="A106" s="866"/>
      <c r="B106" s="865" t="s">
        <v>4</v>
      </c>
      <c r="C106" s="865" t="s">
        <v>5</v>
      </c>
      <c r="D106" s="866">
        <v>0.4</v>
      </c>
      <c r="E106" s="866"/>
      <c r="F106" s="866"/>
      <c r="I106"/>
      <c r="J106"/>
      <c r="K106"/>
    </row>
    <row r="107" spans="1:16" s="3" customFormat="1" ht="76.5" x14ac:dyDescent="0.25">
      <c r="A107" s="866"/>
      <c r="B107" s="394" t="s">
        <v>46</v>
      </c>
      <c r="C107" s="865" t="s">
        <v>946</v>
      </c>
      <c r="D107" s="866">
        <f>1+(D104-1)*0.2</f>
        <v>4.8000000000000007</v>
      </c>
      <c r="E107" s="866"/>
      <c r="F107" s="866"/>
      <c r="I107"/>
      <c r="J107"/>
      <c r="K107"/>
    </row>
    <row r="108" spans="1:16" s="2" customFormat="1" ht="76.5" x14ac:dyDescent="0.25">
      <c r="A108" s="854"/>
      <c r="B108" s="394" t="s">
        <v>15</v>
      </c>
      <c r="C108" s="394" t="s">
        <v>209</v>
      </c>
      <c r="D108" s="854">
        <f>E109/1</f>
        <v>1.1556000000000004</v>
      </c>
      <c r="E108" s="854"/>
      <c r="F108" s="854"/>
    </row>
    <row r="109" spans="1:16" x14ac:dyDescent="0.25">
      <c r="A109" s="854"/>
      <c r="B109" s="390" t="s">
        <v>6</v>
      </c>
      <c r="C109" s="869">
        <f>SUM(C110:C126)</f>
        <v>1.0000000000000002</v>
      </c>
      <c r="D109" s="870"/>
      <c r="E109" s="871">
        <f>SUM(E110:E126)</f>
        <v>1.1556000000000004</v>
      </c>
      <c r="F109" s="872"/>
      <c r="G109" s="9"/>
      <c r="H109" s="9"/>
    </row>
    <row r="110" spans="1:16" hidden="1" outlineLevel="1" x14ac:dyDescent="0.25">
      <c r="A110" s="854"/>
      <c r="B110" s="394" t="s">
        <v>20</v>
      </c>
      <c r="C110" s="873">
        <v>0.02</v>
      </c>
      <c r="D110" s="879">
        <v>1</v>
      </c>
      <c r="E110" s="875">
        <f>C110*D110</f>
        <v>0.02</v>
      </c>
      <c r="F110" s="870"/>
      <c r="G110" s="6"/>
      <c r="H110" s="6"/>
    </row>
    <row r="111" spans="1:16" hidden="1" outlineLevel="1" x14ac:dyDescent="0.25">
      <c r="A111" s="854"/>
      <c r="B111" s="394" t="s">
        <v>21</v>
      </c>
      <c r="C111" s="873">
        <v>0.04</v>
      </c>
      <c r="D111" s="854">
        <v>1</v>
      </c>
      <c r="E111" s="875">
        <f>C111*D111</f>
        <v>0.04</v>
      </c>
      <c r="F111" s="854"/>
    </row>
    <row r="112" spans="1:16" hidden="1" outlineLevel="1" x14ac:dyDescent="0.25">
      <c r="A112" s="854"/>
      <c r="B112" s="394" t="s">
        <v>22</v>
      </c>
      <c r="C112" s="873">
        <v>0.14000000000000001</v>
      </c>
      <c r="D112" s="879" t="s">
        <v>16</v>
      </c>
      <c r="E112" s="875">
        <f>C112*(1+0.3)</f>
        <v>0.18200000000000002</v>
      </c>
      <c r="F112" s="854"/>
    </row>
    <row r="113" spans="1:9" hidden="1" outlineLevel="1" x14ac:dyDescent="0.25">
      <c r="A113" s="854"/>
      <c r="B113" s="394" t="s">
        <v>23</v>
      </c>
      <c r="C113" s="873">
        <v>0.15</v>
      </c>
      <c r="D113" s="879" t="s">
        <v>16</v>
      </c>
      <c r="E113" s="875">
        <f>C113*(1+0.3)</f>
        <v>0.19500000000000001</v>
      </c>
      <c r="F113" s="854"/>
    </row>
    <row r="114" spans="1:9" ht="25.5" hidden="1" outlineLevel="1" x14ac:dyDescent="0.25">
      <c r="A114" s="854"/>
      <c r="B114" s="394" t="s">
        <v>36</v>
      </c>
      <c r="C114" s="873"/>
      <c r="D114" s="879"/>
      <c r="E114" s="875"/>
      <c r="F114" s="870"/>
      <c r="G114" s="6"/>
      <c r="H114" s="6"/>
    </row>
    <row r="115" spans="1:9" hidden="1" outlineLevel="1" x14ac:dyDescent="0.25">
      <c r="A115" s="854"/>
      <c r="B115" s="877" t="s">
        <v>37</v>
      </c>
      <c r="C115" s="873">
        <v>7.0000000000000007E-2</v>
      </c>
      <c r="D115" s="879">
        <v>1</v>
      </c>
      <c r="E115" s="875">
        <f>C115*D115</f>
        <v>7.0000000000000007E-2</v>
      </c>
      <c r="F115" s="870"/>
      <c r="G115" s="6"/>
      <c r="H115" s="6"/>
    </row>
    <row r="116" spans="1:9" hidden="1" outlineLevel="1" x14ac:dyDescent="0.25">
      <c r="A116" s="854"/>
      <c r="B116" s="877" t="s">
        <v>38</v>
      </c>
      <c r="C116" s="873">
        <v>0.04</v>
      </c>
      <c r="D116" s="879">
        <v>1</v>
      </c>
      <c r="E116" s="875">
        <f t="shared" ref="E116:E121" si="4">C116*D116</f>
        <v>0.04</v>
      </c>
      <c r="F116" s="870"/>
      <c r="G116" s="6"/>
      <c r="H116" s="6"/>
    </row>
    <row r="117" spans="1:9" hidden="1" outlineLevel="1" x14ac:dyDescent="0.25">
      <c r="A117" s="854"/>
      <c r="B117" s="877" t="s">
        <v>39</v>
      </c>
      <c r="C117" s="873">
        <v>0.04</v>
      </c>
      <c r="D117" s="879">
        <v>1</v>
      </c>
      <c r="E117" s="875">
        <f t="shared" si="4"/>
        <v>0.04</v>
      </c>
      <c r="F117" s="882"/>
      <c r="G117" s="7"/>
      <c r="H117" s="7"/>
      <c r="I117" s="8"/>
    </row>
    <row r="118" spans="1:9" hidden="1" outlineLevel="1" x14ac:dyDescent="0.25">
      <c r="A118" s="854"/>
      <c r="B118" s="877" t="s">
        <v>40</v>
      </c>
      <c r="C118" s="873">
        <v>0.12</v>
      </c>
      <c r="D118" s="879">
        <v>1</v>
      </c>
      <c r="E118" s="875">
        <f t="shared" si="4"/>
        <v>0.12</v>
      </c>
      <c r="F118" s="870"/>
      <c r="G118" s="6"/>
      <c r="H118" s="6"/>
    </row>
    <row r="119" spans="1:9" hidden="1" outlineLevel="1" x14ac:dyDescent="0.25">
      <c r="A119" s="854"/>
      <c r="B119" s="877" t="s">
        <v>41</v>
      </c>
      <c r="C119" s="873">
        <v>0.03</v>
      </c>
      <c r="D119" s="854">
        <v>1</v>
      </c>
      <c r="E119" s="875">
        <f t="shared" si="4"/>
        <v>0.03</v>
      </c>
      <c r="F119" s="854"/>
    </row>
    <row r="120" spans="1:9" hidden="1" outlineLevel="1" x14ac:dyDescent="0.25">
      <c r="A120" s="854"/>
      <c r="B120" s="877" t="s">
        <v>42</v>
      </c>
      <c r="C120" s="873">
        <v>0.02</v>
      </c>
      <c r="D120" s="876">
        <v>1</v>
      </c>
      <c r="E120" s="875">
        <f t="shared" si="4"/>
        <v>0.02</v>
      </c>
      <c r="F120" s="854"/>
    </row>
    <row r="121" spans="1:9" hidden="1" outlineLevel="1" x14ac:dyDescent="0.25">
      <c r="A121" s="854"/>
      <c r="B121" s="877" t="s">
        <v>43</v>
      </c>
      <c r="C121" s="873">
        <v>0.05</v>
      </c>
      <c r="D121" s="876">
        <v>1</v>
      </c>
      <c r="E121" s="875">
        <f t="shared" si="4"/>
        <v>0.05</v>
      </c>
      <c r="F121" s="854"/>
    </row>
    <row r="122" spans="1:9" hidden="1" outlineLevel="1" x14ac:dyDescent="0.25">
      <c r="A122" s="854"/>
      <c r="B122" s="394" t="s">
        <v>30</v>
      </c>
      <c r="C122" s="873">
        <v>0.06</v>
      </c>
      <c r="D122" s="879">
        <v>1</v>
      </c>
      <c r="E122" s="875">
        <f>C122*(1+0.3)</f>
        <v>7.8E-2</v>
      </c>
      <c r="F122" s="870"/>
      <c r="G122" s="6"/>
      <c r="H122" s="6"/>
    </row>
    <row r="123" spans="1:9" hidden="1" outlineLevel="1" x14ac:dyDescent="0.25">
      <c r="A123" s="854"/>
      <c r="B123" s="394" t="s">
        <v>44</v>
      </c>
      <c r="C123" s="873">
        <v>7.0000000000000007E-2</v>
      </c>
      <c r="D123" s="879">
        <v>1</v>
      </c>
      <c r="E123" s="875">
        <f>C123*(1+0.3)</f>
        <v>9.1000000000000011E-2</v>
      </c>
      <c r="F123" s="870"/>
      <c r="G123" s="6"/>
      <c r="H123" s="6"/>
    </row>
    <row r="124" spans="1:9" hidden="1" outlineLevel="1" x14ac:dyDescent="0.25">
      <c r="A124" s="854"/>
      <c r="B124" s="394" t="s">
        <v>32</v>
      </c>
      <c r="C124" s="873">
        <v>0.06</v>
      </c>
      <c r="D124" s="879">
        <v>1</v>
      </c>
      <c r="E124" s="875">
        <f>C124*(1+0.3)</f>
        <v>7.8E-2</v>
      </c>
      <c r="F124" s="870"/>
      <c r="G124" s="6"/>
      <c r="H124" s="6"/>
    </row>
    <row r="125" spans="1:9" hidden="1" outlineLevel="1" x14ac:dyDescent="0.25">
      <c r="A125" s="854"/>
      <c r="B125" s="394" t="s">
        <v>45</v>
      </c>
      <c r="C125" s="873">
        <v>0.02</v>
      </c>
      <c r="D125" s="879">
        <v>1</v>
      </c>
      <c r="E125" s="875">
        <f>C125*(1+0.3)</f>
        <v>2.6000000000000002E-2</v>
      </c>
      <c r="F125" s="870"/>
      <c r="G125" s="6"/>
      <c r="H125" s="6"/>
    </row>
    <row r="126" spans="1:9" hidden="1" outlineLevel="1" x14ac:dyDescent="0.25">
      <c r="A126" s="854"/>
      <c r="B126" s="394" t="s">
        <v>34</v>
      </c>
      <c r="C126" s="886">
        <v>7.0000000000000007E-2</v>
      </c>
      <c r="D126" s="854"/>
      <c r="E126" s="887">
        <f>SUM(E110:E125)*C126</f>
        <v>7.5600000000000028E-2</v>
      </c>
      <c r="F126" s="882"/>
      <c r="G126" s="7"/>
      <c r="H126" s="7"/>
      <c r="I126" s="8"/>
    </row>
    <row r="127" spans="1:9" s="19" customFormat="1" ht="15.75" collapsed="1" x14ac:dyDescent="0.25">
      <c r="A127" s="862"/>
      <c r="B127" s="862" t="s">
        <v>48</v>
      </c>
      <c r="C127" s="862"/>
      <c r="D127" s="862"/>
      <c r="E127" s="862"/>
      <c r="F127" s="862"/>
    </row>
    <row r="128" spans="1:9" s="19" customFormat="1" ht="15.75" x14ac:dyDescent="0.25">
      <c r="A128" s="862"/>
      <c r="B128" s="862" t="s">
        <v>49</v>
      </c>
      <c r="C128" s="862">
        <v>5.32</v>
      </c>
      <c r="D128" s="880"/>
      <c r="E128" s="862"/>
      <c r="F128" s="862"/>
    </row>
    <row r="129" spans="1:11" s="10" customFormat="1" x14ac:dyDescent="0.25">
      <c r="A129" s="861"/>
      <c r="B129" s="861" t="s">
        <v>53</v>
      </c>
      <c r="C129" s="861"/>
      <c r="D129" s="861">
        <f>D9</f>
        <v>30</v>
      </c>
      <c r="E129" s="861" t="s">
        <v>54</v>
      </c>
      <c r="F129" s="861"/>
    </row>
    <row r="130" spans="1:11" ht="178.5" x14ac:dyDescent="0.25">
      <c r="A130" s="854"/>
      <c r="B130" s="394" t="s">
        <v>340</v>
      </c>
      <c r="C130" s="394" t="s">
        <v>948</v>
      </c>
      <c r="D130" s="394" t="s">
        <v>950</v>
      </c>
      <c r="E130" s="854"/>
      <c r="F130" s="888">
        <f>21*D132*1*D131*C134*1000</f>
        <v>759696.00000000012</v>
      </c>
    </row>
    <row r="131" spans="1:11" s="3" customFormat="1" x14ac:dyDescent="0.25">
      <c r="A131" s="866"/>
      <c r="B131" s="865" t="s">
        <v>338</v>
      </c>
      <c r="C131" s="865" t="s">
        <v>337</v>
      </c>
      <c r="D131" s="866">
        <v>1</v>
      </c>
      <c r="E131" s="866"/>
      <c r="F131" s="866"/>
    </row>
    <row r="132" spans="1:11" s="3" customFormat="1" ht="76.5" x14ac:dyDescent="0.25">
      <c r="A132" s="866"/>
      <c r="B132" s="394" t="s">
        <v>46</v>
      </c>
      <c r="C132" s="865" t="s">
        <v>949</v>
      </c>
      <c r="D132" s="866">
        <f>1+(30-1)*0.2</f>
        <v>6.8000000000000007</v>
      </c>
      <c r="E132" s="866"/>
      <c r="F132" s="866"/>
      <c r="I132"/>
      <c r="J132"/>
      <c r="K132"/>
    </row>
    <row r="133" spans="1:11" x14ac:dyDescent="0.25">
      <c r="A133" s="854"/>
      <c r="B133" s="862" t="s">
        <v>48</v>
      </c>
      <c r="C133" s="862"/>
      <c r="D133" s="854"/>
      <c r="E133" s="854"/>
      <c r="F133" s="854"/>
    </row>
    <row r="134" spans="1:11" x14ac:dyDescent="0.25">
      <c r="A134" s="854"/>
      <c r="B134" s="862" t="s">
        <v>49</v>
      </c>
      <c r="C134" s="862">
        <v>5.32</v>
      </c>
      <c r="D134" s="854"/>
      <c r="E134" s="854"/>
      <c r="F134" s="854"/>
    </row>
    <row r="135" spans="1:11" x14ac:dyDescent="0.25">
      <c r="A135" s="854"/>
      <c r="B135" s="861" t="s">
        <v>190</v>
      </c>
      <c r="C135" s="862"/>
      <c r="D135" s="907">
        <f>15*30</f>
        <v>450</v>
      </c>
      <c r="E135" s="862" t="s">
        <v>309</v>
      </c>
      <c r="F135" s="854"/>
    </row>
    <row r="136" spans="1:11" s="2" customFormat="1" ht="89.25" x14ac:dyDescent="0.25">
      <c r="A136" s="854"/>
      <c r="B136" s="394" t="s">
        <v>901</v>
      </c>
      <c r="C136" s="394" t="s">
        <v>953</v>
      </c>
      <c r="D136" s="394" t="s">
        <v>954</v>
      </c>
      <c r="E136" s="854"/>
      <c r="F136" s="855">
        <f>(89.55+0.08*30)*D137*D138*D139*C159*1000</f>
        <v>897428.44558080053</v>
      </c>
      <c r="G136" s="2" t="s">
        <v>307</v>
      </c>
      <c r="I136"/>
      <c r="J136"/>
      <c r="K136"/>
    </row>
    <row r="137" spans="1:11" s="3" customFormat="1" x14ac:dyDescent="0.25">
      <c r="A137" s="866"/>
      <c r="B137" s="865" t="s">
        <v>4</v>
      </c>
      <c r="C137" s="865" t="s">
        <v>5</v>
      </c>
      <c r="D137" s="866">
        <v>0.4</v>
      </c>
      <c r="E137" s="866"/>
      <c r="F137" s="866"/>
      <c r="I137"/>
      <c r="J137"/>
      <c r="K137"/>
    </row>
    <row r="138" spans="1:11" s="3" customFormat="1" ht="76.5" x14ac:dyDescent="0.25">
      <c r="A138" s="866"/>
      <c r="B138" s="394" t="s">
        <v>46</v>
      </c>
      <c r="C138" s="865" t="s">
        <v>955</v>
      </c>
      <c r="D138" s="866">
        <f>1+(15-1)*0.2</f>
        <v>3.8000000000000003</v>
      </c>
      <c r="E138" s="866"/>
      <c r="F138" s="866"/>
      <c r="I138"/>
      <c r="J138"/>
      <c r="K138"/>
    </row>
    <row r="139" spans="1:11" ht="76.5" x14ac:dyDescent="0.25">
      <c r="A139" s="854"/>
      <c r="B139" s="394" t="s">
        <v>15</v>
      </c>
      <c r="C139" s="394" t="s">
        <v>215</v>
      </c>
      <c r="D139" s="854">
        <f>E140/1</f>
        <v>1.2069600000000005</v>
      </c>
      <c r="E139" s="854"/>
      <c r="F139" s="854"/>
    </row>
    <row r="140" spans="1:11" x14ac:dyDescent="0.25">
      <c r="A140" s="854"/>
      <c r="B140" s="390" t="s">
        <v>6</v>
      </c>
      <c r="C140" s="869">
        <f>SUM(C141:C157)</f>
        <v>1.0000000000000002</v>
      </c>
      <c r="D140" s="870"/>
      <c r="E140" s="871">
        <f>SUM(E141:E157)</f>
        <v>1.2069600000000005</v>
      </c>
      <c r="F140" s="872"/>
      <c r="G140" s="9"/>
      <c r="H140" s="9"/>
    </row>
    <row r="141" spans="1:11" hidden="1" outlineLevel="1" x14ac:dyDescent="0.25">
      <c r="A141" s="854"/>
      <c r="B141" s="394" t="s">
        <v>20</v>
      </c>
      <c r="C141" s="873">
        <v>0.02</v>
      </c>
      <c r="D141" s="879">
        <v>1</v>
      </c>
      <c r="E141" s="875">
        <f>C141*D141</f>
        <v>0.02</v>
      </c>
      <c r="F141" s="870"/>
      <c r="G141" s="6"/>
      <c r="H141" s="6"/>
    </row>
    <row r="142" spans="1:11" hidden="1" outlineLevel="1" x14ac:dyDescent="0.25">
      <c r="A142" s="854"/>
      <c r="B142" s="394" t="s">
        <v>21</v>
      </c>
      <c r="C142" s="873">
        <v>0.04</v>
      </c>
      <c r="D142" s="854">
        <v>1</v>
      </c>
      <c r="E142" s="875">
        <f>C142*D142</f>
        <v>0.04</v>
      </c>
      <c r="F142" s="854"/>
    </row>
    <row r="143" spans="1:11" hidden="1" outlineLevel="1" x14ac:dyDescent="0.25">
      <c r="A143" s="854"/>
      <c r="B143" s="394" t="s">
        <v>22</v>
      </c>
      <c r="C143" s="873">
        <v>0.14000000000000001</v>
      </c>
      <c r="D143" s="879" t="s">
        <v>16</v>
      </c>
      <c r="E143" s="875">
        <f>C143*(1+0.3)</f>
        <v>0.18200000000000002</v>
      </c>
      <c r="F143" s="854"/>
    </row>
    <row r="144" spans="1:11" hidden="1" outlineLevel="1" x14ac:dyDescent="0.25">
      <c r="A144" s="854"/>
      <c r="B144" s="394" t="s">
        <v>23</v>
      </c>
      <c r="C144" s="873">
        <v>0.15</v>
      </c>
      <c r="D144" s="879" t="s">
        <v>16</v>
      </c>
      <c r="E144" s="875">
        <f>C144*(1+0.3)</f>
        <v>0.19500000000000001</v>
      </c>
      <c r="F144" s="854"/>
    </row>
    <row r="145" spans="1:9" ht="25.5" hidden="1" outlineLevel="1" x14ac:dyDescent="0.25">
      <c r="A145" s="854"/>
      <c r="B145" s="394" t="s">
        <v>36</v>
      </c>
      <c r="C145" s="873"/>
      <c r="D145" s="879"/>
      <c r="E145" s="875">
        <f>C145*(1+0.3)</f>
        <v>0</v>
      </c>
      <c r="F145" s="870"/>
      <c r="G145" s="6"/>
      <c r="H145" s="6"/>
    </row>
    <row r="146" spans="1:9" hidden="1" outlineLevel="1" x14ac:dyDescent="0.25">
      <c r="A146" s="854"/>
      <c r="B146" s="877" t="s">
        <v>37</v>
      </c>
      <c r="C146" s="873">
        <v>7.0000000000000007E-2</v>
      </c>
      <c r="D146" s="879" t="s">
        <v>16</v>
      </c>
      <c r="E146" s="875">
        <f>C146*(1+0.3)</f>
        <v>9.1000000000000011E-2</v>
      </c>
      <c r="F146" s="870"/>
      <c r="G146" s="6"/>
      <c r="H146" s="6"/>
    </row>
    <row r="147" spans="1:9" hidden="1" outlineLevel="1" x14ac:dyDescent="0.25">
      <c r="A147" s="854"/>
      <c r="B147" s="877" t="s">
        <v>38</v>
      </c>
      <c r="C147" s="873">
        <v>0.04</v>
      </c>
      <c r="D147" s="879" t="s">
        <v>16</v>
      </c>
      <c r="E147" s="875">
        <f t="shared" ref="E147:E152" si="5">C147*(1+0.3)</f>
        <v>5.2000000000000005E-2</v>
      </c>
      <c r="F147" s="870"/>
      <c r="G147" s="6"/>
      <c r="H147" s="6"/>
    </row>
    <row r="148" spans="1:9" hidden="1" outlineLevel="1" x14ac:dyDescent="0.25">
      <c r="A148" s="854"/>
      <c r="B148" s="877" t="s">
        <v>39</v>
      </c>
      <c r="C148" s="873">
        <v>0.04</v>
      </c>
      <c r="D148" s="879" t="s">
        <v>16</v>
      </c>
      <c r="E148" s="875">
        <f t="shared" si="5"/>
        <v>5.2000000000000005E-2</v>
      </c>
      <c r="F148" s="882"/>
      <c r="G148" s="7"/>
      <c r="H148" s="7"/>
      <c r="I148" s="8"/>
    </row>
    <row r="149" spans="1:9" hidden="1" outlineLevel="1" x14ac:dyDescent="0.25">
      <c r="A149" s="854"/>
      <c r="B149" s="877" t="s">
        <v>40</v>
      </c>
      <c r="C149" s="873">
        <v>0.12</v>
      </c>
      <c r="D149" s="879" t="s">
        <v>16</v>
      </c>
      <c r="E149" s="875">
        <f t="shared" si="5"/>
        <v>0.156</v>
      </c>
      <c r="F149" s="870"/>
      <c r="G149" s="6"/>
      <c r="H149" s="6"/>
    </row>
    <row r="150" spans="1:9" hidden="1" outlineLevel="1" x14ac:dyDescent="0.25">
      <c r="A150" s="854"/>
      <c r="B150" s="877" t="s">
        <v>41</v>
      </c>
      <c r="C150" s="873">
        <v>0.03</v>
      </c>
      <c r="D150" s="879" t="s">
        <v>16</v>
      </c>
      <c r="E150" s="875">
        <f t="shared" si="5"/>
        <v>3.9E-2</v>
      </c>
      <c r="F150" s="854"/>
    </row>
    <row r="151" spans="1:9" hidden="1" outlineLevel="1" x14ac:dyDescent="0.25">
      <c r="A151" s="854"/>
      <c r="B151" s="877" t="s">
        <v>42</v>
      </c>
      <c r="C151" s="873">
        <v>0.02</v>
      </c>
      <c r="D151" s="879" t="s">
        <v>16</v>
      </c>
      <c r="E151" s="875">
        <f t="shared" si="5"/>
        <v>2.6000000000000002E-2</v>
      </c>
      <c r="F151" s="854"/>
    </row>
    <row r="152" spans="1:9" hidden="1" outlineLevel="1" x14ac:dyDescent="0.25">
      <c r="A152" s="854"/>
      <c r="B152" s="877" t="s">
        <v>43</v>
      </c>
      <c r="C152" s="873">
        <v>0.05</v>
      </c>
      <c r="D152" s="879" t="s">
        <v>16</v>
      </c>
      <c r="E152" s="875">
        <f t="shared" si="5"/>
        <v>6.5000000000000002E-2</v>
      </c>
      <c r="F152" s="854"/>
    </row>
    <row r="153" spans="1:9" hidden="1" outlineLevel="1" x14ac:dyDescent="0.25">
      <c r="A153" s="854"/>
      <c r="B153" s="394" t="s">
        <v>30</v>
      </c>
      <c r="C153" s="873">
        <v>0.06</v>
      </c>
      <c r="D153" s="879">
        <v>1</v>
      </c>
      <c r="E153" s="875">
        <f>C153*D153</f>
        <v>0.06</v>
      </c>
      <c r="F153" s="870"/>
      <c r="G153" s="6"/>
      <c r="H153" s="6"/>
    </row>
    <row r="154" spans="1:9" hidden="1" outlineLevel="1" x14ac:dyDescent="0.25">
      <c r="A154" s="854"/>
      <c r="B154" s="394" t="s">
        <v>44</v>
      </c>
      <c r="C154" s="873">
        <v>7.0000000000000007E-2</v>
      </c>
      <c r="D154" s="879">
        <v>1</v>
      </c>
      <c r="E154" s="875">
        <f>C154*D154</f>
        <v>7.0000000000000007E-2</v>
      </c>
      <c r="F154" s="882"/>
      <c r="G154" s="7"/>
      <c r="H154" s="7"/>
      <c r="I154" s="8"/>
    </row>
    <row r="155" spans="1:9" hidden="1" outlineLevel="1" x14ac:dyDescent="0.25">
      <c r="A155" s="854"/>
      <c r="B155" s="394" t="s">
        <v>32</v>
      </c>
      <c r="C155" s="873">
        <v>0.06</v>
      </c>
      <c r="D155" s="879">
        <v>1</v>
      </c>
      <c r="E155" s="875">
        <f>C155*D155</f>
        <v>0.06</v>
      </c>
      <c r="F155" s="870"/>
      <c r="G155" s="6"/>
      <c r="H155" s="6"/>
    </row>
    <row r="156" spans="1:9" hidden="1" outlineLevel="1" x14ac:dyDescent="0.25">
      <c r="A156" s="854"/>
      <c r="B156" s="394" t="s">
        <v>45</v>
      </c>
      <c r="C156" s="873">
        <v>0.02</v>
      </c>
      <c r="D156" s="879">
        <v>1</v>
      </c>
      <c r="E156" s="875">
        <f>C156*D156</f>
        <v>0.02</v>
      </c>
      <c r="F156" s="854"/>
    </row>
    <row r="157" spans="1:9" hidden="1" outlineLevel="1" x14ac:dyDescent="0.25">
      <c r="A157" s="854"/>
      <c r="B157" s="854" t="s">
        <v>13</v>
      </c>
      <c r="C157" s="873">
        <v>7.0000000000000007E-2</v>
      </c>
      <c r="D157" s="854"/>
      <c r="E157" s="881">
        <f>SUM(E141:E156)*C157</f>
        <v>7.896000000000003E-2</v>
      </c>
      <c r="F157" s="882"/>
      <c r="G157" s="7"/>
      <c r="H157" s="7"/>
      <c r="I157" s="8"/>
    </row>
    <row r="158" spans="1:9" s="19" customFormat="1" ht="15.75" collapsed="1" x14ac:dyDescent="0.25">
      <c r="A158" s="862"/>
      <c r="B158" s="862" t="s">
        <v>48</v>
      </c>
      <c r="C158" s="862"/>
      <c r="D158" s="862"/>
      <c r="E158" s="862"/>
      <c r="F158" s="862"/>
    </row>
    <row r="159" spans="1:9" s="19" customFormat="1" ht="15.75" x14ac:dyDescent="0.25">
      <c r="A159" s="862"/>
      <c r="B159" s="862" t="s">
        <v>49</v>
      </c>
      <c r="C159" s="862">
        <v>5.32</v>
      </c>
      <c r="D159" s="880"/>
      <c r="E159" s="862"/>
      <c r="F159" s="862"/>
    </row>
    <row r="160" spans="1:9" s="11" customFormat="1" x14ac:dyDescent="0.25">
      <c r="A160" s="862"/>
      <c r="B160" s="861" t="s">
        <v>205</v>
      </c>
      <c r="C160" s="862"/>
      <c r="D160" s="862">
        <f>4</f>
        <v>4</v>
      </c>
      <c r="E160" s="862" t="s">
        <v>19</v>
      </c>
      <c r="F160" s="862"/>
      <c r="I160" s="13"/>
    </row>
    <row r="161" spans="1:18" s="2" customFormat="1" ht="89.25" x14ac:dyDescent="0.25">
      <c r="A161" s="854"/>
      <c r="B161" s="854" t="s">
        <v>205</v>
      </c>
      <c r="C161" s="394" t="s">
        <v>237</v>
      </c>
      <c r="D161" s="394" t="s">
        <v>917</v>
      </c>
      <c r="E161" s="854"/>
      <c r="F161" s="855">
        <f>(33+5.5*1)*D162*D163*D164*C182*1000</f>
        <v>143144.60160000002</v>
      </c>
      <c r="I161"/>
      <c r="J161"/>
      <c r="K161"/>
      <c r="Q161" s="17"/>
      <c r="R161" s="17"/>
    </row>
    <row r="162" spans="1:18" s="3" customFormat="1" x14ac:dyDescent="0.25">
      <c r="A162" s="866"/>
      <c r="B162" s="865" t="s">
        <v>4</v>
      </c>
      <c r="C162" s="865" t="s">
        <v>5</v>
      </c>
      <c r="D162" s="866">
        <v>0.4</v>
      </c>
      <c r="E162" s="866"/>
      <c r="F162" s="866"/>
      <c r="I162"/>
      <c r="J162"/>
      <c r="K162"/>
    </row>
    <row r="163" spans="1:18" s="3" customFormat="1" ht="76.5" x14ac:dyDescent="0.25">
      <c r="A163" s="866"/>
      <c r="B163" s="394" t="s">
        <v>46</v>
      </c>
      <c r="C163" s="865" t="s">
        <v>916</v>
      </c>
      <c r="D163" s="866">
        <f>1+(D160-1)*0.2</f>
        <v>1.6</v>
      </c>
      <c r="E163" s="866"/>
      <c r="F163" s="866"/>
      <c r="I163"/>
      <c r="J163"/>
      <c r="K163"/>
    </row>
    <row r="164" spans="1:18" ht="76.5" x14ac:dyDescent="0.25">
      <c r="A164" s="854"/>
      <c r="B164" s="394" t="s">
        <v>15</v>
      </c>
      <c r="C164" s="394" t="s">
        <v>884</v>
      </c>
      <c r="D164" s="854">
        <f>E165/1</f>
        <v>1.0920000000000001</v>
      </c>
      <c r="E164" s="854"/>
      <c r="F164" s="854"/>
    </row>
    <row r="165" spans="1:18" x14ac:dyDescent="0.25">
      <c r="A165" s="854"/>
      <c r="B165" s="390" t="s">
        <v>6</v>
      </c>
      <c r="C165" s="869">
        <f>SUM(C166:C180)</f>
        <v>1</v>
      </c>
      <c r="D165" s="870"/>
      <c r="E165" s="889">
        <f>SUM(E166:E180)</f>
        <v>1.0920000000000001</v>
      </c>
      <c r="F165" s="875"/>
      <c r="G165" s="4"/>
      <c r="H165" s="4"/>
    </row>
    <row r="166" spans="1:18" hidden="1" outlineLevel="1" x14ac:dyDescent="0.25">
      <c r="A166" s="854"/>
      <c r="B166" s="394" t="s">
        <v>20</v>
      </c>
      <c r="C166" s="873">
        <v>0.01</v>
      </c>
      <c r="D166" s="854">
        <v>1</v>
      </c>
      <c r="E166" s="875">
        <f>C166*D166</f>
        <v>0.01</v>
      </c>
      <c r="F166" s="875"/>
      <c r="G166" s="4"/>
      <c r="H166" s="4"/>
    </row>
    <row r="167" spans="1:18" hidden="1" outlineLevel="1" x14ac:dyDescent="0.25">
      <c r="A167" s="854"/>
      <c r="B167" s="394" t="s">
        <v>21</v>
      </c>
      <c r="C167" s="873">
        <v>0.03</v>
      </c>
      <c r="D167" s="854">
        <v>1</v>
      </c>
      <c r="E167" s="875">
        <f>C167*D167</f>
        <v>0.03</v>
      </c>
      <c r="F167" s="875"/>
      <c r="G167" s="4"/>
      <c r="H167" s="4"/>
    </row>
    <row r="168" spans="1:18" hidden="1" outlineLevel="1" x14ac:dyDescent="0.25">
      <c r="A168" s="854"/>
      <c r="B168" s="394" t="s">
        <v>22</v>
      </c>
      <c r="C168" s="873">
        <v>0.09</v>
      </c>
      <c r="D168" s="879" t="s">
        <v>16</v>
      </c>
      <c r="E168" s="875">
        <f>C168*(1+0.3)</f>
        <v>0.11699999999999999</v>
      </c>
      <c r="F168" s="875"/>
      <c r="G168" s="4"/>
      <c r="H168" s="4"/>
    </row>
    <row r="169" spans="1:18" hidden="1" outlineLevel="1" x14ac:dyDescent="0.25">
      <c r="A169" s="854"/>
      <c r="B169" s="394" t="s">
        <v>23</v>
      </c>
      <c r="C169" s="873">
        <v>0.12</v>
      </c>
      <c r="D169" s="879" t="s">
        <v>16</v>
      </c>
      <c r="E169" s="875">
        <f>C169*(1+0.3)</f>
        <v>0.156</v>
      </c>
      <c r="F169" s="875"/>
      <c r="G169" s="4"/>
      <c r="H169" s="4"/>
    </row>
    <row r="170" spans="1:18" ht="38.25" hidden="1" outlineLevel="1" x14ac:dyDescent="0.25">
      <c r="A170" s="854"/>
      <c r="B170" s="394" t="s">
        <v>24</v>
      </c>
      <c r="C170" s="873">
        <v>0.05</v>
      </c>
      <c r="D170" s="879" t="s">
        <v>16</v>
      </c>
      <c r="E170" s="875">
        <f>C170*(1+0.3)</f>
        <v>6.5000000000000002E-2</v>
      </c>
      <c r="F170" s="875"/>
      <c r="G170" s="4"/>
      <c r="H170" s="4"/>
    </row>
    <row r="171" spans="1:18" ht="38.25" hidden="1" outlineLevel="1" x14ac:dyDescent="0.25">
      <c r="A171" s="854"/>
      <c r="B171" s="394" t="s">
        <v>25</v>
      </c>
      <c r="C171" s="873">
        <v>0.04</v>
      </c>
      <c r="D171" s="879" t="s">
        <v>16</v>
      </c>
      <c r="E171" s="875">
        <f>C171*(1+0.3)</f>
        <v>5.2000000000000005E-2</v>
      </c>
      <c r="F171" s="875"/>
      <c r="G171" s="4"/>
      <c r="H171" s="4"/>
    </row>
    <row r="172" spans="1:18" ht="25.5" hidden="1" outlineLevel="1" x14ac:dyDescent="0.25">
      <c r="A172" s="854"/>
      <c r="B172" s="394" t="s">
        <v>26</v>
      </c>
      <c r="C172" s="873">
        <v>0.05</v>
      </c>
      <c r="D172" s="854">
        <v>1</v>
      </c>
      <c r="E172" s="875">
        <f t="shared" ref="E172:E179" si="6">C172*D172</f>
        <v>0.05</v>
      </c>
      <c r="F172" s="875"/>
      <c r="G172" s="4"/>
      <c r="H172" s="4"/>
    </row>
    <row r="173" spans="1:18" ht="38.25" hidden="1" outlineLevel="1" x14ac:dyDescent="0.25">
      <c r="A173" s="854"/>
      <c r="B173" s="394" t="s">
        <v>27</v>
      </c>
      <c r="C173" s="873">
        <v>0.04</v>
      </c>
      <c r="D173" s="854">
        <v>1</v>
      </c>
      <c r="E173" s="875">
        <f t="shared" si="6"/>
        <v>0.04</v>
      </c>
      <c r="F173" s="875"/>
      <c r="G173" s="4"/>
      <c r="H173" s="4"/>
      <c r="I173" s="8"/>
    </row>
    <row r="174" spans="1:18" ht="25.5" hidden="1" outlineLevel="1" x14ac:dyDescent="0.25">
      <c r="A174" s="854"/>
      <c r="B174" s="394" t="s">
        <v>28</v>
      </c>
      <c r="C174" s="873">
        <v>0.02</v>
      </c>
      <c r="D174" s="854">
        <v>1</v>
      </c>
      <c r="E174" s="875">
        <f t="shared" si="6"/>
        <v>0.02</v>
      </c>
      <c r="F174" s="875"/>
      <c r="G174" s="4"/>
      <c r="H174" s="4"/>
    </row>
    <row r="175" spans="1:18" ht="38.25" hidden="1" outlineLevel="1" x14ac:dyDescent="0.25">
      <c r="A175" s="854"/>
      <c r="B175" s="394" t="s">
        <v>29</v>
      </c>
      <c r="C175" s="873">
        <v>0.31</v>
      </c>
      <c r="D175" s="854">
        <v>1</v>
      </c>
      <c r="E175" s="875">
        <f t="shared" si="6"/>
        <v>0.31</v>
      </c>
      <c r="F175" s="875"/>
      <c r="G175" s="4"/>
      <c r="H175" s="4"/>
    </row>
    <row r="176" spans="1:18" hidden="1" outlineLevel="1" x14ac:dyDescent="0.25">
      <c r="A176" s="854"/>
      <c r="B176" s="394" t="s">
        <v>30</v>
      </c>
      <c r="C176" s="873">
        <v>0.04</v>
      </c>
      <c r="D176" s="879">
        <v>1</v>
      </c>
      <c r="E176" s="875">
        <f t="shared" si="6"/>
        <v>0.04</v>
      </c>
      <c r="F176" s="875"/>
      <c r="G176" s="4"/>
      <c r="H176" s="4"/>
    </row>
    <row r="177" spans="1:11" hidden="1" outlineLevel="1" x14ac:dyDescent="0.25">
      <c r="A177" s="854"/>
      <c r="B177" s="394" t="s">
        <v>31</v>
      </c>
      <c r="C177" s="873">
        <v>0.09</v>
      </c>
      <c r="D177" s="854">
        <v>1</v>
      </c>
      <c r="E177" s="875">
        <f t="shared" si="6"/>
        <v>0.09</v>
      </c>
      <c r="F177" s="875"/>
      <c r="G177" s="4"/>
      <c r="H177" s="4"/>
    </row>
    <row r="178" spans="1:11" hidden="1" outlineLevel="1" x14ac:dyDescent="0.25">
      <c r="A178" s="854"/>
      <c r="B178" s="394" t="s">
        <v>32</v>
      </c>
      <c r="C178" s="873">
        <v>0.05</v>
      </c>
      <c r="D178" s="854">
        <v>1</v>
      </c>
      <c r="E178" s="875">
        <f t="shared" si="6"/>
        <v>0.05</v>
      </c>
      <c r="F178" s="875"/>
      <c r="G178" s="4"/>
      <c r="H178" s="4"/>
    </row>
    <row r="179" spans="1:11" hidden="1" outlineLevel="1" x14ac:dyDescent="0.25">
      <c r="A179" s="854"/>
      <c r="B179" s="394" t="s">
        <v>33</v>
      </c>
      <c r="C179" s="873">
        <v>0.01</v>
      </c>
      <c r="D179" s="854">
        <v>1</v>
      </c>
      <c r="E179" s="875">
        <f t="shared" si="6"/>
        <v>0.01</v>
      </c>
      <c r="F179" s="875"/>
      <c r="G179" s="4"/>
      <c r="H179" s="4"/>
    </row>
    <row r="180" spans="1:11" hidden="1" outlineLevel="1" x14ac:dyDescent="0.25">
      <c r="A180" s="854"/>
      <c r="B180" s="394" t="s">
        <v>34</v>
      </c>
      <c r="C180" s="873">
        <v>0.05</v>
      </c>
      <c r="D180" s="879"/>
      <c r="E180" s="890">
        <f>SUM(E166:E179)*C180</f>
        <v>5.2000000000000005E-2</v>
      </c>
      <c r="F180" s="890"/>
      <c r="G180" s="14"/>
      <c r="H180" s="14"/>
    </row>
    <row r="181" spans="1:11" s="19" customFormat="1" ht="15.75" collapsed="1" x14ac:dyDescent="0.25">
      <c r="A181" s="862"/>
      <c r="B181" s="862" t="s">
        <v>48</v>
      </c>
      <c r="C181" s="862"/>
      <c r="D181" s="862"/>
      <c r="E181" s="862"/>
      <c r="F181" s="862"/>
    </row>
    <row r="182" spans="1:11" s="19" customFormat="1" ht="15.75" x14ac:dyDescent="0.25">
      <c r="A182" s="862"/>
      <c r="B182" s="862" t="s">
        <v>49</v>
      </c>
      <c r="C182" s="862">
        <v>5.32</v>
      </c>
      <c r="D182" s="880"/>
      <c r="E182" s="862"/>
      <c r="F182" s="862"/>
    </row>
    <row r="183" spans="1:11" x14ac:dyDescent="0.25">
      <c r="A183" s="854"/>
      <c r="B183" s="861" t="s">
        <v>919</v>
      </c>
      <c r="C183" s="854"/>
      <c r="D183" s="862">
        <v>30</v>
      </c>
      <c r="E183" s="862" t="s">
        <v>235</v>
      </c>
      <c r="F183" s="854"/>
    </row>
    <row r="184" spans="1:11" s="2" customFormat="1" ht="51" x14ac:dyDescent="0.25">
      <c r="A184" s="854"/>
      <c r="B184" s="891" t="s">
        <v>921</v>
      </c>
      <c r="C184" s="891" t="s">
        <v>920</v>
      </c>
      <c r="D184" s="394" t="s">
        <v>939</v>
      </c>
      <c r="E184" s="854"/>
      <c r="F184" s="855">
        <f>(456.5+0*(0.4*50+0.6*30))*1*D185*D186*C204*1000</f>
        <v>1128123.9816000003</v>
      </c>
      <c r="I184"/>
      <c r="J184"/>
      <c r="K184"/>
    </row>
    <row r="185" spans="1:11" s="3" customFormat="1" x14ac:dyDescent="0.25">
      <c r="A185" s="866"/>
      <c r="B185" s="865" t="s">
        <v>4</v>
      </c>
      <c r="C185" s="865" t="s">
        <v>5</v>
      </c>
      <c r="D185" s="866">
        <v>0.4</v>
      </c>
      <c r="E185" s="866"/>
      <c r="F185" s="866"/>
      <c r="I185"/>
      <c r="J185"/>
      <c r="K185"/>
    </row>
    <row r="186" spans="1:11" ht="76.5" x14ac:dyDescent="0.25">
      <c r="A186" s="854"/>
      <c r="B186" s="394" t="s">
        <v>15</v>
      </c>
      <c r="C186" s="394" t="s">
        <v>232</v>
      </c>
      <c r="D186" s="854">
        <f>E187/1</f>
        <v>1.1613</v>
      </c>
      <c r="E186" s="854"/>
      <c r="F186" s="854"/>
    </row>
    <row r="187" spans="1:11" x14ac:dyDescent="0.25">
      <c r="A187" s="854"/>
      <c r="B187" s="390" t="s">
        <v>6</v>
      </c>
      <c r="C187" s="869">
        <f>SUM(C188:C202)</f>
        <v>1</v>
      </c>
      <c r="D187" s="870"/>
      <c r="E187" s="871">
        <f>SUM(E188:E202)</f>
        <v>1.1613</v>
      </c>
      <c r="F187" s="872"/>
      <c r="G187" s="9"/>
      <c r="H187" s="9"/>
    </row>
    <row r="188" spans="1:11" hidden="1" outlineLevel="1" x14ac:dyDescent="0.25">
      <c r="A188" s="854"/>
      <c r="B188" s="394" t="s">
        <v>20</v>
      </c>
      <c r="C188" s="873">
        <v>0.01</v>
      </c>
      <c r="D188" s="874">
        <v>1</v>
      </c>
      <c r="E188" s="875">
        <f>C188*D188</f>
        <v>0.01</v>
      </c>
      <c r="F188" s="854"/>
    </row>
    <row r="189" spans="1:11" hidden="1" outlineLevel="1" x14ac:dyDescent="0.25">
      <c r="A189" s="854"/>
      <c r="B189" s="394" t="s">
        <v>21</v>
      </c>
      <c r="C189" s="873">
        <v>0.03</v>
      </c>
      <c r="D189" s="879">
        <v>1</v>
      </c>
      <c r="E189" s="873">
        <f>C189*D189</f>
        <v>0.03</v>
      </c>
      <c r="F189" s="854"/>
    </row>
    <row r="190" spans="1:11" hidden="1" outlineLevel="1" x14ac:dyDescent="0.25">
      <c r="A190" s="854"/>
      <c r="B190" s="394" t="s">
        <v>22</v>
      </c>
      <c r="C190" s="873">
        <v>0.09</v>
      </c>
      <c r="D190" s="874" t="s">
        <v>16</v>
      </c>
      <c r="E190" s="875">
        <f>C190*(1+0.3)</f>
        <v>0.11699999999999999</v>
      </c>
      <c r="F190" s="854"/>
    </row>
    <row r="191" spans="1:11" hidden="1" outlineLevel="1" x14ac:dyDescent="0.25">
      <c r="A191" s="854"/>
      <c r="B191" s="394" t="s">
        <v>23</v>
      </c>
      <c r="C191" s="873">
        <v>0.12</v>
      </c>
      <c r="D191" s="874" t="s">
        <v>16</v>
      </c>
      <c r="E191" s="875">
        <f>C191*(1+0.3)</f>
        <v>0.156</v>
      </c>
      <c r="F191" s="854"/>
    </row>
    <row r="192" spans="1:11" ht="38.25" hidden="1" outlineLevel="1" x14ac:dyDescent="0.25">
      <c r="A192" s="854"/>
      <c r="B192" s="394" t="s">
        <v>24</v>
      </c>
      <c r="C192" s="873">
        <v>0.05</v>
      </c>
      <c r="D192" s="874">
        <v>1</v>
      </c>
      <c r="E192" s="875">
        <f>C192*D192</f>
        <v>0.05</v>
      </c>
      <c r="F192" s="854"/>
    </row>
    <row r="193" spans="1:11" ht="38.25" hidden="1" outlineLevel="1" x14ac:dyDescent="0.25">
      <c r="A193" s="854"/>
      <c r="B193" s="394" t="s">
        <v>25</v>
      </c>
      <c r="C193" s="873">
        <v>0.04</v>
      </c>
      <c r="D193" s="874">
        <v>1</v>
      </c>
      <c r="E193" s="875">
        <f>C193*D193</f>
        <v>0.04</v>
      </c>
      <c r="F193" s="854"/>
    </row>
    <row r="194" spans="1:11" ht="25.5" hidden="1" outlineLevel="1" x14ac:dyDescent="0.25">
      <c r="A194" s="854"/>
      <c r="B194" s="394" t="s">
        <v>26</v>
      </c>
      <c r="C194" s="873">
        <v>0.05</v>
      </c>
      <c r="D194" s="879">
        <v>1</v>
      </c>
      <c r="E194" s="873">
        <f>C194*D194</f>
        <v>0.05</v>
      </c>
      <c r="F194" s="854"/>
    </row>
    <row r="195" spans="1:11" ht="38.25" hidden="1" outlineLevel="1" x14ac:dyDescent="0.25">
      <c r="A195" s="854"/>
      <c r="B195" s="394" t="s">
        <v>27</v>
      </c>
      <c r="C195" s="873">
        <v>0.04</v>
      </c>
      <c r="D195" s="876">
        <v>1</v>
      </c>
      <c r="E195" s="873">
        <f>C195*D195</f>
        <v>0.04</v>
      </c>
      <c r="F195" s="854"/>
    </row>
    <row r="196" spans="1:11" ht="25.5" hidden="1" outlineLevel="1" x14ac:dyDescent="0.25">
      <c r="A196" s="854"/>
      <c r="B196" s="394" t="s">
        <v>28</v>
      </c>
      <c r="C196" s="873">
        <v>0.02</v>
      </c>
      <c r="D196" s="879">
        <v>1</v>
      </c>
      <c r="E196" s="873">
        <f>C196*D196</f>
        <v>0.02</v>
      </c>
      <c r="F196" s="854"/>
    </row>
    <row r="197" spans="1:11" ht="38.25" hidden="1" outlineLevel="1" x14ac:dyDescent="0.25">
      <c r="A197" s="854"/>
      <c r="B197" s="394" t="s">
        <v>29</v>
      </c>
      <c r="C197" s="873">
        <v>0.31</v>
      </c>
      <c r="D197" s="874" t="s">
        <v>16</v>
      </c>
      <c r="E197" s="875">
        <f>C197*(1+0.3)</f>
        <v>0.40300000000000002</v>
      </c>
      <c r="F197" s="854"/>
    </row>
    <row r="198" spans="1:11" hidden="1" outlineLevel="1" x14ac:dyDescent="0.25">
      <c r="A198" s="854"/>
      <c r="B198" s="394" t="s">
        <v>30</v>
      </c>
      <c r="C198" s="873">
        <v>0.04</v>
      </c>
      <c r="D198" s="874">
        <v>1</v>
      </c>
      <c r="E198" s="875">
        <f>C198*D198</f>
        <v>0.04</v>
      </c>
      <c r="F198" s="854"/>
    </row>
    <row r="199" spans="1:11" hidden="1" outlineLevel="1" x14ac:dyDescent="0.25">
      <c r="A199" s="854"/>
      <c r="B199" s="394" t="s">
        <v>31</v>
      </c>
      <c r="C199" s="873">
        <v>0.09</v>
      </c>
      <c r="D199" s="879">
        <v>1</v>
      </c>
      <c r="E199" s="873">
        <f>C199*D199</f>
        <v>0.09</v>
      </c>
      <c r="F199" s="854"/>
    </row>
    <row r="200" spans="1:11" hidden="1" outlineLevel="1" x14ac:dyDescent="0.25">
      <c r="A200" s="854"/>
      <c r="B200" s="394" t="s">
        <v>32</v>
      </c>
      <c r="C200" s="873">
        <v>0.05</v>
      </c>
      <c r="D200" s="876">
        <v>1</v>
      </c>
      <c r="E200" s="873">
        <f>C200*D200</f>
        <v>0.05</v>
      </c>
      <c r="F200" s="854"/>
    </row>
    <row r="201" spans="1:11" hidden="1" outlineLevel="1" x14ac:dyDescent="0.25">
      <c r="A201" s="854"/>
      <c r="B201" s="394" t="s">
        <v>33</v>
      </c>
      <c r="C201" s="873">
        <v>0.01</v>
      </c>
      <c r="D201" s="879">
        <v>1</v>
      </c>
      <c r="E201" s="873">
        <f>C201*D201</f>
        <v>0.01</v>
      </c>
      <c r="F201" s="854"/>
    </row>
    <row r="202" spans="1:11" hidden="1" outlineLevel="1" x14ac:dyDescent="0.25">
      <c r="A202" s="854"/>
      <c r="B202" s="394" t="s">
        <v>212</v>
      </c>
      <c r="C202" s="873">
        <v>0.05</v>
      </c>
      <c r="D202" s="876"/>
      <c r="E202" s="875">
        <f>SUM(E188:E201)*C202</f>
        <v>5.5300000000000009E-2</v>
      </c>
      <c r="F202" s="854"/>
    </row>
    <row r="203" spans="1:11" s="19" customFormat="1" ht="15.75" collapsed="1" x14ac:dyDescent="0.25">
      <c r="A203" s="862"/>
      <c r="B203" s="862" t="s">
        <v>48</v>
      </c>
      <c r="C203" s="862"/>
      <c r="D203" s="862"/>
      <c r="E203" s="862"/>
      <c r="F203" s="862"/>
    </row>
    <row r="204" spans="1:11" s="19" customFormat="1" ht="15.75" x14ac:dyDescent="0.25">
      <c r="A204" s="862"/>
      <c r="B204" s="862" t="s">
        <v>49</v>
      </c>
      <c r="C204" s="862">
        <v>5.32</v>
      </c>
      <c r="D204" s="880"/>
      <c r="E204" s="862"/>
      <c r="F204" s="862"/>
    </row>
    <row r="205" spans="1:11" x14ac:dyDescent="0.25">
      <c r="A205" s="854"/>
      <c r="B205" s="861" t="s">
        <v>918</v>
      </c>
      <c r="C205" s="854"/>
      <c r="D205" s="862">
        <v>20</v>
      </c>
      <c r="E205" s="862" t="s">
        <v>235</v>
      </c>
      <c r="F205" s="854"/>
    </row>
    <row r="206" spans="1:11" s="2" customFormat="1" ht="51" x14ac:dyDescent="0.25">
      <c r="A206" s="854"/>
      <c r="B206" s="891" t="s">
        <v>921</v>
      </c>
      <c r="C206" s="891" t="s">
        <v>920</v>
      </c>
      <c r="D206" s="394" t="s">
        <v>923</v>
      </c>
      <c r="E206" s="854"/>
      <c r="F206" s="855">
        <f>(456.5+0*(0.4*50+0.6*20))*1*D207*D208*D209*C227*1000</f>
        <v>902499.18528000009</v>
      </c>
      <c r="I206"/>
      <c r="J206"/>
      <c r="K206"/>
    </row>
    <row r="207" spans="1:11" s="3" customFormat="1" x14ac:dyDescent="0.25">
      <c r="A207" s="866"/>
      <c r="B207" s="865" t="s">
        <v>4</v>
      </c>
      <c r="C207" s="865" t="s">
        <v>5</v>
      </c>
      <c r="D207" s="866">
        <v>0.4</v>
      </c>
      <c r="E207" s="866"/>
      <c r="F207" s="866"/>
      <c r="I207"/>
      <c r="J207"/>
      <c r="K207"/>
    </row>
    <row r="208" spans="1:11" s="2" customFormat="1" ht="38.25" x14ac:dyDescent="0.25">
      <c r="A208" s="854"/>
      <c r="B208" s="394" t="s">
        <v>233</v>
      </c>
      <c r="C208" s="854" t="s">
        <v>234</v>
      </c>
      <c r="D208" s="867">
        <v>0.8</v>
      </c>
      <c r="E208" s="854"/>
      <c r="F208" s="854"/>
    </row>
    <row r="209" spans="1:8" ht="76.5" x14ac:dyDescent="0.25">
      <c r="A209" s="854"/>
      <c r="B209" s="394" t="s">
        <v>15</v>
      </c>
      <c r="C209" s="394" t="s">
        <v>232</v>
      </c>
      <c r="D209" s="854">
        <f>E210/1</f>
        <v>1.1613</v>
      </c>
      <c r="E209" s="854"/>
      <c r="F209" s="854"/>
    </row>
    <row r="210" spans="1:8" x14ac:dyDescent="0.25">
      <c r="A210" s="854"/>
      <c r="B210" s="390" t="s">
        <v>6</v>
      </c>
      <c r="C210" s="869">
        <f>SUM(C211:C225)</f>
        <v>1</v>
      </c>
      <c r="D210" s="870"/>
      <c r="E210" s="871">
        <f>SUM(E211:E225)</f>
        <v>1.1613</v>
      </c>
      <c r="F210" s="872"/>
      <c r="G210" s="9"/>
      <c r="H210" s="9"/>
    </row>
    <row r="211" spans="1:8" hidden="1" outlineLevel="1" x14ac:dyDescent="0.25">
      <c r="A211" s="854"/>
      <c r="B211" s="394" t="s">
        <v>20</v>
      </c>
      <c r="C211" s="873">
        <v>0.01</v>
      </c>
      <c r="D211" s="874">
        <v>1</v>
      </c>
      <c r="E211" s="875">
        <f>C211*D211</f>
        <v>0.01</v>
      </c>
      <c r="F211" s="854"/>
    </row>
    <row r="212" spans="1:8" hidden="1" outlineLevel="1" x14ac:dyDescent="0.25">
      <c r="A212" s="854"/>
      <c r="B212" s="394" t="s">
        <v>21</v>
      </c>
      <c r="C212" s="873">
        <v>0.03</v>
      </c>
      <c r="D212" s="879">
        <v>1</v>
      </c>
      <c r="E212" s="873">
        <f>C212*D212</f>
        <v>0.03</v>
      </c>
      <c r="F212" s="854"/>
    </row>
    <row r="213" spans="1:8" hidden="1" outlineLevel="1" x14ac:dyDescent="0.25">
      <c r="A213" s="854"/>
      <c r="B213" s="394" t="s">
        <v>22</v>
      </c>
      <c r="C213" s="873">
        <v>0.09</v>
      </c>
      <c r="D213" s="874" t="s">
        <v>16</v>
      </c>
      <c r="E213" s="875">
        <f>C213*(1+0.3)</f>
        <v>0.11699999999999999</v>
      </c>
      <c r="F213" s="854"/>
    </row>
    <row r="214" spans="1:8" hidden="1" outlineLevel="1" x14ac:dyDescent="0.25">
      <c r="A214" s="854"/>
      <c r="B214" s="394" t="s">
        <v>23</v>
      </c>
      <c r="C214" s="873">
        <v>0.12</v>
      </c>
      <c r="D214" s="874" t="s">
        <v>16</v>
      </c>
      <c r="E214" s="875">
        <f>C214*(1+0.3)</f>
        <v>0.156</v>
      </c>
      <c r="F214" s="854"/>
    </row>
    <row r="215" spans="1:8" ht="38.25" hidden="1" outlineLevel="1" x14ac:dyDescent="0.25">
      <c r="A215" s="854"/>
      <c r="B215" s="394" t="s">
        <v>24</v>
      </c>
      <c r="C215" s="873">
        <v>0.05</v>
      </c>
      <c r="D215" s="874">
        <v>1</v>
      </c>
      <c r="E215" s="875">
        <f>C215*D215</f>
        <v>0.05</v>
      </c>
      <c r="F215" s="854"/>
    </row>
    <row r="216" spans="1:8" ht="38.25" hidden="1" outlineLevel="1" x14ac:dyDescent="0.25">
      <c r="A216" s="854"/>
      <c r="B216" s="394" t="s">
        <v>25</v>
      </c>
      <c r="C216" s="873">
        <v>0.04</v>
      </c>
      <c r="D216" s="874">
        <v>1</v>
      </c>
      <c r="E216" s="875">
        <f>C216*D216</f>
        <v>0.04</v>
      </c>
      <c r="F216" s="854"/>
    </row>
    <row r="217" spans="1:8" ht="25.5" hidden="1" outlineLevel="1" x14ac:dyDescent="0.25">
      <c r="A217" s="854"/>
      <c r="B217" s="394" t="s">
        <v>26</v>
      </c>
      <c r="C217" s="873">
        <v>0.05</v>
      </c>
      <c r="D217" s="879">
        <v>1</v>
      </c>
      <c r="E217" s="873">
        <f>C217*D217</f>
        <v>0.05</v>
      </c>
      <c r="F217" s="854"/>
    </row>
    <row r="218" spans="1:8" ht="38.25" hidden="1" outlineLevel="1" x14ac:dyDescent="0.25">
      <c r="A218" s="854"/>
      <c r="B218" s="394" t="s">
        <v>27</v>
      </c>
      <c r="C218" s="873">
        <v>0.04</v>
      </c>
      <c r="D218" s="876">
        <v>1</v>
      </c>
      <c r="E218" s="873">
        <f>C218*D218</f>
        <v>0.04</v>
      </c>
      <c r="F218" s="854"/>
    </row>
    <row r="219" spans="1:8" ht="25.5" hidden="1" outlineLevel="1" x14ac:dyDescent="0.25">
      <c r="A219" s="854"/>
      <c r="B219" s="394" t="s">
        <v>28</v>
      </c>
      <c r="C219" s="873">
        <v>0.02</v>
      </c>
      <c r="D219" s="879">
        <v>1</v>
      </c>
      <c r="E219" s="873">
        <f>C219*D219</f>
        <v>0.02</v>
      </c>
      <c r="F219" s="854"/>
    </row>
    <row r="220" spans="1:8" ht="38.25" hidden="1" outlineLevel="1" x14ac:dyDescent="0.25">
      <c r="A220" s="854"/>
      <c r="B220" s="394" t="s">
        <v>29</v>
      </c>
      <c r="C220" s="873">
        <v>0.31</v>
      </c>
      <c r="D220" s="874" t="s">
        <v>16</v>
      </c>
      <c r="E220" s="875">
        <f>C220*(1+0.3)</f>
        <v>0.40300000000000002</v>
      </c>
      <c r="F220" s="854"/>
    </row>
    <row r="221" spans="1:8" hidden="1" outlineLevel="1" x14ac:dyDescent="0.25">
      <c r="A221" s="854"/>
      <c r="B221" s="394" t="s">
        <v>30</v>
      </c>
      <c r="C221" s="873">
        <v>0.04</v>
      </c>
      <c r="D221" s="874">
        <v>1</v>
      </c>
      <c r="E221" s="875">
        <f>C221*D221</f>
        <v>0.04</v>
      </c>
      <c r="F221" s="854"/>
    </row>
    <row r="222" spans="1:8" hidden="1" outlineLevel="1" x14ac:dyDescent="0.25">
      <c r="A222" s="854"/>
      <c r="B222" s="394" t="s">
        <v>31</v>
      </c>
      <c r="C222" s="873">
        <v>0.09</v>
      </c>
      <c r="D222" s="879">
        <v>1</v>
      </c>
      <c r="E222" s="873">
        <f>C222*D222</f>
        <v>0.09</v>
      </c>
      <c r="F222" s="854"/>
    </row>
    <row r="223" spans="1:8" hidden="1" outlineLevel="1" x14ac:dyDescent="0.25">
      <c r="A223" s="854"/>
      <c r="B223" s="394" t="s">
        <v>32</v>
      </c>
      <c r="C223" s="873">
        <v>0.05</v>
      </c>
      <c r="D223" s="876">
        <v>1</v>
      </c>
      <c r="E223" s="873">
        <f>C223*D223</f>
        <v>0.05</v>
      </c>
      <c r="F223" s="854"/>
    </row>
    <row r="224" spans="1:8" hidden="1" outlineLevel="1" x14ac:dyDescent="0.25">
      <c r="A224" s="854"/>
      <c r="B224" s="394" t="s">
        <v>33</v>
      </c>
      <c r="C224" s="873">
        <v>0.01</v>
      </c>
      <c r="D224" s="879">
        <v>1</v>
      </c>
      <c r="E224" s="873">
        <f>C224*D224</f>
        <v>0.01</v>
      </c>
      <c r="F224" s="854"/>
    </row>
    <row r="225" spans="1:11" hidden="1" outlineLevel="1" x14ac:dyDescent="0.25">
      <c r="A225" s="854"/>
      <c r="B225" s="394" t="s">
        <v>212</v>
      </c>
      <c r="C225" s="873">
        <v>0.05</v>
      </c>
      <c r="D225" s="876"/>
      <c r="E225" s="875">
        <f>SUM(E211:E224)*C225</f>
        <v>5.5300000000000009E-2</v>
      </c>
      <c r="F225" s="854"/>
    </row>
    <row r="226" spans="1:11" s="19" customFormat="1" ht="15.75" collapsed="1" x14ac:dyDescent="0.25">
      <c r="A226" s="862"/>
      <c r="B226" s="862" t="s">
        <v>48</v>
      </c>
      <c r="C226" s="862"/>
      <c r="D226" s="862"/>
      <c r="E226" s="862"/>
      <c r="F226" s="862"/>
    </row>
    <row r="227" spans="1:11" s="19" customFormat="1" ht="15.75" x14ac:dyDescent="0.25">
      <c r="A227" s="862"/>
      <c r="B227" s="862" t="s">
        <v>49</v>
      </c>
      <c r="C227" s="862">
        <v>5.32</v>
      </c>
      <c r="D227" s="880"/>
      <c r="E227" s="862"/>
      <c r="F227" s="862"/>
    </row>
    <row r="228" spans="1:11" collapsed="1" x14ac:dyDescent="0.25">
      <c r="A228" s="854"/>
      <c r="B228" s="861" t="s">
        <v>73</v>
      </c>
      <c r="C228" s="862">
        <f>D13</f>
        <v>1600</v>
      </c>
      <c r="D228" s="862" t="s">
        <v>746</v>
      </c>
      <c r="E228" s="854"/>
      <c r="F228" s="854"/>
    </row>
    <row r="229" spans="1:11" s="2" customFormat="1" ht="89.25" x14ac:dyDescent="0.25">
      <c r="A229" s="854"/>
      <c r="B229" s="394" t="s">
        <v>956</v>
      </c>
      <c r="C229" s="863" t="s">
        <v>958</v>
      </c>
      <c r="D229" s="394" t="s">
        <v>957</v>
      </c>
      <c r="E229" s="854"/>
      <c r="F229" s="855">
        <f>(75.97+0.013*1600)*1*D230*D231*D232*D233*C252*1000</f>
        <v>498275.50994812505</v>
      </c>
      <c r="I229"/>
      <c r="J229"/>
      <c r="K229"/>
    </row>
    <row r="230" spans="1:11" s="3" customFormat="1" x14ac:dyDescent="0.25">
      <c r="A230" s="866"/>
      <c r="B230" s="865" t="s">
        <v>4</v>
      </c>
      <c r="C230" s="865" t="s">
        <v>852</v>
      </c>
      <c r="D230" s="866">
        <v>0.5</v>
      </c>
      <c r="E230" s="866"/>
      <c r="F230" s="866"/>
      <c r="I230"/>
      <c r="J230"/>
      <c r="K230"/>
    </row>
    <row r="231" spans="1:11" ht="63.75" x14ac:dyDescent="0.25">
      <c r="A231" s="854"/>
      <c r="B231" s="394" t="s">
        <v>276</v>
      </c>
      <c r="C231" s="394" t="s">
        <v>329</v>
      </c>
      <c r="D231" s="867">
        <v>1.3</v>
      </c>
      <c r="E231" s="854"/>
      <c r="F231" s="854"/>
    </row>
    <row r="232" spans="1:11" ht="63.75" x14ac:dyDescent="0.25">
      <c r="A232" s="854"/>
      <c r="B232" s="394" t="s">
        <v>278</v>
      </c>
      <c r="C232" s="394" t="s">
        <v>328</v>
      </c>
      <c r="D232" s="868">
        <v>1.25</v>
      </c>
      <c r="E232" s="854"/>
      <c r="F232" s="854"/>
    </row>
    <row r="233" spans="1:11" ht="76.5" x14ac:dyDescent="0.25">
      <c r="A233" s="854"/>
      <c r="B233" s="394" t="s">
        <v>15</v>
      </c>
      <c r="C233" s="394" t="s">
        <v>275</v>
      </c>
      <c r="D233" s="854">
        <f>E234/1</f>
        <v>1.191225</v>
      </c>
      <c r="E233" s="854"/>
      <c r="F233" s="854"/>
    </row>
    <row r="234" spans="1:11" x14ac:dyDescent="0.25">
      <c r="A234" s="854"/>
      <c r="B234" s="390" t="s">
        <v>6</v>
      </c>
      <c r="C234" s="869">
        <f>SUM(C235:C250)</f>
        <v>1</v>
      </c>
      <c r="D234" s="870"/>
      <c r="E234" s="871">
        <f>SUM(E235:E250)</f>
        <v>1.191225</v>
      </c>
      <c r="F234" s="872"/>
      <c r="G234" s="9"/>
      <c r="H234" s="9"/>
    </row>
    <row r="235" spans="1:11" hidden="1" outlineLevel="1" x14ac:dyDescent="0.25">
      <c r="A235" s="854"/>
      <c r="B235" s="394" t="s">
        <v>20</v>
      </c>
      <c r="C235" s="873">
        <v>0.02</v>
      </c>
      <c r="D235" s="874">
        <v>1</v>
      </c>
      <c r="E235" s="875">
        <f>C235*D235</f>
        <v>0.02</v>
      </c>
      <c r="F235" s="854"/>
    </row>
    <row r="236" spans="1:11" hidden="1" outlineLevel="1" x14ac:dyDescent="0.25">
      <c r="A236" s="854"/>
      <c r="B236" s="394" t="s">
        <v>265</v>
      </c>
      <c r="C236" s="873">
        <v>0.02</v>
      </c>
      <c r="D236" s="874" t="s">
        <v>16</v>
      </c>
      <c r="E236" s="875">
        <f>C236*(1+0.3)</f>
        <v>2.6000000000000002E-2</v>
      </c>
      <c r="F236" s="854"/>
    </row>
    <row r="237" spans="1:11" ht="38.25" hidden="1" outlineLevel="1" x14ac:dyDescent="0.25">
      <c r="A237" s="854"/>
      <c r="B237" s="394" t="s">
        <v>266</v>
      </c>
      <c r="C237" s="873"/>
      <c r="D237" s="876">
        <v>1</v>
      </c>
      <c r="E237" s="873">
        <f>C237*D237</f>
        <v>0</v>
      </c>
      <c r="F237" s="854"/>
    </row>
    <row r="238" spans="1:11" hidden="1" outlineLevel="1" x14ac:dyDescent="0.25">
      <c r="A238" s="854"/>
      <c r="B238" s="877" t="s">
        <v>43</v>
      </c>
      <c r="C238" s="878">
        <v>0.245</v>
      </c>
      <c r="D238" s="874" t="s">
        <v>16</v>
      </c>
      <c r="E238" s="875">
        <f>C238*(1+0.3)</f>
        <v>0.31850000000000001</v>
      </c>
      <c r="F238" s="854"/>
    </row>
    <row r="239" spans="1:11" hidden="1" outlineLevel="1" x14ac:dyDescent="0.25">
      <c r="A239" s="854"/>
      <c r="B239" s="877" t="s">
        <v>267</v>
      </c>
      <c r="C239" s="878">
        <v>0.27500000000000002</v>
      </c>
      <c r="D239" s="874" t="s">
        <v>16</v>
      </c>
      <c r="E239" s="875">
        <f>C239*(1+0.3)</f>
        <v>0.35750000000000004</v>
      </c>
      <c r="F239" s="854"/>
    </row>
    <row r="240" spans="1:11" hidden="1" outlineLevel="1" x14ac:dyDescent="0.25">
      <c r="A240" s="854"/>
      <c r="B240" s="877" t="s">
        <v>268</v>
      </c>
      <c r="C240" s="878">
        <v>1.4999999999999999E-2</v>
      </c>
      <c r="D240" s="874" t="s">
        <v>16</v>
      </c>
      <c r="E240" s="875">
        <f>C240*(1+0.3)</f>
        <v>1.95E-2</v>
      </c>
      <c r="F240" s="854"/>
    </row>
    <row r="241" spans="1:11" hidden="1" outlineLevel="1" x14ac:dyDescent="0.25">
      <c r="A241" s="854"/>
      <c r="B241" s="877" t="s">
        <v>269</v>
      </c>
      <c r="C241" s="878">
        <v>2.5000000000000001E-2</v>
      </c>
      <c r="D241" s="879">
        <v>1</v>
      </c>
      <c r="E241" s="878">
        <f>C241*D241</f>
        <v>2.5000000000000001E-2</v>
      </c>
      <c r="F241" s="854"/>
    </row>
    <row r="242" spans="1:11" hidden="1" outlineLevel="1" x14ac:dyDescent="0.25">
      <c r="A242" s="854"/>
      <c r="B242" s="877" t="s">
        <v>37</v>
      </c>
      <c r="C242" s="878">
        <v>0.1</v>
      </c>
      <c r="D242" s="876">
        <v>1</v>
      </c>
      <c r="E242" s="878">
        <f>C242*D242</f>
        <v>0.1</v>
      </c>
      <c r="F242" s="854"/>
    </row>
    <row r="243" spans="1:11" hidden="1" outlineLevel="1" x14ac:dyDescent="0.25">
      <c r="A243" s="854"/>
      <c r="B243" s="877" t="s">
        <v>270</v>
      </c>
      <c r="C243" s="878">
        <v>2.5000000000000001E-2</v>
      </c>
      <c r="D243" s="879">
        <v>1</v>
      </c>
      <c r="E243" s="878">
        <f>C243*D243</f>
        <v>2.5000000000000001E-2</v>
      </c>
      <c r="F243" s="854"/>
    </row>
    <row r="244" spans="1:11" hidden="1" outlineLevel="1" x14ac:dyDescent="0.25">
      <c r="A244" s="854"/>
      <c r="B244" s="877" t="s">
        <v>271</v>
      </c>
      <c r="C244" s="878">
        <v>1.4999999999999999E-2</v>
      </c>
      <c r="D244" s="879">
        <v>1</v>
      </c>
      <c r="E244" s="878">
        <f>C244*D244</f>
        <v>1.4999999999999999E-2</v>
      </c>
      <c r="F244" s="854"/>
    </row>
    <row r="245" spans="1:11" hidden="1" outlineLevel="1" x14ac:dyDescent="0.25">
      <c r="A245" s="854"/>
      <c r="B245" s="394" t="s">
        <v>272</v>
      </c>
      <c r="C245" s="878">
        <v>0.06</v>
      </c>
      <c r="D245" s="874" t="s">
        <v>16</v>
      </c>
      <c r="E245" s="878">
        <f>C245*(1+0.3)</f>
        <v>7.8E-2</v>
      </c>
      <c r="F245" s="854"/>
    </row>
    <row r="246" spans="1:11" hidden="1" outlineLevel="1" x14ac:dyDescent="0.25">
      <c r="A246" s="854"/>
      <c r="B246" s="394" t="s">
        <v>30</v>
      </c>
      <c r="C246" s="878">
        <v>0.02</v>
      </c>
      <c r="D246" s="879">
        <v>1</v>
      </c>
      <c r="E246" s="878">
        <f>C246*D246</f>
        <v>0.02</v>
      </c>
      <c r="F246" s="854"/>
    </row>
    <row r="247" spans="1:11" hidden="1" outlineLevel="1" x14ac:dyDescent="0.25">
      <c r="A247" s="854"/>
      <c r="B247" s="394" t="s">
        <v>273</v>
      </c>
      <c r="C247" s="878">
        <v>0.01</v>
      </c>
      <c r="D247" s="876">
        <v>1</v>
      </c>
      <c r="E247" s="878">
        <f>C247*D247</f>
        <v>0.01</v>
      </c>
      <c r="F247" s="854"/>
    </row>
    <row r="248" spans="1:11" hidden="1" outlineLevel="1" x14ac:dyDescent="0.25">
      <c r="A248" s="854"/>
      <c r="B248" s="394" t="s">
        <v>274</v>
      </c>
      <c r="C248" s="878">
        <v>0.09</v>
      </c>
      <c r="D248" s="879">
        <v>1</v>
      </c>
      <c r="E248" s="878">
        <f>C248*D248</f>
        <v>0.09</v>
      </c>
      <c r="F248" s="854"/>
    </row>
    <row r="249" spans="1:11" hidden="1" outlineLevel="1" x14ac:dyDescent="0.25">
      <c r="A249" s="854"/>
      <c r="B249" s="394" t="s">
        <v>32</v>
      </c>
      <c r="C249" s="878">
        <v>0.03</v>
      </c>
      <c r="D249" s="879">
        <v>1</v>
      </c>
      <c r="E249" s="878">
        <f>C249*D249</f>
        <v>0.03</v>
      </c>
      <c r="F249" s="854"/>
    </row>
    <row r="250" spans="1:11" hidden="1" outlineLevel="1" x14ac:dyDescent="0.25">
      <c r="A250" s="854"/>
      <c r="B250" s="394" t="s">
        <v>212</v>
      </c>
      <c r="C250" s="878">
        <v>0.05</v>
      </c>
      <c r="D250" s="876"/>
      <c r="E250" s="875">
        <f>SUM(E235:E249)*C250</f>
        <v>5.6725000000000005E-2</v>
      </c>
      <c r="F250" s="854"/>
    </row>
    <row r="251" spans="1:11" s="19" customFormat="1" ht="15.75" collapsed="1" x14ac:dyDescent="0.25">
      <c r="A251" s="862"/>
      <c r="B251" s="862" t="s">
        <v>48</v>
      </c>
      <c r="C251" s="862"/>
      <c r="D251" s="862"/>
      <c r="E251" s="862"/>
      <c r="F251" s="862"/>
    </row>
    <row r="252" spans="1:11" s="19" customFormat="1" ht="15.75" x14ac:dyDescent="0.25">
      <c r="A252" s="862"/>
      <c r="B252" s="862" t="s">
        <v>49</v>
      </c>
      <c r="C252" s="862">
        <v>5.32</v>
      </c>
      <c r="D252" s="880"/>
      <c r="E252" s="862"/>
      <c r="F252" s="862"/>
    </row>
    <row r="253" spans="1:11" x14ac:dyDescent="0.25">
      <c r="A253" s="854"/>
      <c r="B253" s="861" t="s">
        <v>127</v>
      </c>
      <c r="C253" s="862">
        <f>D14</f>
        <v>1</v>
      </c>
      <c r="D253" s="862" t="s">
        <v>0</v>
      </c>
      <c r="E253" s="854"/>
      <c r="F253" s="854"/>
    </row>
    <row r="254" spans="1:11" s="2" customFormat="1" ht="153" x14ac:dyDescent="0.25">
      <c r="A254" s="854"/>
      <c r="B254" s="394" t="s">
        <v>535</v>
      </c>
      <c r="C254" s="394" t="s">
        <v>1078</v>
      </c>
      <c r="D254" s="864" t="s">
        <v>1074</v>
      </c>
      <c r="E254" s="854"/>
      <c r="F254" s="855">
        <f>(21.43+2.55*C253)*D255*D256*D257*C268*1000</f>
        <v>61551.404351360012</v>
      </c>
      <c r="I254"/>
      <c r="J254"/>
      <c r="K254"/>
    </row>
    <row r="255" spans="1:11" s="3" customFormat="1" x14ac:dyDescent="0.25">
      <c r="A255" s="866"/>
      <c r="B255" s="865" t="s">
        <v>4</v>
      </c>
      <c r="C255" s="865" t="s">
        <v>5</v>
      </c>
      <c r="D255" s="866">
        <v>0.4</v>
      </c>
      <c r="E255" s="866"/>
      <c r="F255" s="866"/>
      <c r="I255"/>
      <c r="J255"/>
      <c r="K255"/>
    </row>
    <row r="256" spans="1:11" ht="38.25" x14ac:dyDescent="0.25">
      <c r="A256" s="854"/>
      <c r="B256" s="394" t="s">
        <v>17</v>
      </c>
      <c r="C256" s="854" t="s">
        <v>18</v>
      </c>
      <c r="D256" s="867">
        <v>1.1000000000000001</v>
      </c>
      <c r="E256" s="854"/>
      <c r="F256" s="854"/>
    </row>
    <row r="257" spans="1:10" ht="76.5" x14ac:dyDescent="0.25">
      <c r="A257" s="854"/>
      <c r="B257" s="394" t="s">
        <v>15</v>
      </c>
      <c r="C257" s="394" t="s">
        <v>1072</v>
      </c>
      <c r="D257" s="854">
        <f>E258/1</f>
        <v>1.0965400000000001</v>
      </c>
      <c r="E257" s="854"/>
      <c r="F257" s="854"/>
    </row>
    <row r="258" spans="1:10" x14ac:dyDescent="0.25">
      <c r="A258" s="854"/>
      <c r="B258" s="390" t="s">
        <v>6</v>
      </c>
      <c r="C258" s="869">
        <f>SUM(C259:C266)</f>
        <v>1.0000000000000002</v>
      </c>
      <c r="D258" s="870"/>
      <c r="E258" s="871">
        <f>SUM(E259:E266)</f>
        <v>1.0965400000000001</v>
      </c>
      <c r="F258" s="872"/>
      <c r="G258" s="9"/>
      <c r="H258" s="9"/>
    </row>
    <row r="259" spans="1:10" hidden="1" outlineLevel="1" x14ac:dyDescent="0.25">
      <c r="A259" s="854"/>
      <c r="B259" s="854" t="s">
        <v>7</v>
      </c>
      <c r="C259" s="873">
        <v>0.23</v>
      </c>
      <c r="D259" s="879">
        <v>1</v>
      </c>
      <c r="E259" s="875">
        <f>C259*1</f>
        <v>0.23</v>
      </c>
      <c r="F259" s="870"/>
      <c r="G259" s="6"/>
      <c r="H259" s="6"/>
    </row>
    <row r="260" spans="1:10" hidden="1" outlineLevel="1" x14ac:dyDescent="0.25">
      <c r="A260" s="854"/>
      <c r="B260" s="854" t="s">
        <v>14</v>
      </c>
      <c r="C260" s="873">
        <v>0.09</v>
      </c>
      <c r="D260" s="854">
        <v>1</v>
      </c>
      <c r="E260" s="875">
        <f>C260*D260</f>
        <v>0.09</v>
      </c>
      <c r="F260" s="854"/>
    </row>
    <row r="261" spans="1:10" hidden="1" outlineLevel="1" x14ac:dyDescent="0.25">
      <c r="A261" s="854"/>
      <c r="B261" s="854" t="s">
        <v>8</v>
      </c>
      <c r="C261" s="873">
        <v>0.13</v>
      </c>
      <c r="D261" s="876">
        <v>1</v>
      </c>
      <c r="E261" s="875">
        <f>C261*D261</f>
        <v>0.13</v>
      </c>
      <c r="F261" s="854"/>
    </row>
    <row r="262" spans="1:10" hidden="1" outlineLevel="1" x14ac:dyDescent="0.25">
      <c r="A262" s="854"/>
      <c r="B262" s="854" t="s">
        <v>9</v>
      </c>
      <c r="C262" s="873">
        <v>0.14000000000000001</v>
      </c>
      <c r="D262" s="876">
        <v>1</v>
      </c>
      <c r="E262" s="875">
        <f>C262*D262</f>
        <v>0.14000000000000001</v>
      </c>
      <c r="F262" s="854"/>
    </row>
    <row r="263" spans="1:10" hidden="1" outlineLevel="1" x14ac:dyDescent="0.25">
      <c r="A263" s="854"/>
      <c r="B263" s="854" t="s">
        <v>10</v>
      </c>
      <c r="C263" s="873">
        <v>0.16</v>
      </c>
      <c r="D263" s="879" t="s">
        <v>16</v>
      </c>
      <c r="E263" s="875">
        <f>C263*(1+0.3)</f>
        <v>0.20800000000000002</v>
      </c>
      <c r="F263" s="870"/>
      <c r="G263" s="6"/>
      <c r="H263" s="6"/>
    </row>
    <row r="264" spans="1:10" hidden="1" outlineLevel="1" x14ac:dyDescent="0.25">
      <c r="A264" s="854"/>
      <c r="B264" s="854" t="s">
        <v>11</v>
      </c>
      <c r="C264" s="873">
        <v>0.09</v>
      </c>
      <c r="D264" s="879" t="s">
        <v>16</v>
      </c>
      <c r="E264" s="875">
        <f>C264*(1+0.3)</f>
        <v>0.11699999999999999</v>
      </c>
      <c r="F264" s="870"/>
      <c r="G264" s="6"/>
      <c r="H264" s="6"/>
    </row>
    <row r="265" spans="1:10" hidden="1" outlineLevel="1" x14ac:dyDescent="0.25">
      <c r="A265" s="854"/>
      <c r="B265" s="854" t="s">
        <v>12</v>
      </c>
      <c r="C265" s="873">
        <v>7.0000000000000007E-2</v>
      </c>
      <c r="D265" s="879" t="s">
        <v>16</v>
      </c>
      <c r="E265" s="875">
        <f>C265*(1+0.3)</f>
        <v>9.1000000000000011E-2</v>
      </c>
      <c r="F265" s="870"/>
      <c r="G265" s="6"/>
      <c r="H265" s="6"/>
    </row>
    <row r="266" spans="1:10" hidden="1" outlineLevel="1" x14ac:dyDescent="0.25">
      <c r="A266" s="854"/>
      <c r="B266" s="854" t="s">
        <v>13</v>
      </c>
      <c r="C266" s="873">
        <v>0.09</v>
      </c>
      <c r="D266" s="854"/>
      <c r="E266" s="881">
        <f>SUM(E259:E265)*C266</f>
        <v>9.0539999999999995E-2</v>
      </c>
      <c r="F266" s="882"/>
      <c r="G266" s="7"/>
      <c r="H266" s="7"/>
      <c r="I266" s="8"/>
    </row>
    <row r="267" spans="1:10" s="19" customFormat="1" ht="15.75" collapsed="1" x14ac:dyDescent="0.25">
      <c r="A267" s="862"/>
      <c r="B267" s="862" t="s">
        <v>48</v>
      </c>
      <c r="C267" s="862"/>
      <c r="D267" s="862"/>
      <c r="E267" s="862"/>
      <c r="F267" s="862"/>
    </row>
    <row r="268" spans="1:10" s="19" customFormat="1" ht="15.75" x14ac:dyDescent="0.25">
      <c r="A268" s="862"/>
      <c r="B268" s="862" t="s">
        <v>49</v>
      </c>
      <c r="C268" s="862">
        <v>5.32</v>
      </c>
      <c r="D268" s="880"/>
      <c r="E268" s="862"/>
      <c r="F268" s="862"/>
    </row>
    <row r="269" spans="1:10" s="36" customFormat="1" ht="38.25" x14ac:dyDescent="0.2">
      <c r="A269" s="894"/>
      <c r="B269" s="891" t="s">
        <v>930</v>
      </c>
      <c r="C269" s="892">
        <v>0.04</v>
      </c>
      <c r="D269" s="893"/>
      <c r="E269" s="894"/>
      <c r="F269" s="855">
        <f>(SUM(F40:F268)-F130)*C269</f>
        <v>155864.87045288188</v>
      </c>
      <c r="G269" s="34"/>
      <c r="H269" s="34"/>
      <c r="I269" s="33"/>
      <c r="J269" s="35"/>
    </row>
    <row r="270" spans="1:10" ht="15.75" x14ac:dyDescent="0.25">
      <c r="A270" s="854"/>
      <c r="B270" s="390" t="s">
        <v>50</v>
      </c>
      <c r="C270" s="854"/>
      <c r="D270" s="854"/>
      <c r="E270" s="854"/>
      <c r="F270" s="859">
        <f>SUM(F32:F269)</f>
        <v>4812182.6317749284</v>
      </c>
    </row>
    <row r="271" spans="1:10" x14ac:dyDescent="0.25">
      <c r="A271" s="854"/>
      <c r="B271" s="390" t="s">
        <v>51</v>
      </c>
      <c r="C271" s="854"/>
      <c r="D271" s="854"/>
      <c r="E271" s="854"/>
      <c r="F271" s="906">
        <f>F270*0.2</f>
        <v>962436.52635498578</v>
      </c>
    </row>
    <row r="272" spans="1:10" ht="15.75" x14ac:dyDescent="0.25">
      <c r="A272" s="854"/>
      <c r="B272" s="390" t="s">
        <v>52</v>
      </c>
      <c r="C272" s="854"/>
      <c r="D272" s="854"/>
      <c r="E272" s="854"/>
      <c r="F272" s="859">
        <f>SUM(F270:F271)</f>
        <v>5774619.1581299137</v>
      </c>
    </row>
    <row r="273" spans="1:6" x14ac:dyDescent="0.25">
      <c r="A273" s="374"/>
      <c r="B273" s="374"/>
      <c r="C273" s="374"/>
      <c r="D273" s="374"/>
      <c r="E273" s="374"/>
      <c r="F273" s="374"/>
    </row>
    <row r="274" spans="1:6" x14ac:dyDescent="0.25">
      <c r="A274" s="374"/>
      <c r="B274" s="374"/>
      <c r="C274" s="374"/>
      <c r="D274" s="374"/>
      <c r="E274" s="374"/>
      <c r="F274" s="374"/>
    </row>
    <row r="275" spans="1:6" x14ac:dyDescent="0.25">
      <c r="A275" s="374"/>
      <c r="B275" s="374"/>
      <c r="C275" s="374"/>
      <c r="D275" s="374"/>
      <c r="E275" s="374"/>
      <c r="F275" s="374"/>
    </row>
    <row r="276" spans="1:6" x14ac:dyDescent="0.25">
      <c r="A276" s="374"/>
      <c r="B276" s="374"/>
      <c r="C276" s="374"/>
      <c r="D276" s="374"/>
      <c r="E276" s="374"/>
      <c r="F276" s="374"/>
    </row>
  </sheetData>
  <mergeCells count="8">
    <mergeCell ref="B28:F28"/>
    <mergeCell ref="A17:C17"/>
    <mergeCell ref="A20:F20"/>
    <mergeCell ref="A21:F21"/>
    <mergeCell ref="A23:B23"/>
    <mergeCell ref="C23:F23"/>
    <mergeCell ref="A25:B25"/>
    <mergeCell ref="A27:B27"/>
  </mergeCells>
  <pageMargins left="0.7" right="0.7" top="0.75" bottom="0.75" header="0.3" footer="0.3"/>
  <pageSetup paperSize="9" scale="51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9"/>
  <sheetViews>
    <sheetView view="pageBreakPreview" topLeftCell="A19" zoomScaleNormal="100" zoomScaleSheetLayoutView="100" workbookViewId="0">
      <selection activeCell="H30" sqref="H30"/>
    </sheetView>
  </sheetViews>
  <sheetFormatPr defaultRowHeight="15" outlineLevelRow="2" x14ac:dyDescent="0.25"/>
  <cols>
    <col min="2" max="2" width="54.140625" customWidth="1"/>
    <col min="3" max="3" width="40.85546875" customWidth="1"/>
    <col min="4" max="4" width="27.7109375" customWidth="1"/>
    <col min="5" max="5" width="16.85546875" customWidth="1"/>
    <col min="6" max="6" width="18.5703125" customWidth="1"/>
    <col min="7" max="7" width="19.42578125" customWidth="1"/>
  </cols>
  <sheetData>
    <row r="1" spans="1:9" ht="15.75" hidden="1" x14ac:dyDescent="0.25">
      <c r="A1" s="307"/>
      <c r="B1" s="1251" t="s">
        <v>155</v>
      </c>
      <c r="C1" s="1251"/>
      <c r="D1" s="1251"/>
      <c r="E1" s="1252"/>
      <c r="F1" s="308"/>
    </row>
    <row r="2" spans="1:9" ht="16.5" hidden="1" thickBot="1" x14ac:dyDescent="0.3">
      <c r="A2" s="301" t="s">
        <v>156</v>
      </c>
      <c r="B2" s="302" t="s">
        <v>65</v>
      </c>
      <c r="C2" s="303" t="s">
        <v>0</v>
      </c>
      <c r="D2" s="304">
        <v>4.7</v>
      </c>
      <c r="E2" s="309"/>
      <c r="F2" s="40"/>
    </row>
    <row r="3" spans="1:9" ht="16.5" hidden="1" thickBot="1" x14ac:dyDescent="0.3">
      <c r="A3" s="301" t="s">
        <v>157</v>
      </c>
      <c r="B3" s="302" t="s">
        <v>158</v>
      </c>
      <c r="C3" s="303" t="s">
        <v>622</v>
      </c>
      <c r="D3" s="304">
        <v>1</v>
      </c>
      <c r="E3" s="305" t="s">
        <v>623</v>
      </c>
      <c r="F3" s="40" t="s">
        <v>288</v>
      </c>
    </row>
    <row r="4" spans="1:9" ht="16.5" hidden="1" thickBot="1" x14ac:dyDescent="0.3">
      <c r="A4" s="301" t="s">
        <v>159</v>
      </c>
      <c r="B4" s="302" t="s">
        <v>161</v>
      </c>
      <c r="C4" s="303" t="s">
        <v>211</v>
      </c>
      <c r="D4" s="304">
        <v>1</v>
      </c>
      <c r="E4" s="305" t="s">
        <v>623</v>
      </c>
      <c r="F4" s="40" t="s">
        <v>288</v>
      </c>
    </row>
    <row r="5" spans="1:9" ht="16.5" hidden="1" thickBot="1" x14ac:dyDescent="0.3">
      <c r="A5" s="301" t="s">
        <v>160</v>
      </c>
      <c r="B5" s="302" t="s">
        <v>163</v>
      </c>
      <c r="C5" s="303" t="s">
        <v>622</v>
      </c>
      <c r="D5" s="304">
        <v>1</v>
      </c>
      <c r="E5" s="305" t="s">
        <v>624</v>
      </c>
      <c r="F5" s="40" t="s">
        <v>288</v>
      </c>
    </row>
    <row r="6" spans="1:9" ht="95.25" hidden="1" thickBot="1" x14ac:dyDescent="0.3">
      <c r="A6" s="301" t="s">
        <v>162</v>
      </c>
      <c r="B6" s="302" t="s">
        <v>71</v>
      </c>
      <c r="C6" s="303"/>
      <c r="D6" s="304"/>
      <c r="E6" s="305" t="s">
        <v>625</v>
      </c>
      <c r="F6" s="40" t="s">
        <v>256</v>
      </c>
      <c r="G6" t="s">
        <v>626</v>
      </c>
    </row>
    <row r="7" spans="1:9" ht="15.75" hidden="1" customHeight="1" thickBot="1" x14ac:dyDescent="0.3">
      <c r="A7" s="301" t="s">
        <v>627</v>
      </c>
      <c r="B7" s="302" t="s">
        <v>628</v>
      </c>
      <c r="C7" s="303" t="s">
        <v>211</v>
      </c>
      <c r="D7" s="304">
        <v>6</v>
      </c>
      <c r="E7" s="305"/>
      <c r="F7" s="40"/>
    </row>
    <row r="8" spans="1:9" ht="32.25" hidden="1" thickBot="1" x14ac:dyDescent="0.3">
      <c r="A8" s="307" t="s">
        <v>629</v>
      </c>
      <c r="B8" s="310" t="s">
        <v>630</v>
      </c>
      <c r="C8" s="311" t="s">
        <v>211</v>
      </c>
      <c r="D8" s="312"/>
      <c r="E8" s="305"/>
      <c r="F8" s="40"/>
    </row>
    <row r="9" spans="1:9" ht="16.5" hidden="1" thickBot="1" x14ac:dyDescent="0.3">
      <c r="A9" s="301" t="s">
        <v>631</v>
      </c>
      <c r="B9" s="302" t="s">
        <v>632</v>
      </c>
      <c r="C9" s="303" t="s">
        <v>211</v>
      </c>
      <c r="D9" s="304">
        <v>2</v>
      </c>
      <c r="E9" s="305"/>
      <c r="F9" s="40"/>
    </row>
    <row r="10" spans="1:9" ht="16.5" hidden="1" thickBot="1" x14ac:dyDescent="0.3">
      <c r="A10" s="301" t="s">
        <v>633</v>
      </c>
      <c r="B10" s="302" t="s">
        <v>634</v>
      </c>
      <c r="C10" s="303" t="s">
        <v>211</v>
      </c>
      <c r="D10" s="304">
        <v>4</v>
      </c>
      <c r="E10" s="305"/>
      <c r="F10" s="40"/>
    </row>
    <row r="11" spans="1:9" ht="16.5" hidden="1" thickBot="1" x14ac:dyDescent="0.3">
      <c r="A11" s="301" t="s">
        <v>164</v>
      </c>
      <c r="B11" s="302" t="s">
        <v>79</v>
      </c>
      <c r="C11" s="303" t="s">
        <v>211</v>
      </c>
      <c r="D11" s="304">
        <v>20</v>
      </c>
      <c r="E11" s="305" t="s">
        <v>635</v>
      </c>
      <c r="F11" s="40" t="s">
        <v>254</v>
      </c>
    </row>
    <row r="12" spans="1:9" ht="16.5" hidden="1" thickBot="1" x14ac:dyDescent="0.3">
      <c r="A12" s="301" t="s">
        <v>165</v>
      </c>
      <c r="B12" s="302" t="s">
        <v>82</v>
      </c>
      <c r="C12" s="313" t="s">
        <v>636</v>
      </c>
      <c r="D12" s="314" t="s">
        <v>637</v>
      </c>
      <c r="E12" s="305" t="s">
        <v>635</v>
      </c>
      <c r="F12" s="40" t="s">
        <v>254</v>
      </c>
      <c r="G12" t="s">
        <v>638</v>
      </c>
    </row>
    <row r="13" spans="1:9" ht="15.75" hidden="1" x14ac:dyDescent="0.25">
      <c r="A13" s="301" t="s">
        <v>166</v>
      </c>
      <c r="B13" s="302" t="s">
        <v>73</v>
      </c>
      <c r="C13" s="303" t="s">
        <v>620</v>
      </c>
      <c r="D13" s="304">
        <v>550</v>
      </c>
      <c r="E13" s="305"/>
      <c r="F13" s="306"/>
    </row>
    <row r="14" spans="1:9" hidden="1" x14ac:dyDescent="0.25"/>
    <row r="15" spans="1:9" s="828" customFormat="1" ht="27" customHeight="1" x14ac:dyDescent="0.25">
      <c r="A15" s="1254" t="s">
        <v>2397</v>
      </c>
      <c r="B15" s="1254"/>
      <c r="C15" s="1254"/>
      <c r="E15" s="835"/>
      <c r="F15" s="835" t="s">
        <v>2398</v>
      </c>
      <c r="G15" s="835"/>
      <c r="H15" s="835"/>
      <c r="I15" s="835"/>
    </row>
    <row r="16" spans="1:9" s="831" customFormat="1" x14ac:dyDescent="0.25">
      <c r="A16" s="829"/>
      <c r="B16" s="829"/>
      <c r="C16" s="829"/>
      <c r="D16" s="830"/>
      <c r="E16" s="830"/>
      <c r="F16" s="830"/>
      <c r="G16" s="830"/>
      <c r="H16" s="830"/>
      <c r="I16" s="830"/>
    </row>
    <row r="17" spans="1:11" s="831" customFormat="1" x14ac:dyDescent="0.25">
      <c r="A17" s="829"/>
      <c r="B17" s="829"/>
      <c r="C17" s="829"/>
      <c r="D17" s="830"/>
      <c r="E17" s="830"/>
      <c r="F17" s="830"/>
      <c r="G17" s="830"/>
      <c r="H17" s="830"/>
      <c r="I17" s="830"/>
    </row>
    <row r="18" spans="1:11" s="828" customFormat="1" ht="28.5" customHeight="1" x14ac:dyDescent="0.25">
      <c r="A18" s="1255" t="s">
        <v>2415</v>
      </c>
      <c r="B18" s="1255"/>
      <c r="C18" s="1255"/>
      <c r="D18" s="1255"/>
      <c r="E18" s="1255"/>
      <c r="F18" s="1255"/>
      <c r="G18" s="836"/>
      <c r="H18" s="836"/>
      <c r="I18" s="836"/>
    </row>
    <row r="19" spans="1:11" s="839" customFormat="1" ht="15.75" x14ac:dyDescent="0.25">
      <c r="A19" s="1256" t="s">
        <v>1112</v>
      </c>
      <c r="B19" s="1256"/>
      <c r="C19" s="1256"/>
      <c r="D19" s="1256"/>
      <c r="E19" s="1256"/>
      <c r="F19" s="1256"/>
      <c r="G19" s="838"/>
      <c r="H19" s="838"/>
      <c r="I19" s="838"/>
    </row>
    <row r="20" spans="1:11" s="828" customFormat="1" ht="15.75" x14ac:dyDescent="0.25">
      <c r="A20" s="840"/>
      <c r="B20" s="840"/>
      <c r="C20" s="840"/>
      <c r="D20" s="841"/>
      <c r="E20" s="841"/>
      <c r="F20" s="841"/>
      <c r="G20" s="829"/>
      <c r="H20" s="832"/>
      <c r="I20" s="832"/>
    </row>
    <row r="21" spans="1:11" s="828" customFormat="1" ht="81" customHeight="1" x14ac:dyDescent="0.25">
      <c r="A21" s="1258" t="s">
        <v>2399</v>
      </c>
      <c r="B21" s="1258"/>
      <c r="C21" s="1257" t="s">
        <v>2416</v>
      </c>
      <c r="D21" s="1257"/>
      <c r="E21" s="1257"/>
      <c r="F21" s="1257"/>
      <c r="G21" s="837"/>
      <c r="H21" s="837"/>
      <c r="I21" s="837"/>
    </row>
    <row r="22" spans="1:11" s="828" customFormat="1" ht="15.75" x14ac:dyDescent="0.25">
      <c r="A22" s="842"/>
      <c r="B22" s="842"/>
      <c r="C22" s="842"/>
      <c r="D22" s="840"/>
      <c r="E22" s="840"/>
      <c r="F22" s="840"/>
      <c r="G22" s="832"/>
      <c r="H22" s="832"/>
      <c r="I22" s="832"/>
    </row>
    <row r="23" spans="1:11" s="828" customFormat="1" ht="41.25" customHeight="1" x14ac:dyDescent="0.25">
      <c r="A23" s="1253" t="s">
        <v>1203</v>
      </c>
      <c r="B23" s="1253"/>
      <c r="C23" s="843"/>
      <c r="D23" s="843"/>
      <c r="E23" s="843"/>
      <c r="F23" s="843"/>
      <c r="G23" s="833"/>
      <c r="H23" s="833"/>
      <c r="I23" s="833"/>
    </row>
    <row r="24" spans="1:11" s="828" customFormat="1" ht="15.75" x14ac:dyDescent="0.25">
      <c r="A24" s="840"/>
      <c r="B24" s="840"/>
      <c r="C24" s="840"/>
      <c r="D24" s="840"/>
      <c r="E24" s="840"/>
      <c r="F24" s="840"/>
      <c r="G24" s="832"/>
      <c r="H24" s="832"/>
      <c r="I24" s="832"/>
    </row>
    <row r="25" spans="1:11" s="828" customFormat="1" ht="30" customHeight="1" x14ac:dyDescent="0.25">
      <c r="A25" s="1253" t="s">
        <v>2400</v>
      </c>
      <c r="B25" s="1253"/>
      <c r="C25" s="843" t="s">
        <v>2403</v>
      </c>
      <c r="D25" s="843"/>
      <c r="E25" s="843"/>
      <c r="F25" s="843"/>
      <c r="G25" s="833"/>
      <c r="H25" s="833"/>
      <c r="I25" s="833"/>
    </row>
    <row r="26" spans="1:11" s="365" customFormat="1" x14ac:dyDescent="0.25"/>
    <row r="27" spans="1:11" s="294" customFormat="1" ht="38.25" x14ac:dyDescent="0.25">
      <c r="A27" s="298" t="s">
        <v>529</v>
      </c>
      <c r="B27" s="298" t="s">
        <v>528</v>
      </c>
      <c r="C27" s="298" t="s">
        <v>527</v>
      </c>
      <c r="D27" s="271" t="s">
        <v>526</v>
      </c>
      <c r="E27" s="377"/>
      <c r="F27" s="298" t="s">
        <v>525</v>
      </c>
    </row>
    <row r="28" spans="1:11" s="268" customFormat="1" ht="12.75" x14ac:dyDescent="0.2">
      <c r="A28" s="298">
        <v>1</v>
      </c>
      <c r="B28" s="298">
        <v>2</v>
      </c>
      <c r="C28" s="298">
        <v>3</v>
      </c>
      <c r="D28" s="298">
        <v>4</v>
      </c>
      <c r="E28" s="298"/>
      <c r="F28" s="298">
        <v>5</v>
      </c>
      <c r="G28" s="295"/>
    </row>
    <row r="29" spans="1:11" x14ac:dyDescent="0.25">
      <c r="A29" s="854"/>
      <c r="B29" s="861" t="str">
        <f>B3</f>
        <v>Площадка для игр</v>
      </c>
      <c r="C29" s="862">
        <v>1</v>
      </c>
      <c r="D29" s="862" t="s">
        <v>214</v>
      </c>
      <c r="E29" s="854"/>
      <c r="F29" s="854"/>
    </row>
    <row r="30" spans="1:11" s="2" customFormat="1" ht="51" x14ac:dyDescent="0.25">
      <c r="A30" s="854"/>
      <c r="B30" s="854" t="s">
        <v>959</v>
      </c>
      <c r="C30" s="394" t="s">
        <v>294</v>
      </c>
      <c r="D30" s="394" t="s">
        <v>295</v>
      </c>
      <c r="E30" s="854"/>
      <c r="F30" s="855">
        <f>7.05*C29*D32*D31*D33*C53*1000</f>
        <v>4526.8241760000028</v>
      </c>
      <c r="G30" s="37"/>
      <c r="H30" s="37"/>
      <c r="I30"/>
      <c r="J30"/>
      <c r="K30"/>
    </row>
    <row r="31" spans="1:11" s="3" customFormat="1" x14ac:dyDescent="0.25">
      <c r="A31" s="866"/>
      <c r="B31" s="865" t="s">
        <v>4</v>
      </c>
      <c r="C31" s="865" t="s">
        <v>5</v>
      </c>
      <c r="D31" s="866">
        <v>0.4</v>
      </c>
      <c r="E31" s="866"/>
      <c r="F31" s="866"/>
      <c r="I31"/>
      <c r="J31"/>
      <c r="K31"/>
    </row>
    <row r="32" spans="1:11" ht="102" x14ac:dyDescent="0.25">
      <c r="A32" s="854"/>
      <c r="B32" s="394" t="s">
        <v>310</v>
      </c>
      <c r="C32" s="394" t="s">
        <v>311</v>
      </c>
      <c r="D32" s="854">
        <v>0.25</v>
      </c>
      <c r="E32" s="854"/>
      <c r="F32" s="854"/>
    </row>
    <row r="33" spans="1:9" ht="89.25" x14ac:dyDescent="0.25">
      <c r="A33" s="854"/>
      <c r="B33" s="394" t="s">
        <v>15</v>
      </c>
      <c r="C33" s="394" t="s">
        <v>215</v>
      </c>
      <c r="D33" s="854">
        <f>E34/1</f>
        <v>1.2069600000000005</v>
      </c>
      <c r="E33" s="854"/>
      <c r="F33" s="854"/>
    </row>
    <row r="34" spans="1:9" x14ac:dyDescent="0.25">
      <c r="A34" s="854"/>
      <c r="B34" s="390" t="s">
        <v>6</v>
      </c>
      <c r="C34" s="869">
        <f>SUM(C35:C51)</f>
        <v>1.0000000000000002</v>
      </c>
      <c r="D34" s="870"/>
      <c r="E34" s="871">
        <f>SUM(E35:E51)</f>
        <v>1.2069600000000005</v>
      </c>
      <c r="F34" s="872"/>
      <c r="G34" s="9"/>
      <c r="H34" s="9"/>
    </row>
    <row r="35" spans="1:9" hidden="1" outlineLevel="1" x14ac:dyDescent="0.25">
      <c r="A35" s="854"/>
      <c r="B35" s="394" t="s">
        <v>20</v>
      </c>
      <c r="C35" s="873">
        <v>0.02</v>
      </c>
      <c r="D35" s="879">
        <v>1</v>
      </c>
      <c r="E35" s="875">
        <f>C35*D35</f>
        <v>0.02</v>
      </c>
      <c r="F35" s="870"/>
      <c r="G35" s="6"/>
      <c r="H35" s="6"/>
    </row>
    <row r="36" spans="1:9" hidden="1" outlineLevel="1" x14ac:dyDescent="0.25">
      <c r="A36" s="854"/>
      <c r="B36" s="394" t="s">
        <v>21</v>
      </c>
      <c r="C36" s="873">
        <v>0.04</v>
      </c>
      <c r="D36" s="854">
        <v>1</v>
      </c>
      <c r="E36" s="875">
        <f>C36*D36</f>
        <v>0.04</v>
      </c>
      <c r="F36" s="854"/>
    </row>
    <row r="37" spans="1:9" hidden="1" outlineLevel="1" x14ac:dyDescent="0.25">
      <c r="A37" s="854"/>
      <c r="B37" s="394" t="s">
        <v>22</v>
      </c>
      <c r="C37" s="873">
        <v>0.14000000000000001</v>
      </c>
      <c r="D37" s="879" t="s">
        <v>16</v>
      </c>
      <c r="E37" s="875">
        <f>C37*(1+0.3)</f>
        <v>0.18200000000000002</v>
      </c>
      <c r="F37" s="854"/>
    </row>
    <row r="38" spans="1:9" hidden="1" outlineLevel="1" x14ac:dyDescent="0.25">
      <c r="A38" s="854"/>
      <c r="B38" s="394" t="s">
        <v>23</v>
      </c>
      <c r="C38" s="873">
        <v>0.15</v>
      </c>
      <c r="D38" s="879" t="s">
        <v>16</v>
      </c>
      <c r="E38" s="875">
        <f>C38*(1+0.3)</f>
        <v>0.19500000000000001</v>
      </c>
      <c r="F38" s="854"/>
    </row>
    <row r="39" spans="1:9" ht="25.5" hidden="1" outlineLevel="1" x14ac:dyDescent="0.25">
      <c r="A39" s="854"/>
      <c r="B39" s="394" t="s">
        <v>36</v>
      </c>
      <c r="C39" s="873"/>
      <c r="D39" s="879"/>
      <c r="E39" s="875">
        <f>C39*(1+0.3)</f>
        <v>0</v>
      </c>
      <c r="F39" s="870"/>
      <c r="G39" s="6"/>
      <c r="H39" s="6"/>
    </row>
    <row r="40" spans="1:9" hidden="1" outlineLevel="1" x14ac:dyDescent="0.25">
      <c r="A40" s="854"/>
      <c r="B40" s="877" t="s">
        <v>37</v>
      </c>
      <c r="C40" s="873">
        <v>7.0000000000000007E-2</v>
      </c>
      <c r="D40" s="879" t="s">
        <v>16</v>
      </c>
      <c r="E40" s="875">
        <f>C40*(1+0.3)</f>
        <v>9.1000000000000011E-2</v>
      </c>
      <c r="F40" s="870"/>
      <c r="G40" s="6"/>
      <c r="H40" s="6"/>
    </row>
    <row r="41" spans="1:9" hidden="1" outlineLevel="1" x14ac:dyDescent="0.25">
      <c r="A41" s="854"/>
      <c r="B41" s="877" t="s">
        <v>38</v>
      </c>
      <c r="C41" s="873">
        <v>0.04</v>
      </c>
      <c r="D41" s="879" t="s">
        <v>16</v>
      </c>
      <c r="E41" s="875">
        <f t="shared" ref="E41:E46" si="0">C41*(1+0.3)</f>
        <v>5.2000000000000005E-2</v>
      </c>
      <c r="F41" s="870"/>
      <c r="G41" s="6"/>
      <c r="H41" s="6"/>
    </row>
    <row r="42" spans="1:9" hidden="1" outlineLevel="1" x14ac:dyDescent="0.25">
      <c r="A42" s="854"/>
      <c r="B42" s="877" t="s">
        <v>39</v>
      </c>
      <c r="C42" s="873">
        <v>0.04</v>
      </c>
      <c r="D42" s="879" t="s">
        <v>16</v>
      </c>
      <c r="E42" s="875">
        <f t="shared" si="0"/>
        <v>5.2000000000000005E-2</v>
      </c>
      <c r="F42" s="882"/>
      <c r="G42" s="7"/>
      <c r="H42" s="7"/>
      <c r="I42" s="8"/>
    </row>
    <row r="43" spans="1:9" hidden="1" outlineLevel="1" x14ac:dyDescent="0.25">
      <c r="A43" s="854"/>
      <c r="B43" s="877" t="s">
        <v>40</v>
      </c>
      <c r="C43" s="873">
        <v>0.12</v>
      </c>
      <c r="D43" s="879" t="s">
        <v>16</v>
      </c>
      <c r="E43" s="875">
        <f t="shared" si="0"/>
        <v>0.156</v>
      </c>
      <c r="F43" s="870"/>
      <c r="G43" s="6"/>
      <c r="H43" s="6"/>
    </row>
    <row r="44" spans="1:9" hidden="1" outlineLevel="1" x14ac:dyDescent="0.25">
      <c r="A44" s="854"/>
      <c r="B44" s="877" t="s">
        <v>41</v>
      </c>
      <c r="C44" s="873">
        <v>0.03</v>
      </c>
      <c r="D44" s="879" t="s">
        <v>16</v>
      </c>
      <c r="E44" s="875">
        <f t="shared" si="0"/>
        <v>3.9E-2</v>
      </c>
      <c r="F44" s="854"/>
    </row>
    <row r="45" spans="1:9" hidden="1" outlineLevel="1" x14ac:dyDescent="0.25">
      <c r="A45" s="854"/>
      <c r="B45" s="877" t="s">
        <v>42</v>
      </c>
      <c r="C45" s="873">
        <v>0.02</v>
      </c>
      <c r="D45" s="879" t="s">
        <v>16</v>
      </c>
      <c r="E45" s="875">
        <f t="shared" si="0"/>
        <v>2.6000000000000002E-2</v>
      </c>
      <c r="F45" s="854"/>
    </row>
    <row r="46" spans="1:9" hidden="1" outlineLevel="1" x14ac:dyDescent="0.25">
      <c r="A46" s="854"/>
      <c r="B46" s="877" t="s">
        <v>43</v>
      </c>
      <c r="C46" s="873">
        <v>0.05</v>
      </c>
      <c r="D46" s="879" t="s">
        <v>16</v>
      </c>
      <c r="E46" s="875">
        <f t="shared" si="0"/>
        <v>6.5000000000000002E-2</v>
      </c>
      <c r="F46" s="854"/>
    </row>
    <row r="47" spans="1:9" hidden="1" outlineLevel="1" x14ac:dyDescent="0.25">
      <c r="A47" s="854"/>
      <c r="B47" s="394" t="s">
        <v>30</v>
      </c>
      <c r="C47" s="873">
        <v>0.06</v>
      </c>
      <c r="D47" s="879">
        <v>1</v>
      </c>
      <c r="E47" s="875">
        <f>C47*D47</f>
        <v>0.06</v>
      </c>
      <c r="F47" s="870"/>
      <c r="G47" s="6"/>
      <c r="H47" s="6"/>
    </row>
    <row r="48" spans="1:9" hidden="1" outlineLevel="1" x14ac:dyDescent="0.25">
      <c r="A48" s="854"/>
      <c r="B48" s="394" t="s">
        <v>44</v>
      </c>
      <c r="C48" s="873">
        <v>7.0000000000000007E-2</v>
      </c>
      <c r="D48" s="879">
        <v>1</v>
      </c>
      <c r="E48" s="875">
        <f>C48*D48</f>
        <v>7.0000000000000007E-2</v>
      </c>
      <c r="F48" s="882"/>
      <c r="G48" s="7"/>
      <c r="H48" s="7"/>
      <c r="I48" s="8"/>
    </row>
    <row r="49" spans="1:11" hidden="1" outlineLevel="1" x14ac:dyDescent="0.25">
      <c r="A49" s="854"/>
      <c r="B49" s="394" t="s">
        <v>32</v>
      </c>
      <c r="C49" s="873">
        <v>0.06</v>
      </c>
      <c r="D49" s="879">
        <v>1</v>
      </c>
      <c r="E49" s="875">
        <f>C49*D49</f>
        <v>0.06</v>
      </c>
      <c r="F49" s="870"/>
      <c r="G49" s="6"/>
      <c r="H49" s="6"/>
    </row>
    <row r="50" spans="1:11" hidden="1" outlineLevel="1" x14ac:dyDescent="0.25">
      <c r="A50" s="854"/>
      <c r="B50" s="394" t="s">
        <v>45</v>
      </c>
      <c r="C50" s="873">
        <v>0.02</v>
      </c>
      <c r="D50" s="879">
        <v>1</v>
      </c>
      <c r="E50" s="875">
        <f>C50*D50</f>
        <v>0.02</v>
      </c>
      <c r="F50" s="854"/>
    </row>
    <row r="51" spans="1:11" hidden="1" outlineLevel="1" x14ac:dyDescent="0.25">
      <c r="A51" s="854"/>
      <c r="B51" s="854" t="s">
        <v>13</v>
      </c>
      <c r="C51" s="873">
        <v>7.0000000000000007E-2</v>
      </c>
      <c r="D51" s="854"/>
      <c r="E51" s="881">
        <f>SUM(E35:E50)*C51</f>
        <v>7.896000000000003E-2</v>
      </c>
      <c r="F51" s="882"/>
      <c r="G51" s="7"/>
      <c r="H51" s="7"/>
      <c r="I51" s="8"/>
    </row>
    <row r="52" spans="1:11" s="19" customFormat="1" ht="15.75" collapsed="1" x14ac:dyDescent="0.25">
      <c r="A52" s="862"/>
      <c r="B52" s="862" t="s">
        <v>48</v>
      </c>
      <c r="C52" s="862"/>
      <c r="D52" s="862"/>
      <c r="E52" s="862"/>
      <c r="F52" s="862"/>
    </row>
    <row r="53" spans="1:11" s="19" customFormat="1" ht="15.75" x14ac:dyDescent="0.25">
      <c r="A53" s="862"/>
      <c r="B53" s="862" t="s">
        <v>49</v>
      </c>
      <c r="C53" s="862">
        <v>5.32</v>
      </c>
      <c r="D53" s="880"/>
      <c r="E53" s="862"/>
      <c r="F53" s="862"/>
    </row>
    <row r="54" spans="1:11" hidden="1" outlineLevel="1" x14ac:dyDescent="0.25">
      <c r="A54" s="854"/>
      <c r="B54" s="861" t="s">
        <v>976</v>
      </c>
      <c r="C54" s="862">
        <v>0</v>
      </c>
      <c r="D54" s="862" t="s">
        <v>214</v>
      </c>
      <c r="E54" s="854"/>
      <c r="F54" s="854"/>
    </row>
    <row r="55" spans="1:11" s="2" customFormat="1" ht="38.25" hidden="1" outlineLevel="1" x14ac:dyDescent="0.25">
      <c r="A55" s="854"/>
      <c r="B55" s="394" t="s">
        <v>961</v>
      </c>
      <c r="C55" s="394" t="s">
        <v>960</v>
      </c>
      <c r="D55" s="394" t="s">
        <v>299</v>
      </c>
      <c r="E55" s="854"/>
      <c r="F55" s="855">
        <f>26.81*D57*C54*D56*D58*C78*1000</f>
        <v>0</v>
      </c>
      <c r="G55" s="39"/>
      <c r="H55" s="37"/>
      <c r="I55"/>
      <c r="J55"/>
      <c r="K55"/>
    </row>
    <row r="56" spans="1:11" s="3" customFormat="1" hidden="1" outlineLevel="1" x14ac:dyDescent="0.25">
      <c r="A56" s="866"/>
      <c r="B56" s="865" t="s">
        <v>4</v>
      </c>
      <c r="C56" s="865" t="s">
        <v>5</v>
      </c>
      <c r="D56" s="866">
        <v>0.4</v>
      </c>
      <c r="E56" s="866"/>
      <c r="F56" s="866"/>
      <c r="I56"/>
      <c r="J56"/>
      <c r="K56"/>
    </row>
    <row r="57" spans="1:11" ht="102" hidden="1" outlineLevel="1" x14ac:dyDescent="0.25">
      <c r="A57" s="854"/>
      <c r="B57" s="394" t="s">
        <v>310</v>
      </c>
      <c r="C57" s="394" t="s">
        <v>311</v>
      </c>
      <c r="D57" s="854">
        <v>0.25</v>
      </c>
      <c r="E57" s="854"/>
      <c r="F57" s="854"/>
    </row>
    <row r="58" spans="1:11" ht="89.25" hidden="1" outlineLevel="1" x14ac:dyDescent="0.25">
      <c r="A58" s="854"/>
      <c r="B58" s="394" t="s">
        <v>15</v>
      </c>
      <c r="C58" s="394" t="s">
        <v>215</v>
      </c>
      <c r="D58" s="854">
        <f>E59/1</f>
        <v>1.2069600000000005</v>
      </c>
      <c r="E58" s="854"/>
      <c r="F58" s="854"/>
    </row>
    <row r="59" spans="1:11" hidden="1" outlineLevel="1" x14ac:dyDescent="0.25">
      <c r="A59" s="854"/>
      <c r="B59" s="390" t="s">
        <v>6</v>
      </c>
      <c r="C59" s="869">
        <f>SUM(C60:C76)</f>
        <v>1.0000000000000002</v>
      </c>
      <c r="D59" s="870"/>
      <c r="E59" s="871">
        <f>SUM(E60:E76)</f>
        <v>1.2069600000000005</v>
      </c>
      <c r="F59" s="872"/>
      <c r="G59" s="9"/>
      <c r="H59" s="9"/>
    </row>
    <row r="60" spans="1:11" hidden="1" outlineLevel="2" x14ac:dyDescent="0.25">
      <c r="A60" s="854"/>
      <c r="B60" s="394" t="s">
        <v>20</v>
      </c>
      <c r="C60" s="873">
        <v>0.02</v>
      </c>
      <c r="D60" s="879">
        <v>1</v>
      </c>
      <c r="E60" s="875">
        <f>C60*D60</f>
        <v>0.02</v>
      </c>
      <c r="F60" s="870"/>
      <c r="G60" s="6"/>
      <c r="H60" s="6"/>
    </row>
    <row r="61" spans="1:11" hidden="1" outlineLevel="2" x14ac:dyDescent="0.25">
      <c r="A61" s="854"/>
      <c r="B61" s="394" t="s">
        <v>21</v>
      </c>
      <c r="C61" s="873">
        <v>0.04</v>
      </c>
      <c r="D61" s="854">
        <v>1</v>
      </c>
      <c r="E61" s="875">
        <f>C61*D61</f>
        <v>0.04</v>
      </c>
      <c r="F61" s="854"/>
    </row>
    <row r="62" spans="1:11" hidden="1" outlineLevel="2" x14ac:dyDescent="0.25">
      <c r="A62" s="854"/>
      <c r="B62" s="394" t="s">
        <v>22</v>
      </c>
      <c r="C62" s="873">
        <v>0.14000000000000001</v>
      </c>
      <c r="D62" s="879" t="s">
        <v>16</v>
      </c>
      <c r="E62" s="875">
        <f>C62*(1+0.3)</f>
        <v>0.18200000000000002</v>
      </c>
      <c r="F62" s="854"/>
    </row>
    <row r="63" spans="1:11" hidden="1" outlineLevel="2" x14ac:dyDescent="0.25">
      <c r="A63" s="854"/>
      <c r="B63" s="394" t="s">
        <v>23</v>
      </c>
      <c r="C63" s="873">
        <v>0.15</v>
      </c>
      <c r="D63" s="879" t="s">
        <v>16</v>
      </c>
      <c r="E63" s="875">
        <f>C63*(1+0.3)</f>
        <v>0.19500000000000001</v>
      </c>
      <c r="F63" s="854"/>
    </row>
    <row r="64" spans="1:11" ht="25.5" hidden="1" outlineLevel="2" x14ac:dyDescent="0.25">
      <c r="A64" s="854"/>
      <c r="B64" s="394" t="s">
        <v>36</v>
      </c>
      <c r="C64" s="873"/>
      <c r="D64" s="879"/>
      <c r="E64" s="875">
        <f>C64*(1+0.3)</f>
        <v>0</v>
      </c>
      <c r="F64" s="870"/>
      <c r="G64" s="6"/>
      <c r="H64" s="6"/>
    </row>
    <row r="65" spans="1:11" hidden="1" outlineLevel="2" x14ac:dyDescent="0.25">
      <c r="A65" s="854"/>
      <c r="B65" s="877" t="s">
        <v>37</v>
      </c>
      <c r="C65" s="873">
        <v>7.0000000000000007E-2</v>
      </c>
      <c r="D65" s="879" t="s">
        <v>16</v>
      </c>
      <c r="E65" s="875">
        <f>C65*(1+0.3)</f>
        <v>9.1000000000000011E-2</v>
      </c>
      <c r="F65" s="870"/>
      <c r="G65" s="6"/>
      <c r="H65" s="6"/>
    </row>
    <row r="66" spans="1:11" hidden="1" outlineLevel="2" x14ac:dyDescent="0.25">
      <c r="A66" s="854"/>
      <c r="B66" s="877" t="s">
        <v>38</v>
      </c>
      <c r="C66" s="873">
        <v>0.04</v>
      </c>
      <c r="D66" s="879" t="s">
        <v>16</v>
      </c>
      <c r="E66" s="875">
        <f t="shared" ref="E66:E71" si="1">C66*(1+0.3)</f>
        <v>5.2000000000000005E-2</v>
      </c>
      <c r="F66" s="870"/>
      <c r="G66" s="6"/>
      <c r="H66" s="6"/>
    </row>
    <row r="67" spans="1:11" hidden="1" outlineLevel="2" x14ac:dyDescent="0.25">
      <c r="A67" s="854"/>
      <c r="B67" s="877" t="s">
        <v>39</v>
      </c>
      <c r="C67" s="873">
        <v>0.04</v>
      </c>
      <c r="D67" s="879" t="s">
        <v>16</v>
      </c>
      <c r="E67" s="875">
        <f t="shared" si="1"/>
        <v>5.2000000000000005E-2</v>
      </c>
      <c r="F67" s="882"/>
      <c r="G67" s="7"/>
      <c r="H67" s="7"/>
      <c r="I67" s="8"/>
    </row>
    <row r="68" spans="1:11" hidden="1" outlineLevel="2" x14ac:dyDescent="0.25">
      <c r="A68" s="854"/>
      <c r="B68" s="877" t="s">
        <v>40</v>
      </c>
      <c r="C68" s="873">
        <v>0.12</v>
      </c>
      <c r="D68" s="879" t="s">
        <v>16</v>
      </c>
      <c r="E68" s="875">
        <f t="shared" si="1"/>
        <v>0.156</v>
      </c>
      <c r="F68" s="870"/>
      <c r="G68" s="6"/>
      <c r="H68" s="6"/>
    </row>
    <row r="69" spans="1:11" hidden="1" outlineLevel="2" x14ac:dyDescent="0.25">
      <c r="A69" s="854"/>
      <c r="B69" s="877" t="s">
        <v>41</v>
      </c>
      <c r="C69" s="873">
        <v>0.03</v>
      </c>
      <c r="D69" s="879" t="s">
        <v>16</v>
      </c>
      <c r="E69" s="875">
        <f t="shared" si="1"/>
        <v>3.9E-2</v>
      </c>
      <c r="F69" s="854"/>
    </row>
    <row r="70" spans="1:11" hidden="1" outlineLevel="2" x14ac:dyDescent="0.25">
      <c r="A70" s="854"/>
      <c r="B70" s="877" t="s">
        <v>42</v>
      </c>
      <c r="C70" s="873">
        <v>0.02</v>
      </c>
      <c r="D70" s="879" t="s">
        <v>16</v>
      </c>
      <c r="E70" s="875">
        <f t="shared" si="1"/>
        <v>2.6000000000000002E-2</v>
      </c>
      <c r="F70" s="854"/>
    </row>
    <row r="71" spans="1:11" hidden="1" outlineLevel="2" x14ac:dyDescent="0.25">
      <c r="A71" s="854"/>
      <c r="B71" s="877" t="s">
        <v>43</v>
      </c>
      <c r="C71" s="873">
        <v>0.05</v>
      </c>
      <c r="D71" s="879" t="s">
        <v>16</v>
      </c>
      <c r="E71" s="875">
        <f t="shared" si="1"/>
        <v>6.5000000000000002E-2</v>
      </c>
      <c r="F71" s="854"/>
    </row>
    <row r="72" spans="1:11" hidden="1" outlineLevel="2" x14ac:dyDescent="0.25">
      <c r="A72" s="854"/>
      <c r="B72" s="394" t="s">
        <v>30</v>
      </c>
      <c r="C72" s="873">
        <v>0.06</v>
      </c>
      <c r="D72" s="879">
        <v>1</v>
      </c>
      <c r="E72" s="875">
        <f>C72*D72</f>
        <v>0.06</v>
      </c>
      <c r="F72" s="870"/>
      <c r="G72" s="6"/>
      <c r="H72" s="6"/>
    </row>
    <row r="73" spans="1:11" hidden="1" outlineLevel="2" x14ac:dyDescent="0.25">
      <c r="A73" s="854"/>
      <c r="B73" s="394" t="s">
        <v>44</v>
      </c>
      <c r="C73" s="873">
        <v>7.0000000000000007E-2</v>
      </c>
      <c r="D73" s="879">
        <v>1</v>
      </c>
      <c r="E73" s="875">
        <f>C73*D73</f>
        <v>7.0000000000000007E-2</v>
      </c>
      <c r="F73" s="882"/>
      <c r="G73" s="7"/>
      <c r="H73" s="7"/>
      <c r="I73" s="8"/>
    </row>
    <row r="74" spans="1:11" hidden="1" outlineLevel="2" x14ac:dyDescent="0.25">
      <c r="A74" s="854"/>
      <c r="B74" s="394" t="s">
        <v>32</v>
      </c>
      <c r="C74" s="873">
        <v>0.06</v>
      </c>
      <c r="D74" s="879">
        <v>1</v>
      </c>
      <c r="E74" s="875">
        <f>C74*D74</f>
        <v>0.06</v>
      </c>
      <c r="F74" s="870"/>
      <c r="G74" s="6"/>
      <c r="H74" s="6"/>
    </row>
    <row r="75" spans="1:11" hidden="1" outlineLevel="2" x14ac:dyDescent="0.25">
      <c r="A75" s="854"/>
      <c r="B75" s="394" t="s">
        <v>45</v>
      </c>
      <c r="C75" s="873">
        <v>0.02</v>
      </c>
      <c r="D75" s="879">
        <v>1</v>
      </c>
      <c r="E75" s="875">
        <f>C75*D75</f>
        <v>0.02</v>
      </c>
      <c r="F75" s="854"/>
    </row>
    <row r="76" spans="1:11" hidden="1" outlineLevel="2" x14ac:dyDescent="0.25">
      <c r="A76" s="854"/>
      <c r="B76" s="854" t="s">
        <v>13</v>
      </c>
      <c r="C76" s="873">
        <v>7.0000000000000007E-2</v>
      </c>
      <c r="D76" s="854"/>
      <c r="E76" s="881">
        <f>SUM(E60:E75)*C76</f>
        <v>7.896000000000003E-2</v>
      </c>
      <c r="F76" s="882"/>
      <c r="G76" s="7"/>
      <c r="H76" s="7"/>
      <c r="I76" s="8"/>
    </row>
    <row r="77" spans="1:11" s="19" customFormat="1" ht="15.75" hidden="1" outlineLevel="1" x14ac:dyDescent="0.25">
      <c r="A77" s="862"/>
      <c r="B77" s="862" t="s">
        <v>48</v>
      </c>
      <c r="C77" s="862"/>
      <c r="D77" s="862"/>
      <c r="E77" s="862"/>
      <c r="F77" s="862"/>
    </row>
    <row r="78" spans="1:11" s="19" customFormat="1" ht="15.75" hidden="1" outlineLevel="1" x14ac:dyDescent="0.25">
      <c r="A78" s="862"/>
      <c r="B78" s="862" t="s">
        <v>49</v>
      </c>
      <c r="C78" s="862">
        <v>5.32</v>
      </c>
      <c r="D78" s="880"/>
      <c r="E78" s="862"/>
      <c r="F78" s="862"/>
    </row>
    <row r="79" spans="1:11" collapsed="1" x14ac:dyDescent="0.25">
      <c r="A79" s="854"/>
      <c r="B79" s="861" t="s">
        <v>296</v>
      </c>
      <c r="C79" s="862">
        <v>1</v>
      </c>
      <c r="D79" s="862" t="s">
        <v>298</v>
      </c>
      <c r="E79" s="854"/>
      <c r="F79" s="854"/>
    </row>
    <row r="80" spans="1:11" s="2" customFormat="1" ht="38.25" x14ac:dyDescent="0.25">
      <c r="A80" s="854"/>
      <c r="B80" s="394" t="s">
        <v>963</v>
      </c>
      <c r="C80" s="394" t="s">
        <v>962</v>
      </c>
      <c r="D80" s="394" t="s">
        <v>297</v>
      </c>
      <c r="E80" s="854"/>
      <c r="F80" s="855">
        <f>15.52*C79*D82*D81*D83*C103*1000</f>
        <v>9965.4342144000038</v>
      </c>
      <c r="G80" s="37"/>
      <c r="H80" s="37"/>
      <c r="I80"/>
      <c r="J80"/>
      <c r="K80"/>
    </row>
    <row r="81" spans="1:11" s="3" customFormat="1" x14ac:dyDescent="0.25">
      <c r="A81" s="866"/>
      <c r="B81" s="865" t="s">
        <v>4</v>
      </c>
      <c r="C81" s="865" t="s">
        <v>5</v>
      </c>
      <c r="D81" s="866">
        <v>0.4</v>
      </c>
      <c r="E81" s="866"/>
      <c r="F81" s="866"/>
      <c r="I81"/>
      <c r="J81"/>
      <c r="K81"/>
    </row>
    <row r="82" spans="1:11" ht="102" x14ac:dyDescent="0.25">
      <c r="A82" s="854"/>
      <c r="B82" s="394" t="s">
        <v>310</v>
      </c>
      <c r="C82" s="394" t="s">
        <v>311</v>
      </c>
      <c r="D82" s="854">
        <v>0.25</v>
      </c>
      <c r="E82" s="854"/>
      <c r="F82" s="854"/>
    </row>
    <row r="83" spans="1:11" ht="89.25" x14ac:dyDescent="0.25">
      <c r="A83" s="854"/>
      <c r="B83" s="394" t="s">
        <v>15</v>
      </c>
      <c r="C83" s="394" t="s">
        <v>215</v>
      </c>
      <c r="D83" s="854">
        <f>E84/1</f>
        <v>1.2069600000000005</v>
      </c>
      <c r="E83" s="854"/>
      <c r="F83" s="854"/>
    </row>
    <row r="84" spans="1:11" x14ac:dyDescent="0.25">
      <c r="A84" s="854"/>
      <c r="B84" s="390" t="s">
        <v>6</v>
      </c>
      <c r="C84" s="869">
        <f>SUM(C85:C101)</f>
        <v>1.0000000000000002</v>
      </c>
      <c r="D84" s="870"/>
      <c r="E84" s="871">
        <f>SUM(E85:E101)</f>
        <v>1.2069600000000005</v>
      </c>
      <c r="F84" s="872"/>
      <c r="G84" s="9"/>
      <c r="H84" s="9"/>
    </row>
    <row r="85" spans="1:11" hidden="1" outlineLevel="1" x14ac:dyDescent="0.25">
      <c r="A85" s="854"/>
      <c r="B85" s="394" t="s">
        <v>20</v>
      </c>
      <c r="C85" s="873">
        <v>0.02</v>
      </c>
      <c r="D85" s="879">
        <v>1</v>
      </c>
      <c r="E85" s="875">
        <f>C85*D85</f>
        <v>0.02</v>
      </c>
      <c r="F85" s="870"/>
      <c r="G85" s="6"/>
      <c r="H85" s="6"/>
    </row>
    <row r="86" spans="1:11" hidden="1" outlineLevel="1" x14ac:dyDescent="0.25">
      <c r="A86" s="854"/>
      <c r="B86" s="394" t="s">
        <v>21</v>
      </c>
      <c r="C86" s="873">
        <v>0.04</v>
      </c>
      <c r="D86" s="854">
        <v>1</v>
      </c>
      <c r="E86" s="875">
        <f>C86*D86</f>
        <v>0.04</v>
      </c>
      <c r="F86" s="854"/>
    </row>
    <row r="87" spans="1:11" hidden="1" outlineLevel="1" x14ac:dyDescent="0.25">
      <c r="A87" s="854"/>
      <c r="B87" s="394" t="s">
        <v>22</v>
      </c>
      <c r="C87" s="873">
        <v>0.14000000000000001</v>
      </c>
      <c r="D87" s="879" t="s">
        <v>16</v>
      </c>
      <c r="E87" s="875">
        <f>C87*(1+0.3)</f>
        <v>0.18200000000000002</v>
      </c>
      <c r="F87" s="854"/>
    </row>
    <row r="88" spans="1:11" hidden="1" outlineLevel="1" x14ac:dyDescent="0.25">
      <c r="A88" s="854"/>
      <c r="B88" s="394" t="s">
        <v>23</v>
      </c>
      <c r="C88" s="873">
        <v>0.15</v>
      </c>
      <c r="D88" s="879" t="s">
        <v>16</v>
      </c>
      <c r="E88" s="875">
        <f>C88*(1+0.3)</f>
        <v>0.19500000000000001</v>
      </c>
      <c r="F88" s="854"/>
    </row>
    <row r="89" spans="1:11" ht="25.5" hidden="1" outlineLevel="1" x14ac:dyDescent="0.25">
      <c r="A89" s="854"/>
      <c r="B89" s="394" t="s">
        <v>36</v>
      </c>
      <c r="C89" s="873"/>
      <c r="D89" s="879"/>
      <c r="E89" s="875">
        <f>C89*(1+0.3)</f>
        <v>0</v>
      </c>
      <c r="F89" s="870"/>
      <c r="G89" s="6"/>
      <c r="H89" s="6"/>
    </row>
    <row r="90" spans="1:11" hidden="1" outlineLevel="1" x14ac:dyDescent="0.25">
      <c r="A90" s="854"/>
      <c r="B90" s="877" t="s">
        <v>37</v>
      </c>
      <c r="C90" s="873">
        <v>7.0000000000000007E-2</v>
      </c>
      <c r="D90" s="879" t="s">
        <v>16</v>
      </c>
      <c r="E90" s="875">
        <f>C90*(1+0.3)</f>
        <v>9.1000000000000011E-2</v>
      </c>
      <c r="F90" s="870"/>
      <c r="G90" s="6"/>
      <c r="H90" s="6"/>
    </row>
    <row r="91" spans="1:11" hidden="1" outlineLevel="1" x14ac:dyDescent="0.25">
      <c r="A91" s="854"/>
      <c r="B91" s="877" t="s">
        <v>38</v>
      </c>
      <c r="C91" s="873">
        <v>0.04</v>
      </c>
      <c r="D91" s="879" t="s">
        <v>16</v>
      </c>
      <c r="E91" s="875">
        <f t="shared" ref="E91:E96" si="2">C91*(1+0.3)</f>
        <v>5.2000000000000005E-2</v>
      </c>
      <c r="F91" s="870"/>
      <c r="G91" s="6"/>
      <c r="H91" s="6"/>
    </row>
    <row r="92" spans="1:11" hidden="1" outlineLevel="1" x14ac:dyDescent="0.25">
      <c r="A92" s="854"/>
      <c r="B92" s="877" t="s">
        <v>39</v>
      </c>
      <c r="C92" s="873">
        <v>0.04</v>
      </c>
      <c r="D92" s="879" t="s">
        <v>16</v>
      </c>
      <c r="E92" s="875">
        <f t="shared" si="2"/>
        <v>5.2000000000000005E-2</v>
      </c>
      <c r="F92" s="882"/>
      <c r="G92" s="7"/>
      <c r="H92" s="7"/>
      <c r="I92" s="8"/>
    </row>
    <row r="93" spans="1:11" hidden="1" outlineLevel="1" x14ac:dyDescent="0.25">
      <c r="A93" s="854"/>
      <c r="B93" s="877" t="s">
        <v>40</v>
      </c>
      <c r="C93" s="873">
        <v>0.12</v>
      </c>
      <c r="D93" s="879" t="s">
        <v>16</v>
      </c>
      <c r="E93" s="875">
        <f t="shared" si="2"/>
        <v>0.156</v>
      </c>
      <c r="F93" s="870"/>
      <c r="G93" s="6"/>
      <c r="H93" s="6"/>
    </row>
    <row r="94" spans="1:11" hidden="1" outlineLevel="1" x14ac:dyDescent="0.25">
      <c r="A94" s="854"/>
      <c r="B94" s="877" t="s">
        <v>41</v>
      </c>
      <c r="C94" s="873">
        <v>0.03</v>
      </c>
      <c r="D94" s="879" t="s">
        <v>16</v>
      </c>
      <c r="E94" s="875">
        <f t="shared" si="2"/>
        <v>3.9E-2</v>
      </c>
      <c r="F94" s="854"/>
    </row>
    <row r="95" spans="1:11" hidden="1" outlineLevel="1" x14ac:dyDescent="0.25">
      <c r="A95" s="854"/>
      <c r="B95" s="877" t="s">
        <v>42</v>
      </c>
      <c r="C95" s="873">
        <v>0.02</v>
      </c>
      <c r="D95" s="879" t="s">
        <v>16</v>
      </c>
      <c r="E95" s="875">
        <f t="shared" si="2"/>
        <v>2.6000000000000002E-2</v>
      </c>
      <c r="F95" s="854"/>
    </row>
    <row r="96" spans="1:11" hidden="1" outlineLevel="1" x14ac:dyDescent="0.25">
      <c r="A96" s="854"/>
      <c r="B96" s="877" t="s">
        <v>43</v>
      </c>
      <c r="C96" s="873">
        <v>0.05</v>
      </c>
      <c r="D96" s="879" t="s">
        <v>16</v>
      </c>
      <c r="E96" s="875">
        <f t="shared" si="2"/>
        <v>6.5000000000000002E-2</v>
      </c>
      <c r="F96" s="854"/>
    </row>
    <row r="97" spans="1:11" hidden="1" outlineLevel="1" x14ac:dyDescent="0.25">
      <c r="A97" s="854"/>
      <c r="B97" s="394" t="s">
        <v>30</v>
      </c>
      <c r="C97" s="873">
        <v>0.06</v>
      </c>
      <c r="D97" s="879">
        <v>1</v>
      </c>
      <c r="E97" s="875">
        <f>C97*D97</f>
        <v>0.06</v>
      </c>
      <c r="F97" s="870"/>
      <c r="G97" s="6"/>
      <c r="H97" s="6"/>
    </row>
    <row r="98" spans="1:11" hidden="1" outlineLevel="1" x14ac:dyDescent="0.25">
      <c r="A98" s="854"/>
      <c r="B98" s="394" t="s">
        <v>44</v>
      </c>
      <c r="C98" s="873">
        <v>7.0000000000000007E-2</v>
      </c>
      <c r="D98" s="879">
        <v>1</v>
      </c>
      <c r="E98" s="875">
        <f>C98*D98</f>
        <v>7.0000000000000007E-2</v>
      </c>
      <c r="F98" s="882"/>
      <c r="G98" s="7"/>
      <c r="H98" s="7"/>
      <c r="I98" s="8"/>
    </row>
    <row r="99" spans="1:11" hidden="1" outlineLevel="1" x14ac:dyDescent="0.25">
      <c r="A99" s="854"/>
      <c r="B99" s="394" t="s">
        <v>32</v>
      </c>
      <c r="C99" s="873">
        <v>0.06</v>
      </c>
      <c r="D99" s="879">
        <v>1</v>
      </c>
      <c r="E99" s="875">
        <f>C99*D99</f>
        <v>0.06</v>
      </c>
      <c r="F99" s="870"/>
      <c r="G99" s="6"/>
      <c r="H99" s="6"/>
    </row>
    <row r="100" spans="1:11" hidden="1" outlineLevel="1" x14ac:dyDescent="0.25">
      <c r="A100" s="854"/>
      <c r="B100" s="394" t="s">
        <v>45</v>
      </c>
      <c r="C100" s="873">
        <v>0.02</v>
      </c>
      <c r="D100" s="879">
        <v>1</v>
      </c>
      <c r="E100" s="875">
        <f>C100*D100</f>
        <v>0.02</v>
      </c>
      <c r="F100" s="854"/>
    </row>
    <row r="101" spans="1:11" hidden="1" outlineLevel="1" x14ac:dyDescent="0.25">
      <c r="A101" s="854"/>
      <c r="B101" s="854" t="s">
        <v>13</v>
      </c>
      <c r="C101" s="873">
        <v>7.0000000000000007E-2</v>
      </c>
      <c r="D101" s="854"/>
      <c r="E101" s="881">
        <f>SUM(E85:E100)*C101</f>
        <v>7.896000000000003E-2</v>
      </c>
      <c r="F101" s="882"/>
      <c r="G101" s="7"/>
      <c r="H101" s="7"/>
      <c r="I101" s="8"/>
    </row>
    <row r="102" spans="1:11" s="19" customFormat="1" ht="15.75" collapsed="1" x14ac:dyDescent="0.25">
      <c r="A102" s="862"/>
      <c r="B102" s="862" t="s">
        <v>48</v>
      </c>
      <c r="C102" s="862"/>
      <c r="D102" s="862"/>
      <c r="E102" s="862"/>
      <c r="F102" s="862"/>
    </row>
    <row r="103" spans="1:11" s="19" customFormat="1" ht="15.75" x14ac:dyDescent="0.25">
      <c r="A103" s="862"/>
      <c r="B103" s="862" t="s">
        <v>49</v>
      </c>
      <c r="C103" s="862">
        <v>5.32</v>
      </c>
      <c r="D103" s="880"/>
      <c r="E103" s="862"/>
      <c r="F103" s="862"/>
    </row>
    <row r="104" spans="1:11" x14ac:dyDescent="0.25">
      <c r="A104" s="854"/>
      <c r="B104" s="861" t="s">
        <v>966</v>
      </c>
      <c r="C104" s="862">
        <v>1</v>
      </c>
      <c r="D104" s="862" t="s">
        <v>214</v>
      </c>
      <c r="E104" s="854"/>
      <c r="F104" s="854"/>
    </row>
    <row r="105" spans="1:11" s="2" customFormat="1" ht="38.25" x14ac:dyDescent="0.25">
      <c r="A105" s="854"/>
      <c r="B105" s="854" t="s">
        <v>965</v>
      </c>
      <c r="C105" s="394" t="s">
        <v>964</v>
      </c>
      <c r="D105" s="394" t="s">
        <v>293</v>
      </c>
      <c r="E105" s="854"/>
      <c r="F105" s="855">
        <f>49.37*C104*D107*D106*D108*C128*1000</f>
        <v>31700.611286400017</v>
      </c>
      <c r="G105" s="39" t="s">
        <v>300</v>
      </c>
      <c r="H105" s="37"/>
      <c r="I105"/>
      <c r="J105"/>
      <c r="K105"/>
    </row>
    <row r="106" spans="1:11" s="3" customFormat="1" x14ac:dyDescent="0.25">
      <c r="A106" s="866"/>
      <c r="B106" s="865" t="s">
        <v>4</v>
      </c>
      <c r="C106" s="865" t="s">
        <v>5</v>
      </c>
      <c r="D106" s="866">
        <v>0.4</v>
      </c>
      <c r="E106" s="866"/>
      <c r="F106" s="866"/>
      <c r="I106"/>
      <c r="J106"/>
      <c r="K106"/>
    </row>
    <row r="107" spans="1:11" ht="102" x14ac:dyDescent="0.25">
      <c r="A107" s="854"/>
      <c r="B107" s="394" t="s">
        <v>310</v>
      </c>
      <c r="C107" s="394" t="s">
        <v>311</v>
      </c>
      <c r="D107" s="854">
        <v>0.25</v>
      </c>
      <c r="E107" s="854"/>
      <c r="F107" s="854"/>
    </row>
    <row r="108" spans="1:11" ht="89.25" x14ac:dyDescent="0.25">
      <c r="A108" s="854"/>
      <c r="B108" s="394" t="s">
        <v>15</v>
      </c>
      <c r="C108" s="394" t="s">
        <v>215</v>
      </c>
      <c r="D108" s="854">
        <f>E109/1</f>
        <v>1.2069600000000005</v>
      </c>
      <c r="E108" s="854"/>
      <c r="F108" s="854"/>
    </row>
    <row r="109" spans="1:11" x14ac:dyDescent="0.25">
      <c r="A109" s="854"/>
      <c r="B109" s="390" t="s">
        <v>6</v>
      </c>
      <c r="C109" s="869">
        <f>SUM(C110:C126)</f>
        <v>1.0000000000000002</v>
      </c>
      <c r="D109" s="870"/>
      <c r="E109" s="871">
        <f>SUM(E110:E126)</f>
        <v>1.2069600000000005</v>
      </c>
      <c r="F109" s="872"/>
      <c r="G109" s="9"/>
      <c r="H109" s="9"/>
    </row>
    <row r="110" spans="1:11" hidden="1" outlineLevel="1" x14ac:dyDescent="0.25">
      <c r="A110" s="854"/>
      <c r="B110" s="394" t="s">
        <v>20</v>
      </c>
      <c r="C110" s="873">
        <v>0.02</v>
      </c>
      <c r="D110" s="879">
        <v>1</v>
      </c>
      <c r="E110" s="875">
        <f>C110*D110</f>
        <v>0.02</v>
      </c>
      <c r="F110" s="870"/>
      <c r="G110" s="6"/>
      <c r="H110" s="6"/>
    </row>
    <row r="111" spans="1:11" hidden="1" outlineLevel="1" x14ac:dyDescent="0.25">
      <c r="A111" s="854"/>
      <c r="B111" s="394" t="s">
        <v>21</v>
      </c>
      <c r="C111" s="873">
        <v>0.04</v>
      </c>
      <c r="D111" s="854">
        <v>1</v>
      </c>
      <c r="E111" s="875">
        <f>C111*D111</f>
        <v>0.04</v>
      </c>
      <c r="F111" s="854"/>
    </row>
    <row r="112" spans="1:11" hidden="1" outlineLevel="1" x14ac:dyDescent="0.25">
      <c r="A112" s="854"/>
      <c r="B112" s="394" t="s">
        <v>22</v>
      </c>
      <c r="C112" s="873">
        <v>0.14000000000000001</v>
      </c>
      <c r="D112" s="879" t="s">
        <v>16</v>
      </c>
      <c r="E112" s="875">
        <f>C112*(1+0.3)</f>
        <v>0.18200000000000002</v>
      </c>
      <c r="F112" s="854"/>
    </row>
    <row r="113" spans="1:9" hidden="1" outlineLevel="1" x14ac:dyDescent="0.25">
      <c r="A113" s="854"/>
      <c r="B113" s="394" t="s">
        <v>23</v>
      </c>
      <c r="C113" s="873">
        <v>0.15</v>
      </c>
      <c r="D113" s="879" t="s">
        <v>16</v>
      </c>
      <c r="E113" s="875">
        <f>C113*(1+0.3)</f>
        <v>0.19500000000000001</v>
      </c>
      <c r="F113" s="854"/>
    </row>
    <row r="114" spans="1:9" ht="25.5" hidden="1" outlineLevel="1" x14ac:dyDescent="0.25">
      <c r="A114" s="854"/>
      <c r="B114" s="394" t="s">
        <v>36</v>
      </c>
      <c r="C114" s="873"/>
      <c r="D114" s="879"/>
      <c r="E114" s="875">
        <f>C114*(1+0.3)</f>
        <v>0</v>
      </c>
      <c r="F114" s="870"/>
      <c r="G114" s="6"/>
      <c r="H114" s="6"/>
    </row>
    <row r="115" spans="1:9" hidden="1" outlineLevel="1" x14ac:dyDescent="0.25">
      <c r="A115" s="854"/>
      <c r="B115" s="877" t="s">
        <v>37</v>
      </c>
      <c r="C115" s="873">
        <v>7.0000000000000007E-2</v>
      </c>
      <c r="D115" s="879" t="s">
        <v>16</v>
      </c>
      <c r="E115" s="875">
        <f>C115*(1+0.3)</f>
        <v>9.1000000000000011E-2</v>
      </c>
      <c r="F115" s="870"/>
      <c r="G115" s="6"/>
      <c r="H115" s="6"/>
    </row>
    <row r="116" spans="1:9" hidden="1" outlineLevel="1" x14ac:dyDescent="0.25">
      <c r="A116" s="854"/>
      <c r="B116" s="877" t="s">
        <v>38</v>
      </c>
      <c r="C116" s="873">
        <v>0.04</v>
      </c>
      <c r="D116" s="879" t="s">
        <v>16</v>
      </c>
      <c r="E116" s="875">
        <f t="shared" ref="E116:E121" si="3">C116*(1+0.3)</f>
        <v>5.2000000000000005E-2</v>
      </c>
      <c r="F116" s="870"/>
      <c r="G116" s="6"/>
      <c r="H116" s="6"/>
    </row>
    <row r="117" spans="1:9" hidden="1" outlineLevel="1" x14ac:dyDescent="0.25">
      <c r="A117" s="854"/>
      <c r="B117" s="877" t="s">
        <v>39</v>
      </c>
      <c r="C117" s="873">
        <v>0.04</v>
      </c>
      <c r="D117" s="879" t="s">
        <v>16</v>
      </c>
      <c r="E117" s="875">
        <f t="shared" si="3"/>
        <v>5.2000000000000005E-2</v>
      </c>
      <c r="F117" s="882"/>
      <c r="G117" s="7"/>
      <c r="H117" s="7"/>
      <c r="I117" s="8"/>
    </row>
    <row r="118" spans="1:9" hidden="1" outlineLevel="1" x14ac:dyDescent="0.25">
      <c r="A118" s="854"/>
      <c r="B118" s="877" t="s">
        <v>40</v>
      </c>
      <c r="C118" s="873">
        <v>0.12</v>
      </c>
      <c r="D118" s="879" t="s">
        <v>16</v>
      </c>
      <c r="E118" s="875">
        <f t="shared" si="3"/>
        <v>0.156</v>
      </c>
      <c r="F118" s="870"/>
      <c r="G118" s="6"/>
      <c r="H118" s="6"/>
    </row>
    <row r="119" spans="1:9" hidden="1" outlineLevel="1" x14ac:dyDescent="0.25">
      <c r="A119" s="854"/>
      <c r="B119" s="877" t="s">
        <v>41</v>
      </c>
      <c r="C119" s="873">
        <v>0.03</v>
      </c>
      <c r="D119" s="879" t="s">
        <v>16</v>
      </c>
      <c r="E119" s="875">
        <f t="shared" si="3"/>
        <v>3.9E-2</v>
      </c>
      <c r="F119" s="854"/>
    </row>
    <row r="120" spans="1:9" hidden="1" outlineLevel="1" x14ac:dyDescent="0.25">
      <c r="A120" s="854"/>
      <c r="B120" s="877" t="s">
        <v>42</v>
      </c>
      <c r="C120" s="873">
        <v>0.02</v>
      </c>
      <c r="D120" s="879" t="s">
        <v>16</v>
      </c>
      <c r="E120" s="875">
        <f t="shared" si="3"/>
        <v>2.6000000000000002E-2</v>
      </c>
      <c r="F120" s="854"/>
    </row>
    <row r="121" spans="1:9" hidden="1" outlineLevel="1" x14ac:dyDescent="0.25">
      <c r="A121" s="854"/>
      <c r="B121" s="877" t="s">
        <v>43</v>
      </c>
      <c r="C121" s="873">
        <v>0.05</v>
      </c>
      <c r="D121" s="879" t="s">
        <v>16</v>
      </c>
      <c r="E121" s="875">
        <f t="shared" si="3"/>
        <v>6.5000000000000002E-2</v>
      </c>
      <c r="F121" s="854"/>
    </row>
    <row r="122" spans="1:9" hidden="1" outlineLevel="1" x14ac:dyDescent="0.25">
      <c r="A122" s="854"/>
      <c r="B122" s="394" t="s">
        <v>30</v>
      </c>
      <c r="C122" s="873">
        <v>0.06</v>
      </c>
      <c r="D122" s="879">
        <v>1</v>
      </c>
      <c r="E122" s="875">
        <f>C122*D122</f>
        <v>0.06</v>
      </c>
      <c r="F122" s="870"/>
      <c r="G122" s="6"/>
      <c r="H122" s="6"/>
    </row>
    <row r="123" spans="1:9" hidden="1" outlineLevel="1" x14ac:dyDescent="0.25">
      <c r="A123" s="854"/>
      <c r="B123" s="394" t="s">
        <v>44</v>
      </c>
      <c r="C123" s="873">
        <v>7.0000000000000007E-2</v>
      </c>
      <c r="D123" s="879">
        <v>1</v>
      </c>
      <c r="E123" s="875">
        <f>C123*D123</f>
        <v>7.0000000000000007E-2</v>
      </c>
      <c r="F123" s="882"/>
      <c r="G123" s="7"/>
      <c r="H123" s="7"/>
      <c r="I123" s="8"/>
    </row>
    <row r="124" spans="1:9" hidden="1" outlineLevel="1" x14ac:dyDescent="0.25">
      <c r="A124" s="854"/>
      <c r="B124" s="394" t="s">
        <v>32</v>
      </c>
      <c r="C124" s="873">
        <v>0.06</v>
      </c>
      <c r="D124" s="879">
        <v>1</v>
      </c>
      <c r="E124" s="875">
        <f>C124*D124</f>
        <v>0.06</v>
      </c>
      <c r="F124" s="870"/>
      <c r="G124" s="6"/>
      <c r="H124" s="6"/>
    </row>
    <row r="125" spans="1:9" hidden="1" outlineLevel="1" x14ac:dyDescent="0.25">
      <c r="A125" s="854"/>
      <c r="B125" s="394" t="s">
        <v>45</v>
      </c>
      <c r="C125" s="873">
        <v>0.02</v>
      </c>
      <c r="D125" s="879">
        <v>1</v>
      </c>
      <c r="E125" s="875">
        <f>C125*D125</f>
        <v>0.02</v>
      </c>
      <c r="F125" s="854"/>
    </row>
    <row r="126" spans="1:9" hidden="1" outlineLevel="1" x14ac:dyDescent="0.25">
      <c r="A126" s="854"/>
      <c r="B126" s="854" t="s">
        <v>13</v>
      </c>
      <c r="C126" s="873">
        <v>7.0000000000000007E-2</v>
      </c>
      <c r="D126" s="854"/>
      <c r="E126" s="881">
        <f>SUM(E110:E125)*C126</f>
        <v>7.896000000000003E-2</v>
      </c>
      <c r="F126" s="882"/>
      <c r="G126" s="7"/>
      <c r="H126" s="7"/>
      <c r="I126" s="8"/>
    </row>
    <row r="127" spans="1:9" s="19" customFormat="1" ht="15.75" collapsed="1" x14ac:dyDescent="0.25">
      <c r="A127" s="862"/>
      <c r="B127" s="862" t="s">
        <v>48</v>
      </c>
      <c r="C127" s="862"/>
      <c r="D127" s="862"/>
      <c r="E127" s="862"/>
      <c r="F127" s="862"/>
    </row>
    <row r="128" spans="1:9" s="19" customFormat="1" ht="15.75" x14ac:dyDescent="0.25">
      <c r="A128" s="862"/>
      <c r="B128" s="862" t="s">
        <v>49</v>
      </c>
      <c r="C128" s="862">
        <v>5.32</v>
      </c>
      <c r="D128" s="880"/>
      <c r="E128" s="862"/>
      <c r="F128" s="862"/>
    </row>
    <row r="129" spans="1:16" s="10" customFormat="1" x14ac:dyDescent="0.25">
      <c r="A129" s="861"/>
      <c r="B129" s="861" t="s">
        <v>71</v>
      </c>
      <c r="C129" s="914"/>
      <c r="D129" s="861">
        <f>D7+D9+D10</f>
        <v>12</v>
      </c>
      <c r="E129" s="883" t="s">
        <v>211</v>
      </c>
      <c r="F129" s="884"/>
      <c r="G129" s="15"/>
      <c r="H129" s="15"/>
      <c r="I129" s="16"/>
    </row>
    <row r="130" spans="1:16" s="2" customFormat="1" ht="76.5" x14ac:dyDescent="0.25">
      <c r="A130" s="854"/>
      <c r="B130" s="394" t="s">
        <v>968</v>
      </c>
      <c r="C130" s="394" t="s">
        <v>879</v>
      </c>
      <c r="D130" s="394" t="s">
        <v>967</v>
      </c>
      <c r="E130" s="854"/>
      <c r="F130" s="855">
        <f>19.082*D131*D132*D133*C153*1000</f>
        <v>150159.57368832009</v>
      </c>
      <c r="I130"/>
      <c r="J130"/>
      <c r="K130"/>
      <c r="O130" s="17"/>
      <c r="P130" s="17"/>
    </row>
    <row r="131" spans="1:16" s="3" customFormat="1" x14ac:dyDescent="0.25">
      <c r="A131" s="866"/>
      <c r="B131" s="865" t="s">
        <v>4</v>
      </c>
      <c r="C131" s="865" t="s">
        <v>5</v>
      </c>
      <c r="D131" s="866">
        <v>0.4</v>
      </c>
      <c r="E131" s="866"/>
      <c r="F131" s="866"/>
      <c r="I131"/>
      <c r="J131"/>
      <c r="K131"/>
    </row>
    <row r="132" spans="1:16" s="3" customFormat="1" ht="76.5" x14ac:dyDescent="0.25">
      <c r="A132" s="866"/>
      <c r="B132" s="394" t="s">
        <v>46</v>
      </c>
      <c r="C132" s="865" t="s">
        <v>878</v>
      </c>
      <c r="D132" s="866">
        <f>1+(D129-1)*0.2</f>
        <v>3.2</v>
      </c>
      <c r="E132" s="866"/>
      <c r="F132" s="866"/>
      <c r="I132"/>
      <c r="J132"/>
      <c r="K132"/>
    </row>
    <row r="133" spans="1:16" s="2" customFormat="1" ht="89.25" x14ac:dyDescent="0.25">
      <c r="A133" s="854"/>
      <c r="B133" s="394" t="s">
        <v>15</v>
      </c>
      <c r="C133" s="394" t="s">
        <v>209</v>
      </c>
      <c r="D133" s="854">
        <f>E134/1</f>
        <v>1.1556000000000004</v>
      </c>
      <c r="E133" s="854"/>
      <c r="F133" s="854"/>
    </row>
    <row r="134" spans="1:16" x14ac:dyDescent="0.25">
      <c r="A134" s="854"/>
      <c r="B134" s="390" t="s">
        <v>6</v>
      </c>
      <c r="C134" s="869">
        <f>SUM(C135:C151)</f>
        <v>1.0000000000000002</v>
      </c>
      <c r="D134" s="870"/>
      <c r="E134" s="871">
        <f>SUM(E135:E151)</f>
        <v>1.1556000000000004</v>
      </c>
      <c r="F134" s="872"/>
      <c r="G134" s="9"/>
      <c r="H134" s="9"/>
    </row>
    <row r="135" spans="1:16" hidden="1" outlineLevel="1" x14ac:dyDescent="0.25">
      <c r="A135" s="854"/>
      <c r="B135" s="394" t="s">
        <v>20</v>
      </c>
      <c r="C135" s="873">
        <v>0.02</v>
      </c>
      <c r="D135" s="879">
        <v>1</v>
      </c>
      <c r="E135" s="875">
        <f>C135*D135</f>
        <v>0.02</v>
      </c>
      <c r="F135" s="870"/>
      <c r="G135" s="6"/>
      <c r="H135" s="6"/>
    </row>
    <row r="136" spans="1:16" hidden="1" outlineLevel="1" x14ac:dyDescent="0.25">
      <c r="A136" s="854"/>
      <c r="B136" s="394" t="s">
        <v>21</v>
      </c>
      <c r="C136" s="873">
        <v>0.04</v>
      </c>
      <c r="D136" s="854">
        <v>1</v>
      </c>
      <c r="E136" s="875">
        <f>C136*D136</f>
        <v>0.04</v>
      </c>
      <c r="F136" s="854"/>
    </row>
    <row r="137" spans="1:16" hidden="1" outlineLevel="1" x14ac:dyDescent="0.25">
      <c r="A137" s="854"/>
      <c r="B137" s="394" t="s">
        <v>22</v>
      </c>
      <c r="C137" s="873">
        <v>0.14000000000000001</v>
      </c>
      <c r="D137" s="879" t="s">
        <v>16</v>
      </c>
      <c r="E137" s="875">
        <f>C137*(1+0.3)</f>
        <v>0.18200000000000002</v>
      </c>
      <c r="F137" s="854"/>
    </row>
    <row r="138" spans="1:16" hidden="1" outlineLevel="1" x14ac:dyDescent="0.25">
      <c r="A138" s="854"/>
      <c r="B138" s="394" t="s">
        <v>23</v>
      </c>
      <c r="C138" s="873">
        <v>0.15</v>
      </c>
      <c r="D138" s="879" t="s">
        <v>16</v>
      </c>
      <c r="E138" s="875">
        <f>C138*(1+0.3)</f>
        <v>0.19500000000000001</v>
      </c>
      <c r="F138" s="854"/>
    </row>
    <row r="139" spans="1:16" ht="25.5" hidden="1" outlineLevel="1" x14ac:dyDescent="0.25">
      <c r="A139" s="854"/>
      <c r="B139" s="394" t="s">
        <v>36</v>
      </c>
      <c r="C139" s="873"/>
      <c r="D139" s="879"/>
      <c r="E139" s="875"/>
      <c r="F139" s="870"/>
      <c r="G139" s="6"/>
      <c r="H139" s="6"/>
    </row>
    <row r="140" spans="1:16" hidden="1" outlineLevel="1" x14ac:dyDescent="0.25">
      <c r="A140" s="854"/>
      <c r="B140" s="877" t="s">
        <v>37</v>
      </c>
      <c r="C140" s="873">
        <v>7.0000000000000007E-2</v>
      </c>
      <c r="D140" s="879">
        <v>1</v>
      </c>
      <c r="E140" s="875">
        <f>C140*D140</f>
        <v>7.0000000000000007E-2</v>
      </c>
      <c r="F140" s="870"/>
      <c r="G140" s="6"/>
      <c r="H140" s="6"/>
    </row>
    <row r="141" spans="1:16" hidden="1" outlineLevel="1" x14ac:dyDescent="0.25">
      <c r="A141" s="854"/>
      <c r="B141" s="877" t="s">
        <v>38</v>
      </c>
      <c r="C141" s="873">
        <v>0.04</v>
      </c>
      <c r="D141" s="879">
        <v>1</v>
      </c>
      <c r="E141" s="875">
        <f t="shared" ref="E141:E146" si="4">C141*D141</f>
        <v>0.04</v>
      </c>
      <c r="F141" s="870"/>
      <c r="G141" s="6"/>
      <c r="H141" s="6"/>
    </row>
    <row r="142" spans="1:16" hidden="1" outlineLevel="1" x14ac:dyDescent="0.25">
      <c r="A142" s="854"/>
      <c r="B142" s="877" t="s">
        <v>39</v>
      </c>
      <c r="C142" s="873">
        <v>0.04</v>
      </c>
      <c r="D142" s="879">
        <v>1</v>
      </c>
      <c r="E142" s="875">
        <f t="shared" si="4"/>
        <v>0.04</v>
      </c>
      <c r="F142" s="882"/>
      <c r="G142" s="7"/>
      <c r="H142" s="7"/>
      <c r="I142" s="8"/>
    </row>
    <row r="143" spans="1:16" hidden="1" outlineLevel="1" x14ac:dyDescent="0.25">
      <c r="A143" s="854"/>
      <c r="B143" s="877" t="s">
        <v>40</v>
      </c>
      <c r="C143" s="873">
        <v>0.12</v>
      </c>
      <c r="D143" s="879">
        <v>1</v>
      </c>
      <c r="E143" s="875">
        <f t="shared" si="4"/>
        <v>0.12</v>
      </c>
      <c r="F143" s="870"/>
      <c r="G143" s="6"/>
      <c r="H143" s="6"/>
    </row>
    <row r="144" spans="1:16" hidden="1" outlineLevel="1" x14ac:dyDescent="0.25">
      <c r="A144" s="854"/>
      <c r="B144" s="877" t="s">
        <v>41</v>
      </c>
      <c r="C144" s="873">
        <v>0.03</v>
      </c>
      <c r="D144" s="854">
        <v>1</v>
      </c>
      <c r="E144" s="875">
        <f t="shared" si="4"/>
        <v>0.03</v>
      </c>
      <c r="F144" s="854"/>
    </row>
    <row r="145" spans="1:11" hidden="1" outlineLevel="1" x14ac:dyDescent="0.25">
      <c r="A145" s="854"/>
      <c r="B145" s="877" t="s">
        <v>42</v>
      </c>
      <c r="C145" s="873">
        <v>0.02</v>
      </c>
      <c r="D145" s="876">
        <v>1</v>
      </c>
      <c r="E145" s="875">
        <f t="shared" si="4"/>
        <v>0.02</v>
      </c>
      <c r="F145" s="854"/>
    </row>
    <row r="146" spans="1:11" hidden="1" outlineLevel="1" x14ac:dyDescent="0.25">
      <c r="A146" s="854"/>
      <c r="B146" s="877" t="s">
        <v>43</v>
      </c>
      <c r="C146" s="873">
        <v>0.05</v>
      </c>
      <c r="D146" s="876">
        <v>1</v>
      </c>
      <c r="E146" s="875">
        <f t="shared" si="4"/>
        <v>0.05</v>
      </c>
      <c r="F146" s="854"/>
    </row>
    <row r="147" spans="1:11" hidden="1" outlineLevel="1" x14ac:dyDescent="0.25">
      <c r="A147" s="854"/>
      <c r="B147" s="394" t="s">
        <v>30</v>
      </c>
      <c r="C147" s="873">
        <v>0.06</v>
      </c>
      <c r="D147" s="879">
        <v>1</v>
      </c>
      <c r="E147" s="875">
        <f>C147*(1+0.3)</f>
        <v>7.8E-2</v>
      </c>
      <c r="F147" s="870"/>
      <c r="G147" s="6"/>
      <c r="H147" s="6"/>
    </row>
    <row r="148" spans="1:11" hidden="1" outlineLevel="1" x14ac:dyDescent="0.25">
      <c r="A148" s="854"/>
      <c r="B148" s="394" t="s">
        <v>44</v>
      </c>
      <c r="C148" s="873">
        <v>7.0000000000000007E-2</v>
      </c>
      <c r="D148" s="879">
        <v>1</v>
      </c>
      <c r="E148" s="875">
        <f>C148*(1+0.3)</f>
        <v>9.1000000000000011E-2</v>
      </c>
      <c r="F148" s="870"/>
      <c r="G148" s="6"/>
      <c r="H148" s="6"/>
    </row>
    <row r="149" spans="1:11" hidden="1" outlineLevel="1" x14ac:dyDescent="0.25">
      <c r="A149" s="854"/>
      <c r="B149" s="394" t="s">
        <v>32</v>
      </c>
      <c r="C149" s="873">
        <v>0.06</v>
      </c>
      <c r="D149" s="879">
        <v>1</v>
      </c>
      <c r="E149" s="875">
        <f>C149*(1+0.3)</f>
        <v>7.8E-2</v>
      </c>
      <c r="F149" s="870"/>
      <c r="G149" s="6"/>
      <c r="H149" s="6"/>
    </row>
    <row r="150" spans="1:11" hidden="1" outlineLevel="1" x14ac:dyDescent="0.25">
      <c r="A150" s="854"/>
      <c r="B150" s="394" t="s">
        <v>45</v>
      </c>
      <c r="C150" s="873">
        <v>0.02</v>
      </c>
      <c r="D150" s="879">
        <v>1</v>
      </c>
      <c r="E150" s="875">
        <f>C150*(1+0.3)</f>
        <v>2.6000000000000002E-2</v>
      </c>
      <c r="F150" s="870"/>
      <c r="G150" s="6"/>
      <c r="H150" s="6"/>
    </row>
    <row r="151" spans="1:11" hidden="1" outlineLevel="1" x14ac:dyDescent="0.25">
      <c r="A151" s="854"/>
      <c r="B151" s="394" t="s">
        <v>34</v>
      </c>
      <c r="C151" s="886">
        <v>7.0000000000000007E-2</v>
      </c>
      <c r="D151" s="854"/>
      <c r="E151" s="887">
        <f>SUM(E135:E150)*C151</f>
        <v>7.5600000000000028E-2</v>
      </c>
      <c r="F151" s="882"/>
      <c r="G151" s="7"/>
      <c r="H151" s="7"/>
      <c r="I151" s="8"/>
    </row>
    <row r="152" spans="1:11" s="19" customFormat="1" ht="15.75" collapsed="1" x14ac:dyDescent="0.25">
      <c r="A152" s="862"/>
      <c r="B152" s="862" t="s">
        <v>48</v>
      </c>
      <c r="C152" s="862"/>
      <c r="D152" s="862"/>
      <c r="E152" s="862"/>
      <c r="F152" s="862"/>
    </row>
    <row r="153" spans="1:11" s="19" customFormat="1" ht="15.75" x14ac:dyDescent="0.25">
      <c r="A153" s="862"/>
      <c r="B153" s="862" t="s">
        <v>49</v>
      </c>
      <c r="C153" s="862">
        <v>5.32</v>
      </c>
      <c r="D153" s="880"/>
      <c r="E153" s="862"/>
      <c r="F153" s="862"/>
    </row>
    <row r="154" spans="1:11" s="10" customFormat="1" x14ac:dyDescent="0.25">
      <c r="A154" s="861"/>
      <c r="B154" s="861" t="s">
        <v>53</v>
      </c>
      <c r="C154" s="861"/>
      <c r="D154" s="861">
        <f>D11</f>
        <v>20</v>
      </c>
      <c r="E154" s="861" t="s">
        <v>54</v>
      </c>
      <c r="F154" s="861"/>
    </row>
    <row r="155" spans="1:11" ht="140.25" x14ac:dyDescent="0.25">
      <c r="A155" s="854"/>
      <c r="B155" s="394" t="s">
        <v>340</v>
      </c>
      <c r="C155" s="394" t="s">
        <v>971</v>
      </c>
      <c r="D155" s="394" t="s">
        <v>970</v>
      </c>
      <c r="E155" s="854"/>
      <c r="F155" s="888">
        <f>21*D157*1*D156*C159*1000</f>
        <v>536256.00000000012</v>
      </c>
    </row>
    <row r="156" spans="1:11" s="3" customFormat="1" x14ac:dyDescent="0.25">
      <c r="A156" s="866"/>
      <c r="B156" s="865" t="s">
        <v>338</v>
      </c>
      <c r="C156" s="865" t="s">
        <v>337</v>
      </c>
      <c r="D156" s="866">
        <v>1</v>
      </c>
      <c r="E156" s="866"/>
      <c r="F156" s="866"/>
    </row>
    <row r="157" spans="1:11" s="3" customFormat="1" ht="76.5" x14ac:dyDescent="0.25">
      <c r="A157" s="866"/>
      <c r="B157" s="394" t="s">
        <v>46</v>
      </c>
      <c r="C157" s="865" t="s">
        <v>969</v>
      </c>
      <c r="D157" s="866">
        <f>1+(20-1)*0.2</f>
        <v>4.8000000000000007</v>
      </c>
      <c r="E157" s="866"/>
      <c r="F157" s="866"/>
      <c r="I157"/>
      <c r="J157"/>
      <c r="K157"/>
    </row>
    <row r="158" spans="1:11" x14ac:dyDescent="0.25">
      <c r="A158" s="854"/>
      <c r="B158" s="862" t="s">
        <v>48</v>
      </c>
      <c r="C158" s="862"/>
      <c r="D158" s="854"/>
      <c r="E158" s="854"/>
      <c r="F158" s="854"/>
    </row>
    <row r="159" spans="1:11" x14ac:dyDescent="0.25">
      <c r="A159" s="854"/>
      <c r="B159" s="862" t="s">
        <v>49</v>
      </c>
      <c r="C159" s="862">
        <v>5.32</v>
      </c>
      <c r="D159" s="854"/>
      <c r="E159" s="854"/>
      <c r="F159" s="854"/>
    </row>
    <row r="160" spans="1:11" s="11" customFormat="1" x14ac:dyDescent="0.25">
      <c r="A160" s="862"/>
      <c r="B160" s="861" t="s">
        <v>205</v>
      </c>
      <c r="C160" s="862"/>
      <c r="D160" s="862">
        <v>6</v>
      </c>
      <c r="E160" s="862" t="s">
        <v>19</v>
      </c>
      <c r="F160" s="862"/>
      <c r="I160" s="13"/>
    </row>
    <row r="161" spans="1:18" s="2" customFormat="1" ht="63.75" x14ac:dyDescent="0.25">
      <c r="A161" s="854"/>
      <c r="B161" s="854" t="s">
        <v>205</v>
      </c>
      <c r="C161" s="394" t="s">
        <v>972</v>
      </c>
      <c r="D161" s="394" t="s">
        <v>917</v>
      </c>
      <c r="E161" s="854"/>
      <c r="F161" s="855">
        <f>(33+5.5*1)*D162*D163*D164*C182*1000</f>
        <v>178930.75200000001</v>
      </c>
      <c r="I161"/>
      <c r="J161"/>
      <c r="K161"/>
      <c r="Q161" s="17"/>
      <c r="R161" s="17"/>
    </row>
    <row r="162" spans="1:18" s="3" customFormat="1" x14ac:dyDescent="0.25">
      <c r="A162" s="866"/>
      <c r="B162" s="865" t="s">
        <v>4</v>
      </c>
      <c r="C162" s="865" t="s">
        <v>5</v>
      </c>
      <c r="D162" s="866">
        <v>0.4</v>
      </c>
      <c r="E162" s="866"/>
      <c r="F162" s="866"/>
      <c r="I162"/>
      <c r="J162"/>
      <c r="K162"/>
    </row>
    <row r="163" spans="1:18" s="3" customFormat="1" ht="76.5" x14ac:dyDescent="0.25">
      <c r="A163" s="866"/>
      <c r="B163" s="394" t="s">
        <v>46</v>
      </c>
      <c r="C163" s="865" t="s">
        <v>973</v>
      </c>
      <c r="D163" s="866">
        <f>1+(D160-1)*0.2</f>
        <v>2</v>
      </c>
      <c r="E163" s="866"/>
      <c r="F163" s="866"/>
      <c r="I163"/>
      <c r="J163"/>
      <c r="K163"/>
    </row>
    <row r="164" spans="1:18" ht="89.25" x14ac:dyDescent="0.25">
      <c r="A164" s="854"/>
      <c r="B164" s="394" t="s">
        <v>15</v>
      </c>
      <c r="C164" s="394" t="s">
        <v>884</v>
      </c>
      <c r="D164" s="854">
        <f>E165/1</f>
        <v>1.0920000000000001</v>
      </c>
      <c r="E164" s="854"/>
      <c r="F164" s="854"/>
    </row>
    <row r="165" spans="1:18" x14ac:dyDescent="0.25">
      <c r="A165" s="854"/>
      <c r="B165" s="390" t="s">
        <v>6</v>
      </c>
      <c r="C165" s="869">
        <f>SUM(C166:C180)</f>
        <v>1</v>
      </c>
      <c r="D165" s="870"/>
      <c r="E165" s="889">
        <f>SUM(E166:E180)</f>
        <v>1.0920000000000001</v>
      </c>
      <c r="F165" s="875"/>
      <c r="G165" s="4"/>
      <c r="H165" s="4"/>
    </row>
    <row r="166" spans="1:18" hidden="1" outlineLevel="1" x14ac:dyDescent="0.25">
      <c r="A166" s="854"/>
      <c r="B166" s="394" t="s">
        <v>20</v>
      </c>
      <c r="C166" s="873">
        <v>0.01</v>
      </c>
      <c r="D166" s="854">
        <v>1</v>
      </c>
      <c r="E166" s="875">
        <f>C166*D166</f>
        <v>0.01</v>
      </c>
      <c r="F166" s="875"/>
      <c r="G166" s="4"/>
      <c r="H166" s="4"/>
    </row>
    <row r="167" spans="1:18" hidden="1" outlineLevel="1" x14ac:dyDescent="0.25">
      <c r="A167" s="854"/>
      <c r="B167" s="394" t="s">
        <v>21</v>
      </c>
      <c r="C167" s="873">
        <v>0.03</v>
      </c>
      <c r="D167" s="854">
        <v>1</v>
      </c>
      <c r="E167" s="875">
        <f>C167*D167</f>
        <v>0.03</v>
      </c>
      <c r="F167" s="875"/>
      <c r="G167" s="4"/>
      <c r="H167" s="4"/>
    </row>
    <row r="168" spans="1:18" hidden="1" outlineLevel="1" x14ac:dyDescent="0.25">
      <c r="A168" s="854"/>
      <c r="B168" s="394" t="s">
        <v>22</v>
      </c>
      <c r="C168" s="873">
        <v>0.09</v>
      </c>
      <c r="D168" s="879" t="s">
        <v>16</v>
      </c>
      <c r="E168" s="875">
        <f>C168*(1+0.3)</f>
        <v>0.11699999999999999</v>
      </c>
      <c r="F168" s="875"/>
      <c r="G168" s="4"/>
      <c r="H168" s="4"/>
    </row>
    <row r="169" spans="1:18" hidden="1" outlineLevel="1" x14ac:dyDescent="0.25">
      <c r="A169" s="854"/>
      <c r="B169" s="394" t="s">
        <v>23</v>
      </c>
      <c r="C169" s="873">
        <v>0.12</v>
      </c>
      <c r="D169" s="879" t="s">
        <v>16</v>
      </c>
      <c r="E169" s="875">
        <f>C169*(1+0.3)</f>
        <v>0.156</v>
      </c>
      <c r="F169" s="875"/>
      <c r="G169" s="4"/>
      <c r="H169" s="4"/>
    </row>
    <row r="170" spans="1:18" ht="38.25" hidden="1" outlineLevel="1" x14ac:dyDescent="0.25">
      <c r="A170" s="854"/>
      <c r="B170" s="394" t="s">
        <v>24</v>
      </c>
      <c r="C170" s="873">
        <v>0.05</v>
      </c>
      <c r="D170" s="879" t="s">
        <v>16</v>
      </c>
      <c r="E170" s="875">
        <f>C170*(1+0.3)</f>
        <v>6.5000000000000002E-2</v>
      </c>
      <c r="F170" s="875"/>
      <c r="G170" s="4"/>
      <c r="H170" s="4"/>
    </row>
    <row r="171" spans="1:18" ht="38.25" hidden="1" outlineLevel="1" x14ac:dyDescent="0.25">
      <c r="A171" s="854"/>
      <c r="B171" s="394" t="s">
        <v>25</v>
      </c>
      <c r="C171" s="873">
        <v>0.04</v>
      </c>
      <c r="D171" s="879" t="s">
        <v>16</v>
      </c>
      <c r="E171" s="875">
        <f>C171*(1+0.3)</f>
        <v>5.2000000000000005E-2</v>
      </c>
      <c r="F171" s="875"/>
      <c r="G171" s="4"/>
      <c r="H171" s="4"/>
    </row>
    <row r="172" spans="1:18" ht="25.5" hidden="1" outlineLevel="1" x14ac:dyDescent="0.25">
      <c r="A172" s="854"/>
      <c r="B172" s="394" t="s">
        <v>26</v>
      </c>
      <c r="C172" s="873">
        <v>0.05</v>
      </c>
      <c r="D172" s="854">
        <v>1</v>
      </c>
      <c r="E172" s="875">
        <f t="shared" ref="E172:E179" si="5">C172*D172</f>
        <v>0.05</v>
      </c>
      <c r="F172" s="875"/>
      <c r="G172" s="4"/>
      <c r="H172" s="4"/>
    </row>
    <row r="173" spans="1:18" ht="38.25" hidden="1" outlineLevel="1" x14ac:dyDescent="0.25">
      <c r="A173" s="854"/>
      <c r="B173" s="394" t="s">
        <v>27</v>
      </c>
      <c r="C173" s="873">
        <v>0.04</v>
      </c>
      <c r="D173" s="854">
        <v>1</v>
      </c>
      <c r="E173" s="875">
        <f t="shared" si="5"/>
        <v>0.04</v>
      </c>
      <c r="F173" s="875"/>
      <c r="G173" s="4"/>
      <c r="H173" s="4"/>
      <c r="I173" s="8"/>
    </row>
    <row r="174" spans="1:18" ht="25.5" hidden="1" outlineLevel="1" x14ac:dyDescent="0.25">
      <c r="A174" s="854"/>
      <c r="B174" s="394" t="s">
        <v>28</v>
      </c>
      <c r="C174" s="873">
        <v>0.02</v>
      </c>
      <c r="D174" s="854">
        <v>1</v>
      </c>
      <c r="E174" s="875">
        <f t="shared" si="5"/>
        <v>0.02</v>
      </c>
      <c r="F174" s="875"/>
      <c r="G174" s="4"/>
      <c r="H174" s="4"/>
    </row>
    <row r="175" spans="1:18" ht="38.25" hidden="1" outlineLevel="1" x14ac:dyDescent="0.25">
      <c r="A175" s="854"/>
      <c r="B175" s="394" t="s">
        <v>29</v>
      </c>
      <c r="C175" s="873">
        <v>0.31</v>
      </c>
      <c r="D175" s="854">
        <v>1</v>
      </c>
      <c r="E175" s="875">
        <f t="shared" si="5"/>
        <v>0.31</v>
      </c>
      <c r="F175" s="875"/>
      <c r="G175" s="4"/>
      <c r="H175" s="4"/>
    </row>
    <row r="176" spans="1:18" hidden="1" outlineLevel="1" x14ac:dyDescent="0.25">
      <c r="A176" s="854"/>
      <c r="B176" s="394" t="s">
        <v>30</v>
      </c>
      <c r="C176" s="873">
        <v>0.04</v>
      </c>
      <c r="D176" s="879">
        <v>1</v>
      </c>
      <c r="E176" s="875">
        <f t="shared" si="5"/>
        <v>0.04</v>
      </c>
      <c r="F176" s="875"/>
      <c r="G176" s="4"/>
      <c r="H176" s="4"/>
    </row>
    <row r="177" spans="1:11" hidden="1" outlineLevel="1" x14ac:dyDescent="0.25">
      <c r="A177" s="854"/>
      <c r="B177" s="394" t="s">
        <v>31</v>
      </c>
      <c r="C177" s="873">
        <v>0.09</v>
      </c>
      <c r="D177" s="854">
        <v>1</v>
      </c>
      <c r="E177" s="875">
        <f t="shared" si="5"/>
        <v>0.09</v>
      </c>
      <c r="F177" s="875"/>
      <c r="G177" s="4"/>
      <c r="H177" s="4"/>
    </row>
    <row r="178" spans="1:11" hidden="1" outlineLevel="1" x14ac:dyDescent="0.25">
      <c r="A178" s="854"/>
      <c r="B178" s="394" t="s">
        <v>32</v>
      </c>
      <c r="C178" s="873">
        <v>0.05</v>
      </c>
      <c r="D178" s="854">
        <v>1</v>
      </c>
      <c r="E178" s="875">
        <f t="shared" si="5"/>
        <v>0.05</v>
      </c>
      <c r="F178" s="875"/>
      <c r="G178" s="4"/>
      <c r="H178" s="4"/>
    </row>
    <row r="179" spans="1:11" ht="25.5" hidden="1" outlineLevel="1" x14ac:dyDescent="0.25">
      <c r="A179" s="854"/>
      <c r="B179" s="394" t="s">
        <v>33</v>
      </c>
      <c r="C179" s="873">
        <v>0.01</v>
      </c>
      <c r="D179" s="854">
        <v>1</v>
      </c>
      <c r="E179" s="875">
        <f t="shared" si="5"/>
        <v>0.01</v>
      </c>
      <c r="F179" s="875"/>
      <c r="G179" s="4"/>
      <c r="H179" s="4"/>
    </row>
    <row r="180" spans="1:11" hidden="1" outlineLevel="1" x14ac:dyDescent="0.25">
      <c r="A180" s="854"/>
      <c r="B180" s="394" t="s">
        <v>34</v>
      </c>
      <c r="C180" s="873">
        <v>0.05</v>
      </c>
      <c r="D180" s="879"/>
      <c r="E180" s="890">
        <f>SUM(E166:E179)*C180</f>
        <v>5.2000000000000005E-2</v>
      </c>
      <c r="F180" s="890"/>
      <c r="G180" s="14"/>
      <c r="H180" s="14"/>
    </row>
    <row r="181" spans="1:11" s="19" customFormat="1" ht="15.75" collapsed="1" x14ac:dyDescent="0.25">
      <c r="A181" s="862"/>
      <c r="B181" s="862" t="s">
        <v>48</v>
      </c>
      <c r="C181" s="862"/>
      <c r="D181" s="862"/>
      <c r="E181" s="862"/>
      <c r="F181" s="862"/>
    </row>
    <row r="182" spans="1:11" s="19" customFormat="1" ht="15.75" x14ac:dyDescent="0.25">
      <c r="A182" s="862"/>
      <c r="B182" s="862" t="s">
        <v>49</v>
      </c>
      <c r="C182" s="862">
        <v>5.32</v>
      </c>
      <c r="D182" s="880"/>
      <c r="E182" s="862"/>
      <c r="F182" s="862"/>
    </row>
    <row r="183" spans="1:11" collapsed="1" x14ac:dyDescent="0.25">
      <c r="A183" s="854"/>
      <c r="B183" s="861" t="s">
        <v>73</v>
      </c>
      <c r="C183" s="862">
        <f>D13</f>
        <v>550</v>
      </c>
      <c r="D183" s="862" t="s">
        <v>746</v>
      </c>
      <c r="E183" s="854"/>
      <c r="F183" s="854"/>
    </row>
    <row r="184" spans="1:11" s="2" customFormat="1" ht="76.5" x14ac:dyDescent="0.25">
      <c r="A184" s="854"/>
      <c r="B184" s="394" t="s">
        <v>975</v>
      </c>
      <c r="C184" s="863" t="s">
        <v>974</v>
      </c>
      <c r="D184" s="394" t="s">
        <v>992</v>
      </c>
      <c r="E184" s="854"/>
      <c r="F184" s="855">
        <f>(25.97+0.063*550)*1*D185*D186*D187*D188*C207*1000</f>
        <v>312136.62718874996</v>
      </c>
      <c r="I184"/>
      <c r="J184"/>
      <c r="K184"/>
    </row>
    <row r="185" spans="1:11" s="3" customFormat="1" x14ac:dyDescent="0.25">
      <c r="A185" s="866"/>
      <c r="B185" s="865" t="s">
        <v>4</v>
      </c>
      <c r="C185" s="865" t="s">
        <v>852</v>
      </c>
      <c r="D185" s="866">
        <v>0.5</v>
      </c>
      <c r="E185" s="866"/>
      <c r="F185" s="866"/>
      <c r="I185"/>
      <c r="J185"/>
      <c r="K185"/>
    </row>
    <row r="186" spans="1:11" ht="63.75" x14ac:dyDescent="0.25">
      <c r="A186" s="854"/>
      <c r="B186" s="394" t="s">
        <v>276</v>
      </c>
      <c r="C186" s="394" t="s">
        <v>329</v>
      </c>
      <c r="D186" s="867">
        <v>1.3</v>
      </c>
      <c r="E186" s="854"/>
      <c r="F186" s="854"/>
    </row>
    <row r="187" spans="1:11" ht="63.75" x14ac:dyDescent="0.25">
      <c r="A187" s="854"/>
      <c r="B187" s="394" t="s">
        <v>278</v>
      </c>
      <c r="C187" s="394" t="s">
        <v>328</v>
      </c>
      <c r="D187" s="868">
        <v>1.25</v>
      </c>
      <c r="E187" s="854"/>
      <c r="F187" s="854"/>
    </row>
    <row r="188" spans="1:11" ht="89.25" x14ac:dyDescent="0.25">
      <c r="A188" s="854"/>
      <c r="B188" s="394" t="s">
        <v>15</v>
      </c>
      <c r="C188" s="394" t="s">
        <v>275</v>
      </c>
      <c r="D188" s="854">
        <f>E189/1</f>
        <v>1.191225</v>
      </c>
      <c r="E188" s="854"/>
      <c r="F188" s="854"/>
    </row>
    <row r="189" spans="1:11" x14ac:dyDescent="0.25">
      <c r="A189" s="854"/>
      <c r="B189" s="390" t="s">
        <v>6</v>
      </c>
      <c r="C189" s="869">
        <f>SUM(C190:C205)</f>
        <v>1</v>
      </c>
      <c r="D189" s="870"/>
      <c r="E189" s="871">
        <f>SUM(E190:E205)</f>
        <v>1.191225</v>
      </c>
      <c r="F189" s="872"/>
      <c r="G189" s="9"/>
      <c r="H189" s="9"/>
    </row>
    <row r="190" spans="1:11" hidden="1" outlineLevel="1" x14ac:dyDescent="0.25">
      <c r="A190" s="854"/>
      <c r="B190" s="394" t="s">
        <v>20</v>
      </c>
      <c r="C190" s="873">
        <v>0.02</v>
      </c>
      <c r="D190" s="874">
        <v>1</v>
      </c>
      <c r="E190" s="875">
        <f>C190*D190</f>
        <v>0.02</v>
      </c>
      <c r="F190" s="854"/>
    </row>
    <row r="191" spans="1:11" hidden="1" outlineLevel="1" x14ac:dyDescent="0.25">
      <c r="A191" s="854"/>
      <c r="B191" s="394" t="s">
        <v>265</v>
      </c>
      <c r="C191" s="873">
        <v>0.02</v>
      </c>
      <c r="D191" s="874" t="s">
        <v>16</v>
      </c>
      <c r="E191" s="875">
        <f>C191*(1+0.3)</f>
        <v>2.6000000000000002E-2</v>
      </c>
      <c r="F191" s="854"/>
    </row>
    <row r="192" spans="1:11" ht="38.25" hidden="1" outlineLevel="1" x14ac:dyDescent="0.25">
      <c r="A192" s="854"/>
      <c r="B192" s="394" t="s">
        <v>266</v>
      </c>
      <c r="C192" s="873"/>
      <c r="D192" s="876">
        <v>1</v>
      </c>
      <c r="E192" s="873">
        <f>C192*D192</f>
        <v>0</v>
      </c>
      <c r="F192" s="854"/>
    </row>
    <row r="193" spans="1:10" hidden="1" outlineLevel="1" x14ac:dyDescent="0.25">
      <c r="A193" s="854"/>
      <c r="B193" s="877" t="s">
        <v>43</v>
      </c>
      <c r="C193" s="878">
        <v>0.245</v>
      </c>
      <c r="D193" s="874" t="s">
        <v>16</v>
      </c>
      <c r="E193" s="875">
        <f>C193*(1+0.3)</f>
        <v>0.31850000000000001</v>
      </c>
      <c r="F193" s="854"/>
    </row>
    <row r="194" spans="1:10" hidden="1" outlineLevel="1" x14ac:dyDescent="0.25">
      <c r="A194" s="854"/>
      <c r="B194" s="877" t="s">
        <v>267</v>
      </c>
      <c r="C194" s="878">
        <v>0.27500000000000002</v>
      </c>
      <c r="D194" s="874" t="s">
        <v>16</v>
      </c>
      <c r="E194" s="875">
        <f>C194*(1+0.3)</f>
        <v>0.35750000000000004</v>
      </c>
      <c r="F194" s="854"/>
    </row>
    <row r="195" spans="1:10" hidden="1" outlineLevel="1" x14ac:dyDescent="0.25">
      <c r="A195" s="854"/>
      <c r="B195" s="877" t="s">
        <v>268</v>
      </c>
      <c r="C195" s="878">
        <v>1.4999999999999999E-2</v>
      </c>
      <c r="D195" s="874" t="s">
        <v>16</v>
      </c>
      <c r="E195" s="875">
        <f>C195*(1+0.3)</f>
        <v>1.95E-2</v>
      </c>
      <c r="F195" s="854"/>
    </row>
    <row r="196" spans="1:10" hidden="1" outlineLevel="1" x14ac:dyDescent="0.25">
      <c r="A196" s="854"/>
      <c r="B196" s="877" t="s">
        <v>269</v>
      </c>
      <c r="C196" s="878">
        <v>2.5000000000000001E-2</v>
      </c>
      <c r="D196" s="879">
        <v>1</v>
      </c>
      <c r="E196" s="878">
        <f>C196*D196</f>
        <v>2.5000000000000001E-2</v>
      </c>
      <c r="F196" s="854"/>
    </row>
    <row r="197" spans="1:10" hidden="1" outlineLevel="1" x14ac:dyDescent="0.25">
      <c r="A197" s="854"/>
      <c r="B197" s="877" t="s">
        <v>37</v>
      </c>
      <c r="C197" s="878">
        <v>0.1</v>
      </c>
      <c r="D197" s="876">
        <v>1</v>
      </c>
      <c r="E197" s="878">
        <f>C197*D197</f>
        <v>0.1</v>
      </c>
      <c r="F197" s="854"/>
    </row>
    <row r="198" spans="1:10" hidden="1" outlineLevel="1" x14ac:dyDescent="0.25">
      <c r="A198" s="854"/>
      <c r="B198" s="877" t="s">
        <v>270</v>
      </c>
      <c r="C198" s="878">
        <v>2.5000000000000001E-2</v>
      </c>
      <c r="D198" s="879">
        <v>1</v>
      </c>
      <c r="E198" s="878">
        <f>C198*D198</f>
        <v>2.5000000000000001E-2</v>
      </c>
      <c r="F198" s="854"/>
    </row>
    <row r="199" spans="1:10" hidden="1" outlineLevel="1" x14ac:dyDescent="0.25">
      <c r="A199" s="854"/>
      <c r="B199" s="877" t="s">
        <v>271</v>
      </c>
      <c r="C199" s="878">
        <v>1.4999999999999999E-2</v>
      </c>
      <c r="D199" s="879">
        <v>1</v>
      </c>
      <c r="E199" s="878">
        <f>C199*D199</f>
        <v>1.4999999999999999E-2</v>
      </c>
      <c r="F199" s="854"/>
    </row>
    <row r="200" spans="1:10" hidden="1" outlineLevel="1" x14ac:dyDescent="0.25">
      <c r="A200" s="854"/>
      <c r="B200" s="394" t="s">
        <v>272</v>
      </c>
      <c r="C200" s="878">
        <v>0.06</v>
      </c>
      <c r="D200" s="874" t="s">
        <v>16</v>
      </c>
      <c r="E200" s="878">
        <f>C200*(1+0.3)</f>
        <v>7.8E-2</v>
      </c>
      <c r="F200" s="854"/>
    </row>
    <row r="201" spans="1:10" hidden="1" outlineLevel="1" x14ac:dyDescent="0.25">
      <c r="A201" s="854"/>
      <c r="B201" s="394" t="s">
        <v>30</v>
      </c>
      <c r="C201" s="878">
        <v>0.02</v>
      </c>
      <c r="D201" s="879">
        <v>1</v>
      </c>
      <c r="E201" s="878">
        <f>C201*D201</f>
        <v>0.02</v>
      </c>
      <c r="F201" s="854"/>
    </row>
    <row r="202" spans="1:10" hidden="1" outlineLevel="1" x14ac:dyDescent="0.25">
      <c r="A202" s="854"/>
      <c r="B202" s="394" t="s">
        <v>273</v>
      </c>
      <c r="C202" s="878">
        <v>0.01</v>
      </c>
      <c r="D202" s="876">
        <v>1</v>
      </c>
      <c r="E202" s="878">
        <f>C202*D202</f>
        <v>0.01</v>
      </c>
      <c r="F202" s="854"/>
    </row>
    <row r="203" spans="1:10" hidden="1" outlineLevel="1" x14ac:dyDescent="0.25">
      <c r="A203" s="854"/>
      <c r="B203" s="394" t="s">
        <v>274</v>
      </c>
      <c r="C203" s="878">
        <v>0.09</v>
      </c>
      <c r="D203" s="879">
        <v>1</v>
      </c>
      <c r="E203" s="878">
        <f>C203*D203</f>
        <v>0.09</v>
      </c>
      <c r="F203" s="854"/>
    </row>
    <row r="204" spans="1:10" hidden="1" outlineLevel="1" x14ac:dyDescent="0.25">
      <c r="A204" s="854"/>
      <c r="B204" s="394" t="s">
        <v>32</v>
      </c>
      <c r="C204" s="878">
        <v>0.03</v>
      </c>
      <c r="D204" s="879">
        <v>1</v>
      </c>
      <c r="E204" s="878">
        <f>C204*D204</f>
        <v>0.03</v>
      </c>
      <c r="F204" s="854"/>
    </row>
    <row r="205" spans="1:10" hidden="1" outlineLevel="1" x14ac:dyDescent="0.25">
      <c r="A205" s="854"/>
      <c r="B205" s="394" t="s">
        <v>212</v>
      </c>
      <c r="C205" s="878">
        <v>0.05</v>
      </c>
      <c r="D205" s="876"/>
      <c r="E205" s="875">
        <f>SUM(E190:E204)*C205</f>
        <v>5.6725000000000005E-2</v>
      </c>
      <c r="F205" s="854"/>
    </row>
    <row r="206" spans="1:10" s="19" customFormat="1" ht="15.75" collapsed="1" x14ac:dyDescent="0.25">
      <c r="A206" s="862"/>
      <c r="B206" s="862" t="s">
        <v>48</v>
      </c>
      <c r="C206" s="862"/>
      <c r="D206" s="862"/>
      <c r="E206" s="862"/>
      <c r="F206" s="862"/>
    </row>
    <row r="207" spans="1:10" s="19" customFormat="1" ht="15.75" x14ac:dyDescent="0.25">
      <c r="A207" s="862"/>
      <c r="B207" s="862" t="s">
        <v>49</v>
      </c>
      <c r="C207" s="862">
        <v>5.32</v>
      </c>
      <c r="D207" s="880"/>
      <c r="E207" s="862"/>
      <c r="F207" s="862"/>
    </row>
    <row r="208" spans="1:10" s="36" customFormat="1" ht="38.25" x14ac:dyDescent="0.2">
      <c r="A208" s="894"/>
      <c r="B208" s="891" t="s">
        <v>930</v>
      </c>
      <c r="C208" s="892">
        <v>0.04</v>
      </c>
      <c r="D208" s="893"/>
      <c r="E208" s="894"/>
      <c r="F208" s="855">
        <f>(SUM(F30:F184)-F155)*C208</f>
        <v>27496.792902154808</v>
      </c>
      <c r="G208" s="34"/>
      <c r="H208" s="34"/>
      <c r="I208" s="33"/>
      <c r="J208" s="35"/>
    </row>
    <row r="209" spans="1:6" ht="15.75" x14ac:dyDescent="0.25">
      <c r="A209" s="854"/>
      <c r="B209" s="390" t="s">
        <v>50</v>
      </c>
      <c r="C209" s="854"/>
      <c r="D209" s="854"/>
      <c r="E209" s="854"/>
      <c r="F209" s="859">
        <f>SUM(F30:F208)</f>
        <v>1251172.6154560251</v>
      </c>
    </row>
    <row r="210" spans="1:6" x14ac:dyDescent="0.25">
      <c r="A210" s="854"/>
      <c r="B210" s="390" t="s">
        <v>51</v>
      </c>
      <c r="C210" s="854"/>
      <c r="D210" s="854"/>
      <c r="E210" s="854"/>
      <c r="F210" s="906">
        <f>F209*0.2</f>
        <v>250234.52309120505</v>
      </c>
    </row>
    <row r="211" spans="1:6" ht="15.75" x14ac:dyDescent="0.25">
      <c r="A211" s="854"/>
      <c r="B211" s="390" t="s">
        <v>52</v>
      </c>
      <c r="C211" s="854"/>
      <c r="D211" s="854"/>
      <c r="E211" s="854"/>
      <c r="F211" s="859">
        <f>SUM(F209:F210)</f>
        <v>1501407.13854723</v>
      </c>
    </row>
    <row r="212" spans="1:6" x14ac:dyDescent="0.25">
      <c r="A212" s="374"/>
      <c r="B212" s="374"/>
      <c r="C212" s="374"/>
      <c r="D212" s="374"/>
      <c r="E212" s="374"/>
      <c r="F212" s="374"/>
    </row>
    <row r="213" spans="1:6" x14ac:dyDescent="0.25">
      <c r="A213" s="374"/>
      <c r="B213" s="374"/>
      <c r="C213" s="374"/>
      <c r="D213" s="374"/>
      <c r="E213" s="374"/>
      <c r="F213" s="374"/>
    </row>
    <row r="214" spans="1:6" x14ac:dyDescent="0.25">
      <c r="A214" s="374"/>
      <c r="B214" s="374"/>
      <c r="C214" s="374"/>
      <c r="D214" s="374"/>
      <c r="E214" s="374"/>
      <c r="F214" s="374"/>
    </row>
    <row r="215" spans="1:6" x14ac:dyDescent="0.25">
      <c r="A215" s="374"/>
      <c r="B215" s="374"/>
      <c r="C215" s="374"/>
      <c r="D215" s="374"/>
      <c r="E215" s="374"/>
      <c r="F215" s="374"/>
    </row>
    <row r="216" spans="1:6" x14ac:dyDescent="0.25">
      <c r="A216" s="374"/>
      <c r="B216" s="374"/>
      <c r="C216" s="374"/>
      <c r="D216" s="374"/>
      <c r="E216" s="374"/>
      <c r="F216" s="374"/>
    </row>
    <row r="217" spans="1:6" x14ac:dyDescent="0.25">
      <c r="A217" s="374"/>
      <c r="B217" s="374"/>
      <c r="C217" s="374"/>
      <c r="D217" s="374"/>
      <c r="E217" s="374"/>
      <c r="F217" s="374"/>
    </row>
    <row r="218" spans="1:6" x14ac:dyDescent="0.25">
      <c r="A218" s="374"/>
      <c r="B218" s="374"/>
      <c r="C218" s="374"/>
      <c r="D218" s="374"/>
      <c r="E218" s="374"/>
      <c r="F218" s="374"/>
    </row>
    <row r="219" spans="1:6" x14ac:dyDescent="0.25">
      <c r="A219" s="374"/>
      <c r="B219" s="374"/>
      <c r="C219" s="374"/>
      <c r="D219" s="374"/>
      <c r="E219" s="374"/>
      <c r="F219" s="374"/>
    </row>
  </sheetData>
  <mergeCells count="8">
    <mergeCell ref="A23:B23"/>
    <mergeCell ref="A25:B25"/>
    <mergeCell ref="B1:E1"/>
    <mergeCell ref="A15:C15"/>
    <mergeCell ref="A18:F18"/>
    <mergeCell ref="A19:F19"/>
    <mergeCell ref="A21:B21"/>
    <mergeCell ref="C21:F21"/>
  </mergeCells>
  <pageMargins left="0.7" right="0.7" top="0.75" bottom="0.75" header="0.3" footer="0.3"/>
  <pageSetup paperSize="9" scale="5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4"/>
  <sheetViews>
    <sheetView view="pageBreakPreview" topLeftCell="A17" zoomScaleNormal="100" zoomScaleSheetLayoutView="100" workbookViewId="0">
      <selection activeCell="I23" sqref="I23"/>
    </sheetView>
  </sheetViews>
  <sheetFormatPr defaultRowHeight="15" outlineLevelRow="1" x14ac:dyDescent="0.25"/>
  <cols>
    <col min="2" max="2" width="54.85546875" customWidth="1"/>
    <col min="3" max="3" width="32.28515625" customWidth="1"/>
    <col min="4" max="4" width="31.42578125" customWidth="1"/>
    <col min="5" max="5" width="13.5703125" customWidth="1"/>
    <col min="6" max="6" width="19" customWidth="1"/>
  </cols>
  <sheetData>
    <row r="1" spans="1:9" ht="15.75" hidden="1" x14ac:dyDescent="0.25">
      <c r="A1" s="307"/>
      <c r="B1" s="1251" t="s">
        <v>167</v>
      </c>
      <c r="C1" s="1251"/>
      <c r="D1" s="1251"/>
      <c r="E1" s="1252"/>
      <c r="F1" s="308"/>
    </row>
    <row r="2" spans="1:9" ht="16.5" hidden="1" thickBot="1" x14ac:dyDescent="0.3">
      <c r="A2" s="344" t="s">
        <v>168</v>
      </c>
      <c r="B2" s="302" t="s">
        <v>65</v>
      </c>
      <c r="C2" s="345" t="s">
        <v>0</v>
      </c>
      <c r="D2" s="346">
        <v>0.4</v>
      </c>
      <c r="E2" s="347"/>
      <c r="F2" s="40"/>
    </row>
    <row r="3" spans="1:9" ht="16.5" hidden="1" thickBot="1" x14ac:dyDescent="0.3">
      <c r="A3" s="344" t="s">
        <v>169</v>
      </c>
      <c r="B3" s="302" t="s">
        <v>170</v>
      </c>
      <c r="C3" s="345" t="s">
        <v>183</v>
      </c>
      <c r="D3" s="346">
        <v>60</v>
      </c>
      <c r="E3" s="305" t="s">
        <v>623</v>
      </c>
      <c r="F3" s="40" t="s">
        <v>288</v>
      </c>
    </row>
    <row r="4" spans="1:9" ht="95.25" hidden="1" thickBot="1" x14ac:dyDescent="0.3">
      <c r="A4" s="344" t="s">
        <v>171</v>
      </c>
      <c r="B4" s="302" t="s">
        <v>71</v>
      </c>
      <c r="C4" s="345"/>
      <c r="D4" s="346"/>
      <c r="E4" s="305" t="s">
        <v>625</v>
      </c>
      <c r="F4" s="40" t="s">
        <v>256</v>
      </c>
    </row>
    <row r="5" spans="1:9" ht="16.5" hidden="1" thickBot="1" x14ac:dyDescent="0.3">
      <c r="A5" s="344" t="s">
        <v>977</v>
      </c>
      <c r="B5" s="302" t="s">
        <v>628</v>
      </c>
      <c r="C5" s="345" t="s">
        <v>211</v>
      </c>
      <c r="D5" s="346">
        <v>2</v>
      </c>
      <c r="E5" s="305"/>
      <c r="F5" s="40"/>
    </row>
    <row r="6" spans="1:9" ht="31.5" hidden="1" customHeight="1" thickBot="1" x14ac:dyDescent="0.3">
      <c r="A6" s="344" t="s">
        <v>978</v>
      </c>
      <c r="B6" s="302" t="s">
        <v>630</v>
      </c>
      <c r="C6" s="345" t="s">
        <v>211</v>
      </c>
      <c r="D6" s="346">
        <v>2</v>
      </c>
      <c r="E6" s="305"/>
      <c r="F6" s="40"/>
    </row>
    <row r="7" spans="1:9" ht="48" hidden="1" thickBot="1" x14ac:dyDescent="0.3">
      <c r="A7" s="344" t="s">
        <v>172</v>
      </c>
      <c r="B7" s="302" t="s">
        <v>73</v>
      </c>
      <c r="C7" s="345" t="s">
        <v>620</v>
      </c>
      <c r="D7" s="346">
        <v>200</v>
      </c>
      <c r="E7" s="305" t="s">
        <v>641</v>
      </c>
      <c r="F7" s="40" t="s">
        <v>262</v>
      </c>
      <c r="G7" t="s">
        <v>981</v>
      </c>
    </row>
    <row r="8" spans="1:9" ht="16.5" hidden="1" thickBot="1" x14ac:dyDescent="0.3">
      <c r="A8" s="344" t="s">
        <v>173</v>
      </c>
      <c r="B8" s="302" t="s">
        <v>79</v>
      </c>
      <c r="C8" s="345" t="s">
        <v>211</v>
      </c>
      <c r="D8" s="346">
        <v>10</v>
      </c>
      <c r="E8" s="305" t="s">
        <v>635</v>
      </c>
      <c r="F8" s="40" t="s">
        <v>254</v>
      </c>
    </row>
    <row r="9" spans="1:9" ht="16.5" hidden="1" thickBot="1" x14ac:dyDescent="0.3">
      <c r="A9" s="320" t="s">
        <v>174</v>
      </c>
      <c r="B9" s="321" t="s">
        <v>82</v>
      </c>
      <c r="C9" s="337" t="s">
        <v>668</v>
      </c>
      <c r="D9" s="366" t="s">
        <v>982</v>
      </c>
      <c r="E9" s="340" t="s">
        <v>635</v>
      </c>
      <c r="F9" s="40" t="s">
        <v>254</v>
      </c>
      <c r="G9" t="s">
        <v>638</v>
      </c>
    </row>
    <row r="10" spans="1:9" ht="15.75" hidden="1" x14ac:dyDescent="0.25">
      <c r="A10" s="344" t="s">
        <v>983</v>
      </c>
      <c r="B10" s="349" t="s">
        <v>127</v>
      </c>
      <c r="C10" s="350" t="s">
        <v>0</v>
      </c>
      <c r="D10" s="351">
        <v>0.3</v>
      </c>
      <c r="E10" s="305"/>
      <c r="F10" s="306"/>
    </row>
    <row r="11" spans="1:9" hidden="1" x14ac:dyDescent="0.25"/>
    <row r="12" spans="1:9" hidden="1" x14ac:dyDescent="0.25"/>
    <row r="13" spans="1:9" s="828" customFormat="1" ht="27" customHeight="1" x14ac:dyDescent="0.25">
      <c r="A13" s="1254" t="s">
        <v>2397</v>
      </c>
      <c r="B13" s="1254"/>
      <c r="C13" s="1254"/>
      <c r="E13" s="835"/>
      <c r="F13" s="835" t="s">
        <v>2398</v>
      </c>
      <c r="G13" s="835"/>
      <c r="H13" s="835"/>
      <c r="I13" s="835"/>
    </row>
    <row r="14" spans="1:9" s="831" customFormat="1" x14ac:dyDescent="0.25">
      <c r="A14" s="829"/>
      <c r="B14" s="829"/>
      <c r="C14" s="829"/>
      <c r="D14" s="830"/>
      <c r="E14" s="830"/>
      <c r="F14" s="830"/>
      <c r="G14" s="830"/>
      <c r="H14" s="830"/>
      <c r="I14" s="830"/>
    </row>
    <row r="15" spans="1:9" s="831" customFormat="1" x14ac:dyDescent="0.25">
      <c r="A15" s="829"/>
      <c r="B15" s="829"/>
      <c r="C15" s="829"/>
      <c r="D15" s="830"/>
      <c r="E15" s="830"/>
      <c r="F15" s="830"/>
      <c r="G15" s="830"/>
      <c r="H15" s="830"/>
      <c r="I15" s="830"/>
    </row>
    <row r="16" spans="1:9" s="828" customFormat="1" ht="28.5" customHeight="1" x14ac:dyDescent="0.25">
      <c r="A16" s="1255" t="s">
        <v>2417</v>
      </c>
      <c r="B16" s="1255"/>
      <c r="C16" s="1255"/>
      <c r="D16" s="1255"/>
      <c r="E16" s="1255"/>
      <c r="F16" s="1255"/>
      <c r="G16" s="836"/>
      <c r="H16" s="836"/>
      <c r="I16" s="836"/>
    </row>
    <row r="17" spans="1:11" s="839" customFormat="1" ht="15.75" x14ac:dyDescent="0.25">
      <c r="A17" s="1256" t="s">
        <v>1112</v>
      </c>
      <c r="B17" s="1256"/>
      <c r="C17" s="1256"/>
      <c r="D17" s="1256"/>
      <c r="E17" s="1256"/>
      <c r="F17" s="1256"/>
      <c r="G17" s="838"/>
      <c r="H17" s="838"/>
      <c r="I17" s="838"/>
    </row>
    <row r="18" spans="1:11" s="828" customFormat="1" ht="15.75" x14ac:dyDescent="0.25">
      <c r="A18" s="840"/>
      <c r="B18" s="840"/>
      <c r="C18" s="840"/>
      <c r="D18" s="841"/>
      <c r="E18" s="841"/>
      <c r="F18" s="841"/>
      <c r="G18" s="829"/>
      <c r="H18" s="832"/>
      <c r="I18" s="832"/>
    </row>
    <row r="19" spans="1:11" s="828" customFormat="1" ht="81" customHeight="1" x14ac:dyDescent="0.25">
      <c r="A19" s="1258" t="s">
        <v>2399</v>
      </c>
      <c r="B19" s="1258"/>
      <c r="C19" s="1257" t="s">
        <v>2418</v>
      </c>
      <c r="D19" s="1257"/>
      <c r="E19" s="1257"/>
      <c r="F19" s="1257"/>
      <c r="G19" s="837"/>
      <c r="H19" s="837"/>
      <c r="I19" s="837"/>
    </row>
    <row r="20" spans="1:11" s="828" customFormat="1" ht="15.75" x14ac:dyDescent="0.25">
      <c r="A20" s="842"/>
      <c r="B20" s="842"/>
      <c r="C20" s="842"/>
      <c r="D20" s="840"/>
      <c r="E20" s="840"/>
      <c r="F20" s="840"/>
      <c r="G20" s="832"/>
      <c r="H20" s="832"/>
      <c r="I20" s="832"/>
    </row>
    <row r="21" spans="1:11" s="828" customFormat="1" ht="41.25" customHeight="1" x14ac:dyDescent="0.25">
      <c r="A21" s="1253" t="s">
        <v>1203</v>
      </c>
      <c r="B21" s="1253"/>
      <c r="C21" s="843"/>
      <c r="D21" s="843"/>
      <c r="E21" s="843"/>
      <c r="F21" s="843"/>
      <c r="G21" s="833"/>
      <c r="H21" s="833"/>
      <c r="I21" s="833"/>
    </row>
    <row r="22" spans="1:11" s="828" customFormat="1" ht="15.75" x14ac:dyDescent="0.25">
      <c r="A22" s="840"/>
      <c r="B22" s="840"/>
      <c r="C22" s="840"/>
      <c r="D22" s="840"/>
      <c r="E22" s="840"/>
      <c r="F22" s="840"/>
      <c r="G22" s="832"/>
      <c r="H22" s="832"/>
      <c r="I22" s="832"/>
    </row>
    <row r="23" spans="1:11" s="828" customFormat="1" ht="30" customHeight="1" x14ac:dyDescent="0.25">
      <c r="A23" s="1253" t="s">
        <v>2400</v>
      </c>
      <c r="B23" s="1253"/>
      <c r="C23" s="843" t="s">
        <v>2403</v>
      </c>
      <c r="D23" s="843"/>
      <c r="E23" s="843"/>
      <c r="F23" s="843"/>
      <c r="G23" s="833"/>
      <c r="H23" s="833"/>
      <c r="I23" s="833"/>
    </row>
    <row r="24" spans="1:11" s="294" customFormat="1" ht="38.25" x14ac:dyDescent="0.25">
      <c r="A24" s="298" t="s">
        <v>529</v>
      </c>
      <c r="B24" s="298" t="s">
        <v>528</v>
      </c>
      <c r="C24" s="298" t="s">
        <v>527</v>
      </c>
      <c r="D24" s="271" t="s">
        <v>526</v>
      </c>
      <c r="E24" s="377"/>
      <c r="F24" s="298" t="s">
        <v>525</v>
      </c>
    </row>
    <row r="25" spans="1:11" s="268" customFormat="1" ht="12.75" x14ac:dyDescent="0.2">
      <c r="A25" s="298">
        <v>1</v>
      </c>
      <c r="B25" s="298">
        <v>2</v>
      </c>
      <c r="C25" s="298">
        <v>3</v>
      </c>
      <c r="D25" s="298">
        <v>4</v>
      </c>
      <c r="E25" s="298"/>
      <c r="F25" s="298">
        <v>5</v>
      </c>
      <c r="G25" s="295"/>
    </row>
    <row r="26" spans="1:11" x14ac:dyDescent="0.25">
      <c r="A26" s="910"/>
      <c r="B26" s="911" t="str">
        <f>B3</f>
        <v>Зона воркаута</v>
      </c>
      <c r="C26" s="912">
        <v>1</v>
      </c>
      <c r="D26" s="912" t="s">
        <v>214</v>
      </c>
      <c r="E26" s="910"/>
      <c r="F26" s="910"/>
    </row>
    <row r="27" spans="1:11" s="2" customFormat="1" ht="51" x14ac:dyDescent="0.25">
      <c r="A27" s="854"/>
      <c r="B27" s="854" t="s">
        <v>965</v>
      </c>
      <c r="C27" s="394" t="s">
        <v>932</v>
      </c>
      <c r="D27" s="394" t="s">
        <v>1084</v>
      </c>
      <c r="E27" s="854"/>
      <c r="F27" s="855">
        <f>49.37*C26*D29*D28*D30*C50*1000</f>
        <v>30183.028831200012</v>
      </c>
      <c r="G27" s="37"/>
      <c r="H27" s="37"/>
      <c r="I27"/>
      <c r="J27"/>
      <c r="K27"/>
    </row>
    <row r="28" spans="1:11" s="3" customFormat="1" x14ac:dyDescent="0.25">
      <c r="A28" s="866"/>
      <c r="B28" s="865" t="s">
        <v>4</v>
      </c>
      <c r="C28" s="865" t="s">
        <v>5</v>
      </c>
      <c r="D28" s="866">
        <v>0.4</v>
      </c>
      <c r="E28" s="866"/>
      <c r="F28" s="866"/>
      <c r="I28"/>
      <c r="J28"/>
      <c r="K28"/>
    </row>
    <row r="29" spans="1:11" ht="102" x14ac:dyDescent="0.25">
      <c r="A29" s="854"/>
      <c r="B29" s="394" t="s">
        <v>310</v>
      </c>
      <c r="C29" s="394" t="s">
        <v>311</v>
      </c>
      <c r="D29" s="854">
        <v>0.25</v>
      </c>
      <c r="E29" s="854"/>
      <c r="F29" s="854"/>
    </row>
    <row r="30" spans="1:11" ht="89.25" x14ac:dyDescent="0.25">
      <c r="A30" s="854"/>
      <c r="B30" s="394" t="s">
        <v>15</v>
      </c>
      <c r="C30" s="394" t="s">
        <v>1083</v>
      </c>
      <c r="D30" s="854">
        <f>E31/1</f>
        <v>1.1491800000000003</v>
      </c>
      <c r="E30" s="854"/>
      <c r="F30" s="854"/>
    </row>
    <row r="31" spans="1:11" x14ac:dyDescent="0.25">
      <c r="A31" s="854"/>
      <c r="B31" s="390" t="s">
        <v>6</v>
      </c>
      <c r="C31" s="869">
        <f>SUM(C32:C48)</f>
        <v>1.0000000000000002</v>
      </c>
      <c r="D31" s="870"/>
      <c r="E31" s="871">
        <f>SUM(E32:E48)</f>
        <v>1.1491800000000003</v>
      </c>
      <c r="F31" s="872"/>
      <c r="G31" s="9"/>
      <c r="H31" s="9"/>
    </row>
    <row r="32" spans="1:11" hidden="1" outlineLevel="1" x14ac:dyDescent="0.25">
      <c r="A32" s="854"/>
      <c r="B32" s="394" t="s">
        <v>20</v>
      </c>
      <c r="C32" s="873">
        <v>0.02</v>
      </c>
      <c r="D32" s="879">
        <v>1</v>
      </c>
      <c r="E32" s="875">
        <f>C32*D32</f>
        <v>0.02</v>
      </c>
      <c r="F32" s="870"/>
      <c r="G32" s="6"/>
      <c r="H32" s="6"/>
    </row>
    <row r="33" spans="1:9" hidden="1" outlineLevel="1" x14ac:dyDescent="0.25">
      <c r="A33" s="854"/>
      <c r="B33" s="394" t="s">
        <v>21</v>
      </c>
      <c r="C33" s="873">
        <v>0.04</v>
      </c>
      <c r="D33" s="854">
        <v>1</v>
      </c>
      <c r="E33" s="875">
        <f>C33*D33</f>
        <v>0.04</v>
      </c>
      <c r="F33" s="854"/>
    </row>
    <row r="34" spans="1:9" hidden="1" outlineLevel="1" x14ac:dyDescent="0.25">
      <c r="A34" s="854"/>
      <c r="B34" s="394" t="s">
        <v>22</v>
      </c>
      <c r="C34" s="873">
        <v>0.14000000000000001</v>
      </c>
      <c r="D34" s="879" t="s">
        <v>16</v>
      </c>
      <c r="E34" s="875">
        <f>C34*(1+0.3)</f>
        <v>0.18200000000000002</v>
      </c>
      <c r="F34" s="854"/>
    </row>
    <row r="35" spans="1:9" hidden="1" outlineLevel="1" x14ac:dyDescent="0.25">
      <c r="A35" s="854"/>
      <c r="B35" s="394" t="s">
        <v>23</v>
      </c>
      <c r="C35" s="873">
        <v>0.15</v>
      </c>
      <c r="D35" s="879" t="s">
        <v>16</v>
      </c>
      <c r="E35" s="875">
        <f>C35*(1+0.3)</f>
        <v>0.19500000000000001</v>
      </c>
      <c r="F35" s="854"/>
    </row>
    <row r="36" spans="1:9" ht="25.5" hidden="1" outlineLevel="1" x14ac:dyDescent="0.25">
      <c r="A36" s="854"/>
      <c r="B36" s="394" t="s">
        <v>36</v>
      </c>
      <c r="C36" s="873"/>
      <c r="D36" s="879"/>
      <c r="E36" s="875">
        <f>C36*(1+0.3)</f>
        <v>0</v>
      </c>
      <c r="F36" s="870"/>
      <c r="G36" s="6"/>
      <c r="H36" s="6"/>
    </row>
    <row r="37" spans="1:9" hidden="1" outlineLevel="1" x14ac:dyDescent="0.25">
      <c r="A37" s="854"/>
      <c r="B37" s="877" t="s">
        <v>37</v>
      </c>
      <c r="C37" s="873">
        <v>7.0000000000000007E-2</v>
      </c>
      <c r="D37" s="879" t="s">
        <v>16</v>
      </c>
      <c r="E37" s="875">
        <f>C37*(1+0.3)</f>
        <v>9.1000000000000011E-2</v>
      </c>
      <c r="F37" s="870"/>
      <c r="G37" s="6"/>
      <c r="H37" s="6"/>
    </row>
    <row r="38" spans="1:9" hidden="1" outlineLevel="1" x14ac:dyDescent="0.25">
      <c r="A38" s="854"/>
      <c r="B38" s="877" t="s">
        <v>38</v>
      </c>
      <c r="C38" s="873">
        <v>0.04</v>
      </c>
      <c r="D38" s="879">
        <v>1</v>
      </c>
      <c r="E38" s="875">
        <f>C38*D38</f>
        <v>0.04</v>
      </c>
      <c r="F38" s="870"/>
      <c r="G38" s="6"/>
      <c r="H38" s="6"/>
    </row>
    <row r="39" spans="1:9" hidden="1" outlineLevel="1" x14ac:dyDescent="0.25">
      <c r="A39" s="854"/>
      <c r="B39" s="877" t="s">
        <v>39</v>
      </c>
      <c r="C39" s="873">
        <v>0.04</v>
      </c>
      <c r="D39" s="879" t="s">
        <v>16</v>
      </c>
      <c r="E39" s="875">
        <f t="shared" ref="E39:E43" si="0">C39*(1+0.3)</f>
        <v>5.2000000000000005E-2</v>
      </c>
      <c r="F39" s="882"/>
      <c r="G39" s="7"/>
      <c r="H39" s="7"/>
      <c r="I39" s="8"/>
    </row>
    <row r="40" spans="1:9" hidden="1" outlineLevel="1" x14ac:dyDescent="0.25">
      <c r="A40" s="854"/>
      <c r="B40" s="877" t="s">
        <v>40</v>
      </c>
      <c r="C40" s="873">
        <v>0.12</v>
      </c>
      <c r="D40" s="879">
        <v>1</v>
      </c>
      <c r="E40" s="875">
        <f>C40*D40</f>
        <v>0.12</v>
      </c>
      <c r="F40" s="870"/>
      <c r="G40" s="6"/>
      <c r="H40" s="6"/>
    </row>
    <row r="41" spans="1:9" hidden="1" outlineLevel="1" x14ac:dyDescent="0.25">
      <c r="A41" s="854"/>
      <c r="B41" s="877" t="s">
        <v>41</v>
      </c>
      <c r="C41" s="873">
        <v>0.03</v>
      </c>
      <c r="D41" s="879" t="s">
        <v>16</v>
      </c>
      <c r="E41" s="875">
        <f t="shared" si="0"/>
        <v>3.9E-2</v>
      </c>
      <c r="F41" s="854"/>
    </row>
    <row r="42" spans="1:9" hidden="1" outlineLevel="1" x14ac:dyDescent="0.25">
      <c r="A42" s="854"/>
      <c r="B42" s="877" t="s">
        <v>42</v>
      </c>
      <c r="C42" s="873">
        <v>0.02</v>
      </c>
      <c r="D42" s="879">
        <v>1</v>
      </c>
      <c r="E42" s="875">
        <f>C42*D42</f>
        <v>0.02</v>
      </c>
      <c r="F42" s="854"/>
    </row>
    <row r="43" spans="1:9" hidden="1" outlineLevel="1" x14ac:dyDescent="0.25">
      <c r="A43" s="854"/>
      <c r="B43" s="877" t="s">
        <v>43</v>
      </c>
      <c r="C43" s="873">
        <v>0.05</v>
      </c>
      <c r="D43" s="879" t="s">
        <v>16</v>
      </c>
      <c r="E43" s="875">
        <f t="shared" si="0"/>
        <v>6.5000000000000002E-2</v>
      </c>
      <c r="F43" s="854"/>
    </row>
    <row r="44" spans="1:9" hidden="1" outlineLevel="1" x14ac:dyDescent="0.25">
      <c r="A44" s="854"/>
      <c r="B44" s="394" t="s">
        <v>30</v>
      </c>
      <c r="C44" s="873">
        <v>0.06</v>
      </c>
      <c r="D44" s="879">
        <v>1</v>
      </c>
      <c r="E44" s="875">
        <f>C44*D44</f>
        <v>0.06</v>
      </c>
      <c r="F44" s="870"/>
      <c r="G44" s="6"/>
      <c r="H44" s="6"/>
    </row>
    <row r="45" spans="1:9" hidden="1" outlineLevel="1" x14ac:dyDescent="0.25">
      <c r="A45" s="854"/>
      <c r="B45" s="394" t="s">
        <v>44</v>
      </c>
      <c r="C45" s="873">
        <v>7.0000000000000007E-2</v>
      </c>
      <c r="D45" s="879">
        <v>1</v>
      </c>
      <c r="E45" s="875">
        <f>C45*D45</f>
        <v>7.0000000000000007E-2</v>
      </c>
      <c r="F45" s="882"/>
      <c r="G45" s="7"/>
      <c r="H45" s="7"/>
      <c r="I45" s="8"/>
    </row>
    <row r="46" spans="1:9" hidden="1" outlineLevel="1" x14ac:dyDescent="0.25">
      <c r="A46" s="854"/>
      <c r="B46" s="394" t="s">
        <v>32</v>
      </c>
      <c r="C46" s="873">
        <v>0.06</v>
      </c>
      <c r="D46" s="879">
        <v>1</v>
      </c>
      <c r="E46" s="875">
        <f>C46*D46</f>
        <v>0.06</v>
      </c>
      <c r="F46" s="870"/>
      <c r="G46" s="6"/>
      <c r="H46" s="6"/>
    </row>
    <row r="47" spans="1:9" hidden="1" outlineLevel="1" x14ac:dyDescent="0.25">
      <c r="A47" s="854"/>
      <c r="B47" s="394" t="s">
        <v>45</v>
      </c>
      <c r="C47" s="873">
        <v>0.02</v>
      </c>
      <c r="D47" s="879">
        <v>1</v>
      </c>
      <c r="E47" s="875">
        <f>C47*D47</f>
        <v>0.02</v>
      </c>
      <c r="F47" s="854"/>
    </row>
    <row r="48" spans="1:9" hidden="1" outlineLevel="1" x14ac:dyDescent="0.25">
      <c r="A48" s="854"/>
      <c r="B48" s="854" t="s">
        <v>13</v>
      </c>
      <c r="C48" s="873">
        <v>7.0000000000000007E-2</v>
      </c>
      <c r="D48" s="854"/>
      <c r="E48" s="881">
        <f>SUM(E32:E47)*C48</f>
        <v>7.5180000000000025E-2</v>
      </c>
      <c r="F48" s="882"/>
      <c r="G48" s="7"/>
      <c r="H48" s="7"/>
      <c r="I48" s="8"/>
    </row>
    <row r="49" spans="1:16" s="19" customFormat="1" ht="15.75" collapsed="1" x14ac:dyDescent="0.25">
      <c r="A49" s="862"/>
      <c r="B49" s="862" t="s">
        <v>48</v>
      </c>
      <c r="C49" s="862"/>
      <c r="D49" s="862"/>
      <c r="E49" s="862"/>
      <c r="F49" s="862"/>
    </row>
    <row r="50" spans="1:16" s="19" customFormat="1" ht="15.75" x14ac:dyDescent="0.25">
      <c r="A50" s="862"/>
      <c r="B50" s="862" t="s">
        <v>49</v>
      </c>
      <c r="C50" s="862">
        <v>5.32</v>
      </c>
      <c r="D50" s="880"/>
      <c r="E50" s="862"/>
      <c r="F50" s="862"/>
    </row>
    <row r="51" spans="1:16" s="10" customFormat="1" x14ac:dyDescent="0.25">
      <c r="A51" s="861"/>
      <c r="B51" s="861" t="s">
        <v>71</v>
      </c>
      <c r="C51" s="861">
        <f>D5+D6</f>
        <v>4</v>
      </c>
      <c r="D51" s="883" t="s">
        <v>211</v>
      </c>
      <c r="E51" s="861"/>
      <c r="F51" s="884"/>
      <c r="G51" s="15"/>
      <c r="H51" s="15"/>
      <c r="I51" s="16"/>
    </row>
    <row r="52" spans="1:16" s="2" customFormat="1" ht="76.5" x14ac:dyDescent="0.25">
      <c r="A52" s="854"/>
      <c r="B52" s="394" t="s">
        <v>984</v>
      </c>
      <c r="C52" s="394" t="s">
        <v>879</v>
      </c>
      <c r="D52" s="394" t="s">
        <v>986</v>
      </c>
      <c r="E52" s="854"/>
      <c r="F52" s="855">
        <f>19.082*D53*D54*D55*C75*1000</f>
        <v>75079.786844160044</v>
      </c>
      <c r="I52"/>
      <c r="J52"/>
      <c r="K52"/>
      <c r="O52" s="17"/>
      <c r="P52" s="17"/>
    </row>
    <row r="53" spans="1:16" s="3" customFormat="1" x14ac:dyDescent="0.25">
      <c r="A53" s="866"/>
      <c r="B53" s="865" t="s">
        <v>4</v>
      </c>
      <c r="C53" s="865" t="s">
        <v>5</v>
      </c>
      <c r="D53" s="866">
        <v>0.4</v>
      </c>
      <c r="E53" s="866"/>
      <c r="F53" s="866"/>
      <c r="I53"/>
      <c r="J53"/>
      <c r="K53"/>
    </row>
    <row r="54" spans="1:16" s="3" customFormat="1" ht="76.5" x14ac:dyDescent="0.25">
      <c r="A54" s="866"/>
      <c r="B54" s="394" t="s">
        <v>46</v>
      </c>
      <c r="C54" s="865" t="s">
        <v>985</v>
      </c>
      <c r="D54" s="866">
        <f>1+(C51-1)*0.2</f>
        <v>1.6</v>
      </c>
      <c r="E54" s="866"/>
      <c r="F54" s="866"/>
      <c r="I54"/>
      <c r="J54"/>
      <c r="K54"/>
    </row>
    <row r="55" spans="1:16" s="2" customFormat="1" ht="89.25" x14ac:dyDescent="0.25">
      <c r="A55" s="854"/>
      <c r="B55" s="394" t="s">
        <v>15</v>
      </c>
      <c r="C55" s="394" t="s">
        <v>209</v>
      </c>
      <c r="D55" s="854">
        <f>E56/1</f>
        <v>1.1556000000000004</v>
      </c>
      <c r="E55" s="854"/>
      <c r="F55" s="854"/>
    </row>
    <row r="56" spans="1:16" x14ac:dyDescent="0.25">
      <c r="A56" s="854"/>
      <c r="B56" s="390" t="s">
        <v>6</v>
      </c>
      <c r="C56" s="869">
        <f>SUM(C57:C73)</f>
        <v>1.0000000000000002</v>
      </c>
      <c r="D56" s="870"/>
      <c r="E56" s="871">
        <f>SUM(E57:E73)</f>
        <v>1.1556000000000004</v>
      </c>
      <c r="F56" s="872"/>
      <c r="G56" s="9"/>
      <c r="H56" s="9"/>
    </row>
    <row r="57" spans="1:16" hidden="1" outlineLevel="1" x14ac:dyDescent="0.25">
      <c r="A57" s="854"/>
      <c r="B57" s="394" t="s">
        <v>20</v>
      </c>
      <c r="C57" s="873">
        <v>0.02</v>
      </c>
      <c r="D57" s="879">
        <v>1</v>
      </c>
      <c r="E57" s="875">
        <f>C57*D57</f>
        <v>0.02</v>
      </c>
      <c r="F57" s="870"/>
      <c r="G57" s="6"/>
      <c r="H57" s="6"/>
    </row>
    <row r="58" spans="1:16" hidden="1" outlineLevel="1" x14ac:dyDescent="0.25">
      <c r="A58" s="854"/>
      <c r="B58" s="394" t="s">
        <v>21</v>
      </c>
      <c r="C58" s="873">
        <v>0.04</v>
      </c>
      <c r="D58" s="854">
        <v>1</v>
      </c>
      <c r="E58" s="875">
        <f>C58*D58</f>
        <v>0.04</v>
      </c>
      <c r="F58" s="854"/>
    </row>
    <row r="59" spans="1:16" hidden="1" outlineLevel="1" x14ac:dyDescent="0.25">
      <c r="A59" s="854"/>
      <c r="B59" s="394" t="s">
        <v>22</v>
      </c>
      <c r="C59" s="873">
        <v>0.14000000000000001</v>
      </c>
      <c r="D59" s="879" t="s">
        <v>16</v>
      </c>
      <c r="E59" s="875">
        <f>C59*(1+0.3)</f>
        <v>0.18200000000000002</v>
      </c>
      <c r="F59" s="854"/>
    </row>
    <row r="60" spans="1:16" hidden="1" outlineLevel="1" x14ac:dyDescent="0.25">
      <c r="A60" s="854"/>
      <c r="B60" s="394" t="s">
        <v>23</v>
      </c>
      <c r="C60" s="873">
        <v>0.15</v>
      </c>
      <c r="D60" s="879" t="s">
        <v>16</v>
      </c>
      <c r="E60" s="875">
        <f>C60*(1+0.3)</f>
        <v>0.19500000000000001</v>
      </c>
      <c r="F60" s="854"/>
    </row>
    <row r="61" spans="1:16" ht="25.5" hidden="1" outlineLevel="1" x14ac:dyDescent="0.25">
      <c r="A61" s="854"/>
      <c r="B61" s="394" t="s">
        <v>36</v>
      </c>
      <c r="C61" s="873"/>
      <c r="D61" s="879"/>
      <c r="E61" s="875"/>
      <c r="F61" s="870"/>
      <c r="G61" s="6"/>
      <c r="H61" s="6"/>
    </row>
    <row r="62" spans="1:16" hidden="1" outlineLevel="1" x14ac:dyDescent="0.25">
      <c r="A62" s="854"/>
      <c r="B62" s="877" t="s">
        <v>37</v>
      </c>
      <c r="C62" s="873">
        <v>7.0000000000000007E-2</v>
      </c>
      <c r="D62" s="879">
        <v>1</v>
      </c>
      <c r="E62" s="875">
        <f>C62*D62</f>
        <v>7.0000000000000007E-2</v>
      </c>
      <c r="F62" s="870"/>
      <c r="G62" s="6"/>
      <c r="H62" s="6"/>
    </row>
    <row r="63" spans="1:16" hidden="1" outlineLevel="1" x14ac:dyDescent="0.25">
      <c r="A63" s="854"/>
      <c r="B63" s="877" t="s">
        <v>38</v>
      </c>
      <c r="C63" s="873">
        <v>0.04</v>
      </c>
      <c r="D63" s="879">
        <v>1</v>
      </c>
      <c r="E63" s="875">
        <f t="shared" ref="E63:E68" si="1">C63*D63</f>
        <v>0.04</v>
      </c>
      <c r="F63" s="870"/>
      <c r="G63" s="6"/>
      <c r="H63" s="6"/>
    </row>
    <row r="64" spans="1:16" hidden="1" outlineLevel="1" x14ac:dyDescent="0.25">
      <c r="A64" s="854"/>
      <c r="B64" s="877" t="s">
        <v>39</v>
      </c>
      <c r="C64" s="873">
        <v>0.04</v>
      </c>
      <c r="D64" s="879">
        <v>1</v>
      </c>
      <c r="E64" s="875">
        <f t="shared" si="1"/>
        <v>0.04</v>
      </c>
      <c r="F64" s="882"/>
      <c r="G64" s="7"/>
      <c r="H64" s="7"/>
      <c r="I64" s="8"/>
    </row>
    <row r="65" spans="1:11" hidden="1" outlineLevel="1" x14ac:dyDescent="0.25">
      <c r="A65" s="854"/>
      <c r="B65" s="877" t="s">
        <v>40</v>
      </c>
      <c r="C65" s="873">
        <v>0.12</v>
      </c>
      <c r="D65" s="879">
        <v>1</v>
      </c>
      <c r="E65" s="875">
        <f t="shared" si="1"/>
        <v>0.12</v>
      </c>
      <c r="F65" s="870"/>
      <c r="G65" s="6"/>
      <c r="H65" s="6"/>
    </row>
    <row r="66" spans="1:11" hidden="1" outlineLevel="1" x14ac:dyDescent="0.25">
      <c r="A66" s="854"/>
      <c r="B66" s="877" t="s">
        <v>41</v>
      </c>
      <c r="C66" s="873">
        <v>0.03</v>
      </c>
      <c r="D66" s="854">
        <v>1</v>
      </c>
      <c r="E66" s="875">
        <f t="shared" si="1"/>
        <v>0.03</v>
      </c>
      <c r="F66" s="854"/>
    </row>
    <row r="67" spans="1:11" hidden="1" outlineLevel="1" x14ac:dyDescent="0.25">
      <c r="A67" s="854"/>
      <c r="B67" s="877" t="s">
        <v>42</v>
      </c>
      <c r="C67" s="873">
        <v>0.02</v>
      </c>
      <c r="D67" s="876">
        <v>1</v>
      </c>
      <c r="E67" s="875">
        <f t="shared" si="1"/>
        <v>0.02</v>
      </c>
      <c r="F67" s="854"/>
    </row>
    <row r="68" spans="1:11" hidden="1" outlineLevel="1" x14ac:dyDescent="0.25">
      <c r="A68" s="854"/>
      <c r="B68" s="877" t="s">
        <v>43</v>
      </c>
      <c r="C68" s="873">
        <v>0.05</v>
      </c>
      <c r="D68" s="876">
        <v>1</v>
      </c>
      <c r="E68" s="875">
        <f t="shared" si="1"/>
        <v>0.05</v>
      </c>
      <c r="F68" s="854"/>
    </row>
    <row r="69" spans="1:11" hidden="1" outlineLevel="1" x14ac:dyDescent="0.25">
      <c r="A69" s="854"/>
      <c r="B69" s="394" t="s">
        <v>30</v>
      </c>
      <c r="C69" s="873">
        <v>0.06</v>
      </c>
      <c r="D69" s="879">
        <v>1</v>
      </c>
      <c r="E69" s="875">
        <f>C69*(1+0.3)</f>
        <v>7.8E-2</v>
      </c>
      <c r="F69" s="870"/>
      <c r="G69" s="6"/>
      <c r="H69" s="6"/>
    </row>
    <row r="70" spans="1:11" hidden="1" outlineLevel="1" x14ac:dyDescent="0.25">
      <c r="A70" s="854"/>
      <c r="B70" s="394" t="s">
        <v>44</v>
      </c>
      <c r="C70" s="873">
        <v>7.0000000000000007E-2</v>
      </c>
      <c r="D70" s="879">
        <v>1</v>
      </c>
      <c r="E70" s="875">
        <f>C70*(1+0.3)</f>
        <v>9.1000000000000011E-2</v>
      </c>
      <c r="F70" s="870"/>
      <c r="G70" s="6"/>
      <c r="H70" s="6"/>
    </row>
    <row r="71" spans="1:11" hidden="1" outlineLevel="1" x14ac:dyDescent="0.25">
      <c r="A71" s="854"/>
      <c r="B71" s="394" t="s">
        <v>32</v>
      </c>
      <c r="C71" s="873">
        <v>0.06</v>
      </c>
      <c r="D71" s="879">
        <v>1</v>
      </c>
      <c r="E71" s="875">
        <f>C71*(1+0.3)</f>
        <v>7.8E-2</v>
      </c>
      <c r="F71" s="870"/>
      <c r="G71" s="6"/>
      <c r="H71" s="6"/>
    </row>
    <row r="72" spans="1:11" hidden="1" outlineLevel="1" x14ac:dyDescent="0.25">
      <c r="A72" s="854"/>
      <c r="B72" s="394" t="s">
        <v>45</v>
      </c>
      <c r="C72" s="873">
        <v>0.02</v>
      </c>
      <c r="D72" s="879">
        <v>1</v>
      </c>
      <c r="E72" s="875">
        <f>C72*(1+0.3)</f>
        <v>2.6000000000000002E-2</v>
      </c>
      <c r="F72" s="870"/>
      <c r="G72" s="6"/>
      <c r="H72" s="6"/>
    </row>
    <row r="73" spans="1:11" hidden="1" outlineLevel="1" x14ac:dyDescent="0.25">
      <c r="A73" s="854"/>
      <c r="B73" s="394" t="s">
        <v>34</v>
      </c>
      <c r="C73" s="886">
        <v>7.0000000000000007E-2</v>
      </c>
      <c r="D73" s="854"/>
      <c r="E73" s="887">
        <f>SUM(E57:E72)*C73</f>
        <v>7.5600000000000028E-2</v>
      </c>
      <c r="F73" s="882"/>
      <c r="G73" s="7"/>
      <c r="H73" s="7"/>
      <c r="I73" s="8"/>
    </row>
    <row r="74" spans="1:11" s="19" customFormat="1" ht="15.75" collapsed="1" x14ac:dyDescent="0.25">
      <c r="A74" s="862"/>
      <c r="B74" s="862" t="s">
        <v>48</v>
      </c>
      <c r="C74" s="862"/>
      <c r="D74" s="862"/>
      <c r="E74" s="862"/>
      <c r="F74" s="862"/>
    </row>
    <row r="75" spans="1:11" s="19" customFormat="1" ht="15.75" x14ac:dyDescent="0.25">
      <c r="A75" s="862"/>
      <c r="B75" s="862" t="s">
        <v>49</v>
      </c>
      <c r="C75" s="862">
        <v>5.32</v>
      </c>
      <c r="D75" s="880"/>
      <c r="E75" s="862"/>
      <c r="F75" s="862"/>
    </row>
    <row r="76" spans="1:11" collapsed="1" x14ac:dyDescent="0.25">
      <c r="A76" s="854"/>
      <c r="B76" s="861" t="s">
        <v>73</v>
      </c>
      <c r="C76" s="862">
        <f>D7</f>
        <v>200</v>
      </c>
      <c r="D76" s="862" t="s">
        <v>746</v>
      </c>
      <c r="E76" s="854"/>
      <c r="F76" s="854"/>
    </row>
    <row r="77" spans="1:11" s="2" customFormat="1" ht="89.25" x14ac:dyDescent="0.25">
      <c r="A77" s="854"/>
      <c r="B77" s="394" t="s">
        <v>989</v>
      </c>
      <c r="C77" s="863" t="s">
        <v>990</v>
      </c>
      <c r="D77" s="394" t="s">
        <v>991</v>
      </c>
      <c r="E77" s="854"/>
      <c r="F77" s="855">
        <f>(7.72+0.136*200)*1*D78*D79*D80*D81*C100*1000</f>
        <v>179805.52658250002</v>
      </c>
      <c r="I77"/>
      <c r="J77"/>
      <c r="K77"/>
    </row>
    <row r="78" spans="1:11" s="3" customFormat="1" x14ac:dyDescent="0.25">
      <c r="A78" s="866"/>
      <c r="B78" s="865" t="s">
        <v>4</v>
      </c>
      <c r="C78" s="865" t="s">
        <v>852</v>
      </c>
      <c r="D78" s="866">
        <v>0.5</v>
      </c>
      <c r="E78" s="866"/>
      <c r="F78" s="866"/>
      <c r="I78"/>
      <c r="J78"/>
      <c r="K78"/>
    </row>
    <row r="79" spans="1:11" ht="63.75" x14ac:dyDescent="0.25">
      <c r="A79" s="854"/>
      <c r="B79" s="394" t="s">
        <v>276</v>
      </c>
      <c r="C79" s="394" t="s">
        <v>329</v>
      </c>
      <c r="D79" s="867">
        <v>1.3</v>
      </c>
      <c r="E79" s="854"/>
      <c r="F79" s="854"/>
    </row>
    <row r="80" spans="1:11" ht="63.75" x14ac:dyDescent="0.25">
      <c r="A80" s="854"/>
      <c r="B80" s="394" t="s">
        <v>278</v>
      </c>
      <c r="C80" s="394" t="s">
        <v>328</v>
      </c>
      <c r="D80" s="868">
        <v>1.25</v>
      </c>
      <c r="E80" s="854"/>
      <c r="F80" s="854"/>
    </row>
    <row r="81" spans="1:8" ht="89.25" x14ac:dyDescent="0.25">
      <c r="A81" s="854"/>
      <c r="B81" s="394" t="s">
        <v>15</v>
      </c>
      <c r="C81" s="394" t="s">
        <v>275</v>
      </c>
      <c r="D81" s="854">
        <f>E82/1</f>
        <v>1.191225</v>
      </c>
      <c r="E81" s="854"/>
      <c r="F81" s="854"/>
    </row>
    <row r="82" spans="1:8" x14ac:dyDescent="0.25">
      <c r="A82" s="854"/>
      <c r="B82" s="390" t="s">
        <v>6</v>
      </c>
      <c r="C82" s="869">
        <f>SUM(C83:C98)</f>
        <v>1</v>
      </c>
      <c r="D82" s="870"/>
      <c r="E82" s="871">
        <f>SUM(E83:E98)</f>
        <v>1.191225</v>
      </c>
      <c r="F82" s="872"/>
      <c r="G82" s="9"/>
      <c r="H82" s="9"/>
    </row>
    <row r="83" spans="1:8" hidden="1" outlineLevel="1" x14ac:dyDescent="0.25">
      <c r="A83" s="854"/>
      <c r="B83" s="394" t="s">
        <v>20</v>
      </c>
      <c r="C83" s="873">
        <v>0.02</v>
      </c>
      <c r="D83" s="874">
        <v>1</v>
      </c>
      <c r="E83" s="875">
        <f>C83*D83</f>
        <v>0.02</v>
      </c>
      <c r="F83" s="854"/>
    </row>
    <row r="84" spans="1:8" hidden="1" outlineLevel="1" x14ac:dyDescent="0.25">
      <c r="A84" s="854"/>
      <c r="B84" s="394" t="s">
        <v>265</v>
      </c>
      <c r="C84" s="873">
        <v>0.02</v>
      </c>
      <c r="D84" s="874" t="s">
        <v>16</v>
      </c>
      <c r="E84" s="875">
        <f>C84*(1+0.3)</f>
        <v>2.6000000000000002E-2</v>
      </c>
      <c r="F84" s="854"/>
    </row>
    <row r="85" spans="1:8" ht="38.25" hidden="1" outlineLevel="1" x14ac:dyDescent="0.25">
      <c r="A85" s="854"/>
      <c r="B85" s="394" t="s">
        <v>266</v>
      </c>
      <c r="C85" s="873"/>
      <c r="D85" s="876">
        <v>1</v>
      </c>
      <c r="E85" s="873">
        <f>C85*D85</f>
        <v>0</v>
      </c>
      <c r="F85" s="854"/>
    </row>
    <row r="86" spans="1:8" hidden="1" outlineLevel="1" x14ac:dyDescent="0.25">
      <c r="A86" s="854"/>
      <c r="B86" s="877" t="s">
        <v>43</v>
      </c>
      <c r="C86" s="878">
        <v>0.245</v>
      </c>
      <c r="D86" s="874" t="s">
        <v>16</v>
      </c>
      <c r="E86" s="875">
        <f>C86*(1+0.3)</f>
        <v>0.31850000000000001</v>
      </c>
      <c r="F86" s="854"/>
    </row>
    <row r="87" spans="1:8" hidden="1" outlineLevel="1" x14ac:dyDescent="0.25">
      <c r="A87" s="854"/>
      <c r="B87" s="877" t="s">
        <v>267</v>
      </c>
      <c r="C87" s="878">
        <v>0.27500000000000002</v>
      </c>
      <c r="D87" s="874" t="s">
        <v>16</v>
      </c>
      <c r="E87" s="875">
        <f>C87*(1+0.3)</f>
        <v>0.35750000000000004</v>
      </c>
      <c r="F87" s="854"/>
    </row>
    <row r="88" spans="1:8" hidden="1" outlineLevel="1" x14ac:dyDescent="0.25">
      <c r="A88" s="854"/>
      <c r="B88" s="877" t="s">
        <v>268</v>
      </c>
      <c r="C88" s="878">
        <v>1.4999999999999999E-2</v>
      </c>
      <c r="D88" s="874" t="s">
        <v>16</v>
      </c>
      <c r="E88" s="875">
        <f>C88*(1+0.3)</f>
        <v>1.95E-2</v>
      </c>
      <c r="F88" s="854"/>
    </row>
    <row r="89" spans="1:8" hidden="1" outlineLevel="1" x14ac:dyDescent="0.25">
      <c r="A89" s="854"/>
      <c r="B89" s="877" t="s">
        <v>269</v>
      </c>
      <c r="C89" s="878">
        <v>2.5000000000000001E-2</v>
      </c>
      <c r="D89" s="879">
        <v>1</v>
      </c>
      <c r="E89" s="878">
        <f>C89*D89</f>
        <v>2.5000000000000001E-2</v>
      </c>
      <c r="F89" s="854"/>
    </row>
    <row r="90" spans="1:8" hidden="1" outlineLevel="1" x14ac:dyDescent="0.25">
      <c r="A90" s="854"/>
      <c r="B90" s="877" t="s">
        <v>37</v>
      </c>
      <c r="C90" s="878">
        <v>0.1</v>
      </c>
      <c r="D90" s="876">
        <v>1</v>
      </c>
      <c r="E90" s="878">
        <f>C90*D90</f>
        <v>0.1</v>
      </c>
      <c r="F90" s="854"/>
    </row>
    <row r="91" spans="1:8" hidden="1" outlineLevel="1" x14ac:dyDescent="0.25">
      <c r="A91" s="854"/>
      <c r="B91" s="877" t="s">
        <v>270</v>
      </c>
      <c r="C91" s="878">
        <v>2.5000000000000001E-2</v>
      </c>
      <c r="D91" s="879">
        <v>1</v>
      </c>
      <c r="E91" s="878">
        <f>C91*D91</f>
        <v>2.5000000000000001E-2</v>
      </c>
      <c r="F91" s="854"/>
    </row>
    <row r="92" spans="1:8" hidden="1" outlineLevel="1" x14ac:dyDescent="0.25">
      <c r="A92" s="854"/>
      <c r="B92" s="877" t="s">
        <v>271</v>
      </c>
      <c r="C92" s="878">
        <v>1.4999999999999999E-2</v>
      </c>
      <c r="D92" s="879">
        <v>1</v>
      </c>
      <c r="E92" s="878">
        <f>C92*D92</f>
        <v>1.4999999999999999E-2</v>
      </c>
      <c r="F92" s="854"/>
    </row>
    <row r="93" spans="1:8" hidden="1" outlineLevel="1" x14ac:dyDescent="0.25">
      <c r="A93" s="854"/>
      <c r="B93" s="394" t="s">
        <v>272</v>
      </c>
      <c r="C93" s="878">
        <v>0.06</v>
      </c>
      <c r="D93" s="874" t="s">
        <v>16</v>
      </c>
      <c r="E93" s="878">
        <f>C93*(1+0.3)</f>
        <v>7.8E-2</v>
      </c>
      <c r="F93" s="854"/>
    </row>
    <row r="94" spans="1:8" hidden="1" outlineLevel="1" x14ac:dyDescent="0.25">
      <c r="A94" s="854"/>
      <c r="B94" s="394" t="s">
        <v>30</v>
      </c>
      <c r="C94" s="878">
        <v>0.02</v>
      </c>
      <c r="D94" s="879">
        <v>1</v>
      </c>
      <c r="E94" s="878">
        <f>C94*D94</f>
        <v>0.02</v>
      </c>
      <c r="F94" s="854"/>
    </row>
    <row r="95" spans="1:8" hidden="1" outlineLevel="1" x14ac:dyDescent="0.25">
      <c r="A95" s="854"/>
      <c r="B95" s="394" t="s">
        <v>273</v>
      </c>
      <c r="C95" s="878">
        <v>0.01</v>
      </c>
      <c r="D95" s="876">
        <v>1</v>
      </c>
      <c r="E95" s="878">
        <f>C95*D95</f>
        <v>0.01</v>
      </c>
      <c r="F95" s="854"/>
    </row>
    <row r="96" spans="1:8" hidden="1" outlineLevel="1" x14ac:dyDescent="0.25">
      <c r="A96" s="854"/>
      <c r="B96" s="394" t="s">
        <v>274</v>
      </c>
      <c r="C96" s="878">
        <v>0.09</v>
      </c>
      <c r="D96" s="879">
        <v>1</v>
      </c>
      <c r="E96" s="878">
        <f>C96*D96</f>
        <v>0.09</v>
      </c>
      <c r="F96" s="854"/>
    </row>
    <row r="97" spans="1:18" hidden="1" outlineLevel="1" x14ac:dyDescent="0.25">
      <c r="A97" s="854"/>
      <c r="B97" s="394" t="s">
        <v>32</v>
      </c>
      <c r="C97" s="878">
        <v>0.03</v>
      </c>
      <c r="D97" s="879">
        <v>1</v>
      </c>
      <c r="E97" s="878">
        <f>C97*D97</f>
        <v>0.03</v>
      </c>
      <c r="F97" s="854"/>
    </row>
    <row r="98" spans="1:18" hidden="1" outlineLevel="1" x14ac:dyDescent="0.25">
      <c r="A98" s="854"/>
      <c r="B98" s="394" t="s">
        <v>212</v>
      </c>
      <c r="C98" s="878">
        <v>0.05</v>
      </c>
      <c r="D98" s="876"/>
      <c r="E98" s="875">
        <f>SUM(E83:E97)*C98</f>
        <v>5.6725000000000005E-2</v>
      </c>
      <c r="F98" s="854"/>
    </row>
    <row r="99" spans="1:18" s="19" customFormat="1" ht="15.75" collapsed="1" x14ac:dyDescent="0.25">
      <c r="A99" s="862"/>
      <c r="B99" s="862" t="s">
        <v>48</v>
      </c>
      <c r="C99" s="862"/>
      <c r="D99" s="862"/>
      <c r="E99" s="862"/>
      <c r="F99" s="862"/>
    </row>
    <row r="100" spans="1:18" s="19" customFormat="1" ht="15.75" x14ac:dyDescent="0.25">
      <c r="A100" s="862"/>
      <c r="B100" s="862" t="s">
        <v>49</v>
      </c>
      <c r="C100" s="862">
        <v>5.32</v>
      </c>
      <c r="D100" s="880"/>
      <c r="E100" s="862"/>
      <c r="F100" s="862"/>
    </row>
    <row r="101" spans="1:18" s="10" customFormat="1" x14ac:dyDescent="0.25">
      <c r="A101" s="861"/>
      <c r="B101" s="861" t="s">
        <v>53</v>
      </c>
      <c r="C101" s="861">
        <f>D8</f>
        <v>10</v>
      </c>
      <c r="D101" s="861" t="s">
        <v>54</v>
      </c>
      <c r="E101" s="861"/>
      <c r="F101" s="861"/>
    </row>
    <row r="102" spans="1:18" ht="165.75" x14ac:dyDescent="0.25">
      <c r="A102" s="854"/>
      <c r="B102" s="394" t="s">
        <v>340</v>
      </c>
      <c r="C102" s="394" t="s">
        <v>988</v>
      </c>
      <c r="D102" s="394" t="s">
        <v>987</v>
      </c>
      <c r="E102" s="854"/>
      <c r="F102" s="888">
        <f>21*D104*1*D103*C106*1000</f>
        <v>312816</v>
      </c>
    </row>
    <row r="103" spans="1:18" s="3" customFormat="1" x14ac:dyDescent="0.25">
      <c r="A103" s="866"/>
      <c r="B103" s="865" t="s">
        <v>338</v>
      </c>
      <c r="C103" s="865" t="s">
        <v>337</v>
      </c>
      <c r="D103" s="866">
        <v>1</v>
      </c>
      <c r="E103" s="866"/>
      <c r="F103" s="866"/>
    </row>
    <row r="104" spans="1:18" s="3" customFormat="1" ht="76.5" x14ac:dyDescent="0.25">
      <c r="A104" s="866"/>
      <c r="B104" s="394" t="s">
        <v>46</v>
      </c>
      <c r="C104" s="865" t="s">
        <v>938</v>
      </c>
      <c r="D104" s="866">
        <f>1+(10-1)*0.2</f>
        <v>2.8</v>
      </c>
      <c r="E104" s="866"/>
      <c r="F104" s="866"/>
      <c r="I104"/>
      <c r="J104"/>
      <c r="K104"/>
    </row>
    <row r="105" spans="1:18" x14ac:dyDescent="0.25">
      <c r="A105" s="854"/>
      <c r="B105" s="862" t="s">
        <v>48</v>
      </c>
      <c r="C105" s="862"/>
      <c r="D105" s="854"/>
      <c r="E105" s="854"/>
      <c r="F105" s="854"/>
    </row>
    <row r="106" spans="1:18" x14ac:dyDescent="0.25">
      <c r="A106" s="854"/>
      <c r="B106" s="862" t="s">
        <v>49</v>
      </c>
      <c r="C106" s="862">
        <v>5.32</v>
      </c>
      <c r="D106" s="854"/>
      <c r="E106" s="854"/>
      <c r="F106" s="854"/>
    </row>
    <row r="107" spans="1:18" s="11" customFormat="1" x14ac:dyDescent="0.25">
      <c r="A107" s="862"/>
      <c r="B107" s="861" t="s">
        <v>205</v>
      </c>
      <c r="C107" s="862">
        <f>1</f>
        <v>1</v>
      </c>
      <c r="D107" s="862" t="s">
        <v>19</v>
      </c>
      <c r="E107" s="862"/>
      <c r="F107" s="862"/>
      <c r="I107" s="13"/>
    </row>
    <row r="108" spans="1:18" s="2" customFormat="1" ht="76.5" x14ac:dyDescent="0.25">
      <c r="A108" s="854"/>
      <c r="B108" s="854" t="s">
        <v>205</v>
      </c>
      <c r="C108" s="394" t="s">
        <v>302</v>
      </c>
      <c r="D108" s="394" t="s">
        <v>917</v>
      </c>
      <c r="E108" s="854"/>
      <c r="F108" s="855">
        <f>(33+5.5*1)*D109*D110*D111*C129*1000</f>
        <v>89465.376000000004</v>
      </c>
      <c r="I108"/>
      <c r="J108"/>
      <c r="K108"/>
      <c r="Q108" s="17"/>
      <c r="R108" s="17"/>
    </row>
    <row r="109" spans="1:18" s="3" customFormat="1" x14ac:dyDescent="0.25">
      <c r="A109" s="866"/>
      <c r="B109" s="865" t="s">
        <v>4</v>
      </c>
      <c r="C109" s="865" t="s">
        <v>5</v>
      </c>
      <c r="D109" s="866">
        <v>0.4</v>
      </c>
      <c r="E109" s="866"/>
      <c r="F109" s="866"/>
      <c r="I109"/>
      <c r="J109"/>
      <c r="K109"/>
    </row>
    <row r="110" spans="1:18" s="3" customFormat="1" ht="76.5" x14ac:dyDescent="0.25">
      <c r="A110" s="866"/>
      <c r="B110" s="394" t="s">
        <v>46</v>
      </c>
      <c r="C110" s="865" t="s">
        <v>993</v>
      </c>
      <c r="D110" s="866">
        <f>1+(C107-1)*0.2</f>
        <v>1</v>
      </c>
      <c r="E110" s="866"/>
      <c r="F110" s="866"/>
      <c r="I110"/>
      <c r="J110"/>
      <c r="K110"/>
    </row>
    <row r="111" spans="1:18" ht="89.25" x14ac:dyDescent="0.25">
      <c r="A111" s="854"/>
      <c r="B111" s="394" t="s">
        <v>15</v>
      </c>
      <c r="C111" s="394" t="s">
        <v>884</v>
      </c>
      <c r="D111" s="854">
        <f>E112/1</f>
        <v>1.0920000000000001</v>
      </c>
      <c r="E111" s="854"/>
      <c r="F111" s="854"/>
    </row>
    <row r="112" spans="1:18" x14ac:dyDescent="0.25">
      <c r="A112" s="854"/>
      <c r="B112" s="390" t="s">
        <v>6</v>
      </c>
      <c r="C112" s="869">
        <f>SUM(C113:C127)</f>
        <v>1</v>
      </c>
      <c r="D112" s="870"/>
      <c r="E112" s="889">
        <f>SUM(E113:E127)</f>
        <v>1.0920000000000001</v>
      </c>
      <c r="F112" s="875"/>
      <c r="G112" s="4"/>
      <c r="H112" s="4"/>
    </row>
    <row r="113" spans="1:9" hidden="1" outlineLevel="1" x14ac:dyDescent="0.25">
      <c r="A113" s="854"/>
      <c r="B113" s="394" t="s">
        <v>20</v>
      </c>
      <c r="C113" s="873">
        <v>0.01</v>
      </c>
      <c r="D113" s="854">
        <v>1</v>
      </c>
      <c r="E113" s="875">
        <f>C113*D113</f>
        <v>0.01</v>
      </c>
      <c r="F113" s="875"/>
      <c r="G113" s="4"/>
      <c r="H113" s="4"/>
    </row>
    <row r="114" spans="1:9" hidden="1" outlineLevel="1" x14ac:dyDescent="0.25">
      <c r="A114" s="854"/>
      <c r="B114" s="394" t="s">
        <v>21</v>
      </c>
      <c r="C114" s="873">
        <v>0.03</v>
      </c>
      <c r="D114" s="854">
        <v>1</v>
      </c>
      <c r="E114" s="875">
        <f>C114*D114</f>
        <v>0.03</v>
      </c>
      <c r="F114" s="875"/>
      <c r="G114" s="4"/>
      <c r="H114" s="4"/>
    </row>
    <row r="115" spans="1:9" hidden="1" outlineLevel="1" x14ac:dyDescent="0.25">
      <c r="A115" s="854"/>
      <c r="B115" s="394" t="s">
        <v>22</v>
      </c>
      <c r="C115" s="873">
        <v>0.09</v>
      </c>
      <c r="D115" s="879" t="s">
        <v>16</v>
      </c>
      <c r="E115" s="875">
        <f>C115*(1+0.3)</f>
        <v>0.11699999999999999</v>
      </c>
      <c r="F115" s="875"/>
      <c r="G115" s="4"/>
      <c r="H115" s="4"/>
    </row>
    <row r="116" spans="1:9" hidden="1" outlineLevel="1" x14ac:dyDescent="0.25">
      <c r="A116" s="854"/>
      <c r="B116" s="394" t="s">
        <v>23</v>
      </c>
      <c r="C116" s="873">
        <v>0.12</v>
      </c>
      <c r="D116" s="879" t="s">
        <v>16</v>
      </c>
      <c r="E116" s="875">
        <f>C116*(1+0.3)</f>
        <v>0.156</v>
      </c>
      <c r="F116" s="875"/>
      <c r="G116" s="4"/>
      <c r="H116" s="4"/>
    </row>
    <row r="117" spans="1:9" ht="38.25" hidden="1" outlineLevel="1" x14ac:dyDescent="0.25">
      <c r="A117" s="854"/>
      <c r="B117" s="394" t="s">
        <v>24</v>
      </c>
      <c r="C117" s="873">
        <v>0.05</v>
      </c>
      <c r="D117" s="879" t="s">
        <v>16</v>
      </c>
      <c r="E117" s="875">
        <f>C117*(1+0.3)</f>
        <v>6.5000000000000002E-2</v>
      </c>
      <c r="F117" s="875"/>
      <c r="G117" s="4"/>
      <c r="H117" s="4"/>
    </row>
    <row r="118" spans="1:9" ht="38.25" hidden="1" outlineLevel="1" x14ac:dyDescent="0.25">
      <c r="A118" s="854"/>
      <c r="B118" s="394" t="s">
        <v>25</v>
      </c>
      <c r="C118" s="873">
        <v>0.04</v>
      </c>
      <c r="D118" s="879" t="s">
        <v>16</v>
      </c>
      <c r="E118" s="875">
        <f>C118*(1+0.3)</f>
        <v>5.2000000000000005E-2</v>
      </c>
      <c r="F118" s="875"/>
      <c r="G118" s="4"/>
      <c r="H118" s="4"/>
    </row>
    <row r="119" spans="1:9" ht="25.5" hidden="1" outlineLevel="1" x14ac:dyDescent="0.25">
      <c r="A119" s="854"/>
      <c r="B119" s="394" t="s">
        <v>26</v>
      </c>
      <c r="C119" s="873">
        <v>0.05</v>
      </c>
      <c r="D119" s="854">
        <v>1</v>
      </c>
      <c r="E119" s="875">
        <f t="shared" ref="E119:E126" si="2">C119*D119</f>
        <v>0.05</v>
      </c>
      <c r="F119" s="875"/>
      <c r="G119" s="4"/>
      <c r="H119" s="4"/>
    </row>
    <row r="120" spans="1:9" ht="38.25" hidden="1" outlineLevel="1" x14ac:dyDescent="0.25">
      <c r="A120" s="854"/>
      <c r="B120" s="394" t="s">
        <v>27</v>
      </c>
      <c r="C120" s="873">
        <v>0.04</v>
      </c>
      <c r="D120" s="854">
        <v>1</v>
      </c>
      <c r="E120" s="875">
        <f t="shared" si="2"/>
        <v>0.04</v>
      </c>
      <c r="F120" s="875"/>
      <c r="G120" s="4"/>
      <c r="H120" s="4"/>
      <c r="I120" s="8"/>
    </row>
    <row r="121" spans="1:9" ht="25.5" hidden="1" outlineLevel="1" x14ac:dyDescent="0.25">
      <c r="A121" s="854"/>
      <c r="B121" s="394" t="s">
        <v>28</v>
      </c>
      <c r="C121" s="873">
        <v>0.02</v>
      </c>
      <c r="D121" s="854">
        <v>1</v>
      </c>
      <c r="E121" s="875">
        <f t="shared" si="2"/>
        <v>0.02</v>
      </c>
      <c r="F121" s="875"/>
      <c r="G121" s="4"/>
      <c r="H121" s="4"/>
    </row>
    <row r="122" spans="1:9" ht="38.25" hidden="1" outlineLevel="1" x14ac:dyDescent="0.25">
      <c r="A122" s="854"/>
      <c r="B122" s="394" t="s">
        <v>29</v>
      </c>
      <c r="C122" s="873">
        <v>0.31</v>
      </c>
      <c r="D122" s="854">
        <v>1</v>
      </c>
      <c r="E122" s="875">
        <f t="shared" si="2"/>
        <v>0.31</v>
      </c>
      <c r="F122" s="875"/>
      <c r="G122" s="4"/>
      <c r="H122" s="4"/>
    </row>
    <row r="123" spans="1:9" hidden="1" outlineLevel="1" x14ac:dyDescent="0.25">
      <c r="A123" s="854"/>
      <c r="B123" s="394" t="s">
        <v>30</v>
      </c>
      <c r="C123" s="873">
        <v>0.04</v>
      </c>
      <c r="D123" s="879">
        <v>1</v>
      </c>
      <c r="E123" s="875">
        <f t="shared" si="2"/>
        <v>0.04</v>
      </c>
      <c r="F123" s="875"/>
      <c r="G123" s="4"/>
      <c r="H123" s="4"/>
    </row>
    <row r="124" spans="1:9" hidden="1" outlineLevel="1" x14ac:dyDescent="0.25">
      <c r="A124" s="854"/>
      <c r="B124" s="394" t="s">
        <v>31</v>
      </c>
      <c r="C124" s="873">
        <v>0.09</v>
      </c>
      <c r="D124" s="854">
        <v>1</v>
      </c>
      <c r="E124" s="875">
        <f t="shared" si="2"/>
        <v>0.09</v>
      </c>
      <c r="F124" s="875"/>
      <c r="G124" s="4"/>
      <c r="H124" s="4"/>
    </row>
    <row r="125" spans="1:9" hidden="1" outlineLevel="1" x14ac:dyDescent="0.25">
      <c r="A125" s="854"/>
      <c r="B125" s="394" t="s">
        <v>32</v>
      </c>
      <c r="C125" s="873">
        <v>0.05</v>
      </c>
      <c r="D125" s="854">
        <v>1</v>
      </c>
      <c r="E125" s="875">
        <f t="shared" si="2"/>
        <v>0.05</v>
      </c>
      <c r="F125" s="875"/>
      <c r="G125" s="4"/>
      <c r="H125" s="4"/>
    </row>
    <row r="126" spans="1:9" ht="25.5" hidden="1" outlineLevel="1" x14ac:dyDescent="0.25">
      <c r="A126" s="854"/>
      <c r="B126" s="394" t="s">
        <v>33</v>
      </c>
      <c r="C126" s="873">
        <v>0.01</v>
      </c>
      <c r="D126" s="854">
        <v>1</v>
      </c>
      <c r="E126" s="875">
        <f t="shared" si="2"/>
        <v>0.01</v>
      </c>
      <c r="F126" s="875"/>
      <c r="G126" s="4"/>
      <c r="H126" s="4"/>
    </row>
    <row r="127" spans="1:9" hidden="1" outlineLevel="1" x14ac:dyDescent="0.25">
      <c r="A127" s="854"/>
      <c r="B127" s="394" t="s">
        <v>34</v>
      </c>
      <c r="C127" s="873">
        <v>0.05</v>
      </c>
      <c r="D127" s="879"/>
      <c r="E127" s="890">
        <f>SUM(E113:E126)*C127</f>
        <v>5.2000000000000005E-2</v>
      </c>
      <c r="F127" s="890"/>
      <c r="G127" s="14"/>
      <c r="H127" s="14"/>
    </row>
    <row r="128" spans="1:9" s="19" customFormat="1" ht="15.75" collapsed="1" x14ac:dyDescent="0.25">
      <c r="A128" s="862"/>
      <c r="B128" s="862" t="s">
        <v>48</v>
      </c>
      <c r="C128" s="862"/>
      <c r="D128" s="862"/>
      <c r="E128" s="862"/>
      <c r="F128" s="862"/>
    </row>
    <row r="129" spans="1:11" s="19" customFormat="1" ht="15.75" x14ac:dyDescent="0.25">
      <c r="A129" s="862"/>
      <c r="B129" s="862" t="s">
        <v>49</v>
      </c>
      <c r="C129" s="862">
        <v>5.32</v>
      </c>
      <c r="D129" s="880"/>
      <c r="E129" s="862"/>
      <c r="F129" s="862"/>
    </row>
    <row r="130" spans="1:11" x14ac:dyDescent="0.25">
      <c r="A130" s="854"/>
      <c r="B130" s="861" t="s">
        <v>127</v>
      </c>
      <c r="C130" s="862">
        <v>0.5</v>
      </c>
      <c r="D130" s="862" t="s">
        <v>0</v>
      </c>
      <c r="E130" s="854"/>
      <c r="F130" s="854"/>
    </row>
    <row r="131" spans="1:11" s="2" customFormat="1" ht="93" customHeight="1" x14ac:dyDescent="0.25">
      <c r="A131" s="854"/>
      <c r="B131" s="394" t="s">
        <v>1075</v>
      </c>
      <c r="C131" s="394" t="s">
        <v>1077</v>
      </c>
      <c r="D131" s="864" t="s">
        <v>1076</v>
      </c>
      <c r="E131" s="854"/>
      <c r="F131" s="855">
        <f>(18.92+5.06*C130)*D132*D133*D134*C145*1000</f>
        <v>55057.448846400024</v>
      </c>
      <c r="I131"/>
      <c r="J131"/>
      <c r="K131"/>
    </row>
    <row r="132" spans="1:11" s="3" customFormat="1" x14ac:dyDescent="0.25">
      <c r="A132" s="866"/>
      <c r="B132" s="865" t="s">
        <v>4</v>
      </c>
      <c r="C132" s="865" t="s">
        <v>5</v>
      </c>
      <c r="D132" s="866">
        <v>0.4</v>
      </c>
      <c r="E132" s="866"/>
      <c r="F132" s="866"/>
      <c r="I132"/>
      <c r="J132"/>
      <c r="K132"/>
    </row>
    <row r="133" spans="1:11" ht="38.25" x14ac:dyDescent="0.25">
      <c r="A133" s="854"/>
      <c r="B133" s="394" t="s">
        <v>17</v>
      </c>
      <c r="C133" s="854" t="s">
        <v>18</v>
      </c>
      <c r="D133" s="867">
        <v>1.1000000000000001</v>
      </c>
      <c r="E133" s="854"/>
      <c r="F133" s="854"/>
    </row>
    <row r="134" spans="1:11" ht="89.25" x14ac:dyDescent="0.25">
      <c r="A134" s="854"/>
      <c r="B134" s="394" t="s">
        <v>15</v>
      </c>
      <c r="C134" s="394" t="s">
        <v>1072</v>
      </c>
      <c r="D134" s="854">
        <f>E135/1</f>
        <v>1.0965400000000001</v>
      </c>
      <c r="E134" s="854"/>
      <c r="F134" s="854"/>
    </row>
    <row r="135" spans="1:11" x14ac:dyDescent="0.25">
      <c r="A135" s="854"/>
      <c r="B135" s="390" t="s">
        <v>6</v>
      </c>
      <c r="C135" s="869">
        <f>SUM(C136:C143)</f>
        <v>1.0000000000000002</v>
      </c>
      <c r="D135" s="870"/>
      <c r="E135" s="871">
        <f>SUM(E136:E143)</f>
        <v>1.0965400000000001</v>
      </c>
      <c r="F135" s="872"/>
      <c r="G135" s="9"/>
      <c r="H135" s="9"/>
    </row>
    <row r="136" spans="1:11" hidden="1" outlineLevel="1" x14ac:dyDescent="0.25">
      <c r="A136" s="854"/>
      <c r="B136" s="854" t="s">
        <v>7</v>
      </c>
      <c r="C136" s="873">
        <v>0.23</v>
      </c>
      <c r="D136" s="879">
        <v>1</v>
      </c>
      <c r="E136" s="875">
        <f>C136*1</f>
        <v>0.23</v>
      </c>
      <c r="F136" s="870"/>
      <c r="G136" s="6"/>
      <c r="H136" s="6"/>
    </row>
    <row r="137" spans="1:11" hidden="1" outlineLevel="1" x14ac:dyDescent="0.25">
      <c r="A137" s="854"/>
      <c r="B137" s="854" t="s">
        <v>14</v>
      </c>
      <c r="C137" s="873">
        <v>0.09</v>
      </c>
      <c r="D137" s="854">
        <v>1</v>
      </c>
      <c r="E137" s="875">
        <f>C137*D137</f>
        <v>0.09</v>
      </c>
      <c r="F137" s="854"/>
    </row>
    <row r="138" spans="1:11" hidden="1" outlineLevel="1" x14ac:dyDescent="0.25">
      <c r="A138" s="854"/>
      <c r="B138" s="854" t="s">
        <v>8</v>
      </c>
      <c r="C138" s="873">
        <v>0.13</v>
      </c>
      <c r="D138" s="876">
        <v>1</v>
      </c>
      <c r="E138" s="875">
        <f>C138*D138</f>
        <v>0.13</v>
      </c>
      <c r="F138" s="854"/>
    </row>
    <row r="139" spans="1:11" hidden="1" outlineLevel="1" x14ac:dyDescent="0.25">
      <c r="A139" s="854"/>
      <c r="B139" s="854" t="s">
        <v>9</v>
      </c>
      <c r="C139" s="873">
        <v>0.14000000000000001</v>
      </c>
      <c r="D139" s="876">
        <v>1</v>
      </c>
      <c r="E139" s="875">
        <f>C139*D139</f>
        <v>0.14000000000000001</v>
      </c>
      <c r="F139" s="854"/>
    </row>
    <row r="140" spans="1:11" hidden="1" outlineLevel="1" x14ac:dyDescent="0.25">
      <c r="A140" s="854"/>
      <c r="B140" s="854" t="s">
        <v>10</v>
      </c>
      <c r="C140" s="873">
        <v>0.16</v>
      </c>
      <c r="D140" s="879" t="s">
        <v>16</v>
      </c>
      <c r="E140" s="875">
        <f>C140*(1+0.3)</f>
        <v>0.20800000000000002</v>
      </c>
      <c r="F140" s="870"/>
      <c r="G140" s="6"/>
      <c r="H140" s="6"/>
    </row>
    <row r="141" spans="1:11" hidden="1" outlineLevel="1" x14ac:dyDescent="0.25">
      <c r="A141" s="854"/>
      <c r="B141" s="854" t="s">
        <v>11</v>
      </c>
      <c r="C141" s="873">
        <v>0.09</v>
      </c>
      <c r="D141" s="879" t="s">
        <v>16</v>
      </c>
      <c r="E141" s="875">
        <f>C141*(1+0.3)</f>
        <v>0.11699999999999999</v>
      </c>
      <c r="F141" s="870"/>
      <c r="G141" s="6"/>
      <c r="H141" s="6"/>
    </row>
    <row r="142" spans="1:11" hidden="1" outlineLevel="1" x14ac:dyDescent="0.25">
      <c r="A142" s="854"/>
      <c r="B142" s="854" t="s">
        <v>12</v>
      </c>
      <c r="C142" s="873">
        <v>7.0000000000000007E-2</v>
      </c>
      <c r="D142" s="879" t="s">
        <v>16</v>
      </c>
      <c r="E142" s="875">
        <f>C142*(1+0.3)</f>
        <v>9.1000000000000011E-2</v>
      </c>
      <c r="F142" s="870"/>
      <c r="G142" s="6"/>
      <c r="H142" s="6"/>
    </row>
    <row r="143" spans="1:11" hidden="1" outlineLevel="1" x14ac:dyDescent="0.25">
      <c r="A143" s="854"/>
      <c r="B143" s="854" t="s">
        <v>13</v>
      </c>
      <c r="C143" s="873">
        <v>0.09</v>
      </c>
      <c r="D143" s="854"/>
      <c r="E143" s="881">
        <f>SUM(E136:E142)*C143</f>
        <v>9.0539999999999995E-2</v>
      </c>
      <c r="F143" s="882"/>
      <c r="G143" s="7"/>
      <c r="H143" s="7"/>
      <c r="I143" s="8"/>
    </row>
    <row r="144" spans="1:11" s="19" customFormat="1" ht="15.75" collapsed="1" x14ac:dyDescent="0.25">
      <c r="A144" s="862"/>
      <c r="B144" s="862" t="s">
        <v>48</v>
      </c>
      <c r="C144" s="862"/>
      <c r="D144" s="862"/>
      <c r="E144" s="862"/>
      <c r="F144" s="862"/>
    </row>
    <row r="145" spans="1:10" s="19" customFormat="1" ht="15.75" x14ac:dyDescent="0.25">
      <c r="A145" s="862"/>
      <c r="B145" s="862" t="s">
        <v>49</v>
      </c>
      <c r="C145" s="862">
        <v>5.32</v>
      </c>
      <c r="D145" s="880"/>
      <c r="E145" s="862"/>
      <c r="F145" s="862"/>
    </row>
    <row r="146" spans="1:10" s="36" customFormat="1" ht="38.25" x14ac:dyDescent="0.2">
      <c r="A146" s="894"/>
      <c r="B146" s="891" t="s">
        <v>930</v>
      </c>
      <c r="C146" s="892">
        <v>0.04</v>
      </c>
      <c r="D146" s="893"/>
      <c r="E146" s="894"/>
      <c r="F146" s="855">
        <f>(SUM(F27:F145)-F102)*C146</f>
        <v>17183.646684170406</v>
      </c>
      <c r="G146" s="34"/>
      <c r="H146" s="34"/>
      <c r="I146" s="33"/>
      <c r="J146" s="35"/>
    </row>
    <row r="147" spans="1:10" ht="15.75" x14ac:dyDescent="0.25">
      <c r="A147" s="854"/>
      <c r="B147" s="390" t="s">
        <v>50</v>
      </c>
      <c r="C147" s="854"/>
      <c r="D147" s="854"/>
      <c r="E147" s="854"/>
      <c r="F147" s="859">
        <f>SUM(F27:F146)</f>
        <v>759590.81378843053</v>
      </c>
    </row>
    <row r="148" spans="1:10" x14ac:dyDescent="0.25">
      <c r="A148" s="854"/>
      <c r="B148" s="390" t="s">
        <v>51</v>
      </c>
      <c r="C148" s="854"/>
      <c r="D148" s="854"/>
      <c r="E148" s="854"/>
      <c r="F148" s="906">
        <f>F147*0.2</f>
        <v>151918.16275768611</v>
      </c>
    </row>
    <row r="149" spans="1:10" ht="15.75" x14ac:dyDescent="0.25">
      <c r="A149" s="854"/>
      <c r="B149" s="390" t="s">
        <v>52</v>
      </c>
      <c r="C149" s="854"/>
      <c r="D149" s="854"/>
      <c r="E149" s="854"/>
      <c r="F149" s="859">
        <f>SUM(F147:F148)</f>
        <v>911508.97654611664</v>
      </c>
    </row>
    <row r="150" spans="1:10" x14ac:dyDescent="0.25">
      <c r="A150" s="913"/>
      <c r="B150" s="913"/>
      <c r="C150" s="913"/>
      <c r="D150" s="913"/>
      <c r="E150" s="913"/>
      <c r="F150" s="913"/>
    </row>
    <row r="151" spans="1:10" x14ac:dyDescent="0.25">
      <c r="A151" s="913"/>
      <c r="B151" s="913"/>
      <c r="C151" s="913"/>
      <c r="D151" s="913"/>
      <c r="E151" s="913"/>
      <c r="F151" s="913"/>
    </row>
    <row r="152" spans="1:10" x14ac:dyDescent="0.25">
      <c r="A152" s="393"/>
      <c r="B152" s="393"/>
      <c r="C152" s="393"/>
      <c r="D152" s="393"/>
      <c r="E152" s="393"/>
      <c r="F152" s="393"/>
    </row>
    <row r="153" spans="1:10" x14ac:dyDescent="0.25">
      <c r="A153" s="393"/>
      <c r="B153" s="393"/>
      <c r="C153" s="393"/>
      <c r="D153" s="393"/>
      <c r="E153" s="393"/>
      <c r="F153" s="393"/>
    </row>
    <row r="154" spans="1:10" x14ac:dyDescent="0.25">
      <c r="A154" s="393"/>
      <c r="B154" s="393"/>
      <c r="C154" s="393"/>
      <c r="D154" s="393"/>
      <c r="E154" s="393"/>
      <c r="F154" s="393"/>
    </row>
    <row r="155" spans="1:10" x14ac:dyDescent="0.25">
      <c r="A155" s="393"/>
      <c r="B155" s="393"/>
      <c r="C155" s="393"/>
      <c r="D155" s="393"/>
      <c r="E155" s="393"/>
      <c r="F155" s="393"/>
    </row>
    <row r="156" spans="1:10" x14ac:dyDescent="0.25">
      <c r="A156" s="393"/>
      <c r="B156" s="393"/>
      <c r="C156" s="393"/>
      <c r="D156" s="393"/>
      <c r="E156" s="393"/>
      <c r="F156" s="393"/>
    </row>
    <row r="157" spans="1:10" x14ac:dyDescent="0.25">
      <c r="A157" s="393"/>
      <c r="B157" s="393"/>
      <c r="C157" s="393"/>
      <c r="D157" s="393"/>
      <c r="E157" s="393"/>
      <c r="F157" s="393"/>
    </row>
    <row r="158" spans="1:10" x14ac:dyDescent="0.25">
      <c r="A158" s="393"/>
      <c r="B158" s="393"/>
      <c r="C158" s="393"/>
      <c r="D158" s="393"/>
      <c r="E158" s="393"/>
      <c r="F158" s="393"/>
    </row>
    <row r="159" spans="1:10" x14ac:dyDescent="0.25">
      <c r="A159" s="393"/>
      <c r="B159" s="393"/>
      <c r="C159" s="393"/>
      <c r="D159" s="393"/>
      <c r="E159" s="393"/>
      <c r="F159" s="393"/>
    </row>
    <row r="160" spans="1:10" x14ac:dyDescent="0.25">
      <c r="A160" s="393"/>
      <c r="B160" s="393"/>
      <c r="C160" s="393"/>
      <c r="D160" s="393"/>
      <c r="E160" s="393"/>
      <c r="F160" s="393"/>
    </row>
    <row r="161" spans="1:6" x14ac:dyDescent="0.25">
      <c r="A161" s="393"/>
      <c r="B161" s="393"/>
      <c r="C161" s="393"/>
      <c r="D161" s="393"/>
      <c r="E161" s="393"/>
      <c r="F161" s="393"/>
    </row>
    <row r="162" spans="1:6" x14ac:dyDescent="0.25">
      <c r="A162" s="393"/>
      <c r="B162" s="393"/>
      <c r="C162" s="393"/>
      <c r="D162" s="393"/>
      <c r="E162" s="393"/>
      <c r="F162" s="393"/>
    </row>
    <row r="163" spans="1:6" x14ac:dyDescent="0.25">
      <c r="A163" s="393"/>
      <c r="B163" s="393"/>
      <c r="C163" s="393"/>
      <c r="D163" s="393"/>
      <c r="E163" s="393"/>
      <c r="F163" s="393"/>
    </row>
    <row r="164" spans="1:6" x14ac:dyDescent="0.25">
      <c r="A164" s="393"/>
      <c r="B164" s="393"/>
      <c r="C164" s="393"/>
      <c r="D164" s="393"/>
      <c r="E164" s="393"/>
      <c r="F164" s="393"/>
    </row>
  </sheetData>
  <mergeCells count="8">
    <mergeCell ref="A21:B21"/>
    <mergeCell ref="A23:B23"/>
    <mergeCell ref="B1:E1"/>
    <mergeCell ref="A13:C13"/>
    <mergeCell ref="A16:F16"/>
    <mergeCell ref="A17:F17"/>
    <mergeCell ref="A19:B19"/>
    <mergeCell ref="C19:F19"/>
  </mergeCells>
  <pageMargins left="0.7" right="0.7" top="0.75" bottom="0.75" header="0.3" footer="0.3"/>
  <pageSetup paperSize="9" scale="54" orientation="portrait" r:id="rId1"/>
  <colBreaks count="1" manualBreakCount="1">
    <brk id="6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8"/>
  <sheetViews>
    <sheetView view="pageBreakPreview" topLeftCell="A36" zoomScaleNormal="100" zoomScaleSheetLayoutView="100" workbookViewId="0">
      <selection activeCell="G41" sqref="G41"/>
    </sheetView>
  </sheetViews>
  <sheetFormatPr defaultRowHeight="15" outlineLevelRow="1" x14ac:dyDescent="0.25"/>
  <cols>
    <col min="2" max="2" width="56.5703125" customWidth="1"/>
    <col min="3" max="3" width="36" customWidth="1"/>
    <col min="4" max="4" width="25.85546875" customWidth="1"/>
    <col min="5" max="5" width="11.5703125" customWidth="1"/>
    <col min="6" max="6" width="25.140625" customWidth="1"/>
    <col min="7" max="8" width="19.85546875" customWidth="1"/>
  </cols>
  <sheetData>
    <row r="1" spans="1:7" ht="18.75" hidden="1" customHeight="1" x14ac:dyDescent="0.25">
      <c r="A1" s="307"/>
      <c r="B1" s="1251" t="s">
        <v>175</v>
      </c>
      <c r="C1" s="1251"/>
      <c r="D1" s="1251"/>
      <c r="E1" s="1252"/>
      <c r="F1" s="308"/>
    </row>
    <row r="2" spans="1:7" ht="18.75" hidden="1" customHeight="1" thickBot="1" x14ac:dyDescent="0.3">
      <c r="A2" s="344" t="s">
        <v>176</v>
      </c>
      <c r="B2" s="302" t="s">
        <v>65</v>
      </c>
      <c r="C2" s="345" t="s">
        <v>0</v>
      </c>
      <c r="D2" s="346">
        <v>1.8</v>
      </c>
      <c r="E2" s="347"/>
      <c r="F2" s="40"/>
    </row>
    <row r="3" spans="1:7" ht="18.75" hidden="1" customHeight="1" thickBot="1" x14ac:dyDescent="0.3">
      <c r="A3" s="307" t="s">
        <v>177</v>
      </c>
      <c r="B3" s="316" t="s">
        <v>178</v>
      </c>
      <c r="C3" s="317"/>
      <c r="D3" s="312"/>
      <c r="E3" s="318" t="s">
        <v>764</v>
      </c>
      <c r="F3" s="40" t="s">
        <v>289</v>
      </c>
    </row>
    <row r="4" spans="1:7" ht="18.75" hidden="1" customHeight="1" thickBot="1" x14ac:dyDescent="0.3">
      <c r="A4" s="344" t="s">
        <v>179</v>
      </c>
      <c r="B4" s="302" t="s">
        <v>73</v>
      </c>
      <c r="C4" s="345" t="s">
        <v>620</v>
      </c>
      <c r="D4" s="346">
        <v>600</v>
      </c>
      <c r="E4" s="305" t="s">
        <v>641</v>
      </c>
      <c r="F4" s="40" t="s">
        <v>262</v>
      </c>
      <c r="G4" t="s">
        <v>981</v>
      </c>
    </row>
    <row r="5" spans="1:7" ht="18.75" hidden="1" customHeight="1" thickBot="1" x14ac:dyDescent="0.3">
      <c r="A5" s="357" t="s">
        <v>180</v>
      </c>
      <c r="B5" s="321" t="s">
        <v>127</v>
      </c>
      <c r="C5" s="337" t="s">
        <v>0</v>
      </c>
      <c r="D5" s="338">
        <v>1</v>
      </c>
      <c r="E5" s="305" t="s">
        <v>662</v>
      </c>
      <c r="F5" s="40" t="s">
        <v>291</v>
      </c>
    </row>
    <row r="6" spans="1:7" ht="18.75" hidden="1" customHeight="1" thickBot="1" x14ac:dyDescent="0.3">
      <c r="A6" s="344" t="s">
        <v>181</v>
      </c>
      <c r="B6" s="302" t="s">
        <v>182</v>
      </c>
      <c r="C6" s="345" t="s">
        <v>183</v>
      </c>
      <c r="D6" s="346" t="s">
        <v>184</v>
      </c>
      <c r="E6" s="305" t="s">
        <v>623</v>
      </c>
      <c r="F6" s="40" t="s">
        <v>288</v>
      </c>
    </row>
    <row r="7" spans="1:7" ht="18.75" hidden="1" customHeight="1" thickBot="1" x14ac:dyDescent="0.3">
      <c r="A7" s="344" t="s">
        <v>185</v>
      </c>
      <c r="B7" s="302" t="s">
        <v>186</v>
      </c>
      <c r="C7" s="345" t="s">
        <v>183</v>
      </c>
      <c r="D7" s="346">
        <v>60</v>
      </c>
      <c r="E7" s="305" t="s">
        <v>623</v>
      </c>
      <c r="F7" s="40" t="s">
        <v>288</v>
      </c>
    </row>
    <row r="8" spans="1:7" ht="18.75" hidden="1" customHeight="1" x14ac:dyDescent="0.25">
      <c r="A8" s="344" t="s">
        <v>187</v>
      </c>
      <c r="B8" s="302" t="s">
        <v>88</v>
      </c>
      <c r="C8" s="345" t="s">
        <v>183</v>
      </c>
      <c r="D8" s="346">
        <v>2500</v>
      </c>
      <c r="E8" s="305" t="s">
        <v>994</v>
      </c>
      <c r="F8" s="342" t="s">
        <v>761</v>
      </c>
      <c r="G8" s="343" t="s">
        <v>650</v>
      </c>
    </row>
    <row r="9" spans="1:7" ht="18.75" hidden="1" customHeight="1" thickBot="1" x14ac:dyDescent="0.3">
      <c r="A9" s="344" t="s">
        <v>188</v>
      </c>
      <c r="B9" s="302" t="s">
        <v>79</v>
      </c>
      <c r="C9" s="345" t="s">
        <v>622</v>
      </c>
      <c r="D9" s="346">
        <v>25</v>
      </c>
      <c r="E9" s="305" t="s">
        <v>635</v>
      </c>
      <c r="F9" s="40" t="s">
        <v>254</v>
      </c>
    </row>
    <row r="10" spans="1:7" ht="18.75" hidden="1" customHeight="1" thickBot="1" x14ac:dyDescent="0.3">
      <c r="A10" s="320" t="s">
        <v>189</v>
      </c>
      <c r="B10" s="321" t="s">
        <v>190</v>
      </c>
      <c r="C10" s="337" t="s">
        <v>728</v>
      </c>
      <c r="D10" s="338" t="s">
        <v>729</v>
      </c>
      <c r="E10" s="318" t="s">
        <v>646</v>
      </c>
      <c r="F10" s="40" t="s">
        <v>283</v>
      </c>
    </row>
    <row r="11" spans="1:7" ht="18.75" hidden="1" customHeight="1" thickBot="1" x14ac:dyDescent="0.3">
      <c r="A11" s="344" t="s">
        <v>191</v>
      </c>
      <c r="B11" s="302" t="s">
        <v>82</v>
      </c>
      <c r="C11" s="313" t="s">
        <v>636</v>
      </c>
      <c r="D11" s="314" t="s">
        <v>647</v>
      </c>
      <c r="E11" s="305" t="s">
        <v>635</v>
      </c>
      <c r="F11" s="40" t="s">
        <v>254</v>
      </c>
      <c r="G11" t="s">
        <v>638</v>
      </c>
    </row>
    <row r="12" spans="1:7" ht="18.75" hidden="1" customHeight="1" thickBot="1" x14ac:dyDescent="0.3">
      <c r="A12" s="344" t="s">
        <v>192</v>
      </c>
      <c r="B12" s="302" t="s">
        <v>193</v>
      </c>
      <c r="C12" s="345" t="s">
        <v>622</v>
      </c>
      <c r="D12" s="346">
        <v>1</v>
      </c>
      <c r="E12" s="305" t="s">
        <v>639</v>
      </c>
      <c r="F12" s="315" t="s">
        <v>995</v>
      </c>
      <c r="G12" t="s">
        <v>650</v>
      </c>
    </row>
    <row r="13" spans="1:7" ht="18.75" hidden="1" customHeight="1" thickBot="1" x14ac:dyDescent="0.3">
      <c r="A13" s="344" t="s">
        <v>194</v>
      </c>
      <c r="B13" s="302" t="s">
        <v>104</v>
      </c>
      <c r="C13" s="345" t="s">
        <v>721</v>
      </c>
      <c r="D13" s="346">
        <v>1000</v>
      </c>
      <c r="E13" s="305" t="s">
        <v>641</v>
      </c>
      <c r="F13" s="40" t="s">
        <v>262</v>
      </c>
      <c r="G13" t="s">
        <v>638</v>
      </c>
    </row>
    <row r="14" spans="1:7" ht="18.75" hidden="1" customHeight="1" x14ac:dyDescent="0.25">
      <c r="A14" s="344" t="s">
        <v>996</v>
      </c>
      <c r="B14" s="302" t="s">
        <v>997</v>
      </c>
      <c r="C14" s="345"/>
      <c r="D14" s="346"/>
      <c r="E14" s="305"/>
      <c r="F14" s="306"/>
    </row>
    <row r="15" spans="1:7" ht="18.75" hidden="1" customHeight="1" x14ac:dyDescent="0.25">
      <c r="A15" s="344" t="s">
        <v>998</v>
      </c>
      <c r="B15" s="302" t="s">
        <v>628</v>
      </c>
      <c r="C15" s="345" t="s">
        <v>211</v>
      </c>
      <c r="D15" s="345">
        <v>5</v>
      </c>
      <c r="E15" s="305"/>
      <c r="F15" s="306"/>
    </row>
    <row r="16" spans="1:7" ht="18.75" hidden="1" customHeight="1" x14ac:dyDescent="0.25">
      <c r="A16" s="344" t="s">
        <v>999</v>
      </c>
      <c r="B16" s="302" t="s">
        <v>630</v>
      </c>
      <c r="C16" s="345" t="s">
        <v>211</v>
      </c>
      <c r="D16" s="345">
        <v>2</v>
      </c>
      <c r="E16" s="305"/>
      <c r="F16" s="306"/>
    </row>
    <row r="17" spans="1:9" ht="18.75" hidden="1" customHeight="1" x14ac:dyDescent="0.25">
      <c r="A17" s="344" t="s">
        <v>1000</v>
      </c>
      <c r="B17" s="302" t="s">
        <v>632</v>
      </c>
      <c r="C17" s="345" t="s">
        <v>211</v>
      </c>
      <c r="D17" s="345">
        <v>2</v>
      </c>
      <c r="E17" s="305"/>
      <c r="F17" s="306"/>
    </row>
    <row r="18" spans="1:9" ht="18.75" hidden="1" customHeight="1" x14ac:dyDescent="0.25">
      <c r="A18" s="344" t="s">
        <v>1001</v>
      </c>
      <c r="B18" s="302" t="s">
        <v>634</v>
      </c>
      <c r="C18" s="345" t="s">
        <v>211</v>
      </c>
      <c r="D18" s="345">
        <v>2</v>
      </c>
      <c r="E18" s="305"/>
      <c r="F18" s="306"/>
    </row>
    <row r="19" spans="1:9" ht="18.75" hidden="1" customHeight="1" x14ac:dyDescent="0.25">
      <c r="A19" s="344" t="s">
        <v>1002</v>
      </c>
      <c r="B19" s="302" t="s">
        <v>679</v>
      </c>
      <c r="C19" s="345"/>
      <c r="D19" s="345"/>
      <c r="E19" s="305"/>
      <c r="F19" s="306"/>
    </row>
    <row r="20" spans="1:9" ht="18.75" hidden="1" customHeight="1" x14ac:dyDescent="0.25">
      <c r="A20" s="328" t="s">
        <v>1003</v>
      </c>
      <c r="B20" s="329" t="s">
        <v>681</v>
      </c>
      <c r="C20" s="345" t="s">
        <v>660</v>
      </c>
      <c r="D20" s="346">
        <v>1000</v>
      </c>
      <c r="E20" s="340"/>
      <c r="F20" s="306"/>
    </row>
    <row r="21" spans="1:9" ht="18.75" hidden="1" customHeight="1" x14ac:dyDescent="0.25">
      <c r="A21" s="328" t="s">
        <v>1004</v>
      </c>
      <c r="B21" s="329" t="s">
        <v>683</v>
      </c>
      <c r="C21" s="345" t="s">
        <v>660</v>
      </c>
      <c r="D21" s="346">
        <v>1200</v>
      </c>
      <c r="E21" s="340"/>
      <c r="F21" s="306"/>
    </row>
    <row r="22" spans="1:9" ht="18.75" hidden="1" customHeight="1" x14ac:dyDescent="0.25">
      <c r="A22" s="328" t="s">
        <v>1005</v>
      </c>
      <c r="B22" s="329" t="s">
        <v>685</v>
      </c>
      <c r="C22" s="345" t="s">
        <v>660</v>
      </c>
      <c r="D22" s="346">
        <v>1000</v>
      </c>
      <c r="E22" s="340"/>
      <c r="F22" s="306"/>
    </row>
    <row r="23" spans="1:9" ht="18.75" hidden="1" customHeight="1" x14ac:dyDescent="0.25">
      <c r="A23" s="328" t="s">
        <v>1006</v>
      </c>
      <c r="B23" s="329" t="s">
        <v>687</v>
      </c>
      <c r="C23" s="345" t="s">
        <v>660</v>
      </c>
      <c r="D23" s="346">
        <v>1200</v>
      </c>
      <c r="E23" s="340"/>
      <c r="F23" s="306"/>
    </row>
    <row r="24" spans="1:9" ht="18.75" hidden="1" customHeight="1" x14ac:dyDescent="0.25">
      <c r="A24" s="367" t="s">
        <v>1007</v>
      </c>
      <c r="B24" s="349" t="s">
        <v>689</v>
      </c>
      <c r="C24" s="350"/>
      <c r="D24" s="350"/>
      <c r="E24" s="305"/>
      <c r="F24" s="306"/>
    </row>
    <row r="25" spans="1:9" ht="77.25" hidden="1" customHeight="1" x14ac:dyDescent="0.25">
      <c r="A25" s="328" t="s">
        <v>1008</v>
      </c>
      <c r="B25" s="302" t="s">
        <v>691</v>
      </c>
      <c r="C25" s="345" t="s">
        <v>692</v>
      </c>
      <c r="D25" s="345" t="s">
        <v>1009</v>
      </c>
      <c r="E25" s="340"/>
      <c r="F25" s="306"/>
    </row>
    <row r="26" spans="1:9" ht="18.75" hidden="1" customHeight="1" x14ac:dyDescent="0.25">
      <c r="A26" s="328" t="s">
        <v>1010</v>
      </c>
      <c r="B26" s="329" t="s">
        <v>695</v>
      </c>
      <c r="C26" s="345" t="s">
        <v>696</v>
      </c>
      <c r="D26" s="346">
        <v>50</v>
      </c>
      <c r="E26" s="340"/>
      <c r="F26" s="306"/>
    </row>
    <row r="27" spans="1:9" ht="18.75" hidden="1" customHeight="1" x14ac:dyDescent="0.25">
      <c r="A27" s="328" t="s">
        <v>1011</v>
      </c>
      <c r="B27" s="302" t="s">
        <v>698</v>
      </c>
      <c r="C27" s="345"/>
      <c r="D27" s="346"/>
      <c r="E27" s="340"/>
      <c r="F27" s="306"/>
    </row>
    <row r="28" spans="1:9" ht="18.75" hidden="1" customHeight="1" x14ac:dyDescent="0.25">
      <c r="A28" s="328" t="s">
        <v>1012</v>
      </c>
      <c r="B28" s="302" t="s">
        <v>700</v>
      </c>
      <c r="C28" s="345" t="s">
        <v>701</v>
      </c>
      <c r="D28" s="346">
        <v>30</v>
      </c>
      <c r="E28" s="340"/>
      <c r="F28" s="306"/>
    </row>
    <row r="29" spans="1:9" ht="18.75" hidden="1" customHeight="1" x14ac:dyDescent="0.25">
      <c r="A29" s="328" t="s">
        <v>1013</v>
      </c>
      <c r="B29" s="329" t="s">
        <v>703</v>
      </c>
      <c r="C29" s="345" t="s">
        <v>704</v>
      </c>
      <c r="D29" s="346">
        <v>0</v>
      </c>
      <c r="E29" s="340"/>
      <c r="F29" s="306"/>
    </row>
    <row r="30" spans="1:9" s="374" customFormat="1" ht="18.75" hidden="1" customHeight="1" x14ac:dyDescent="0.25">
      <c r="A30" s="368"/>
      <c r="B30" s="369"/>
      <c r="C30" s="370"/>
      <c r="D30" s="371"/>
      <c r="E30" s="372"/>
      <c r="F30" s="373"/>
    </row>
    <row r="31" spans="1:9" s="374" customFormat="1" ht="18.75" hidden="1" customHeight="1" x14ac:dyDescent="0.25">
      <c r="A31" s="368"/>
      <c r="B31" s="369"/>
      <c r="C31" s="370"/>
      <c r="D31" s="371"/>
      <c r="E31" s="372"/>
      <c r="F31" s="373"/>
    </row>
    <row r="32" spans="1:9" s="828" customFormat="1" ht="27" customHeight="1" x14ac:dyDescent="0.25">
      <c r="A32" s="1254" t="s">
        <v>2397</v>
      </c>
      <c r="B32" s="1254"/>
      <c r="C32" s="1254"/>
      <c r="E32" s="835"/>
      <c r="F32" s="835" t="s">
        <v>2398</v>
      </c>
      <c r="G32" s="835"/>
      <c r="H32" s="835"/>
      <c r="I32" s="835"/>
    </row>
    <row r="33" spans="1:11" s="831" customFormat="1" x14ac:dyDescent="0.25">
      <c r="A33" s="829"/>
      <c r="B33" s="829"/>
      <c r="C33" s="829"/>
      <c r="D33" s="830"/>
      <c r="E33" s="830"/>
      <c r="F33" s="830"/>
      <c r="G33" s="830"/>
      <c r="H33" s="830"/>
      <c r="I33" s="830"/>
    </row>
    <row r="34" spans="1:11" s="831" customFormat="1" x14ac:dyDescent="0.25">
      <c r="A34" s="829"/>
      <c r="B34" s="829"/>
      <c r="C34" s="829"/>
      <c r="D34" s="830"/>
      <c r="E34" s="830"/>
      <c r="F34" s="830"/>
      <c r="G34" s="830"/>
      <c r="H34" s="830"/>
      <c r="I34" s="830"/>
    </row>
    <row r="35" spans="1:11" s="828" customFormat="1" ht="28.5" customHeight="1" x14ac:dyDescent="0.25">
      <c r="A35" s="1255" t="s">
        <v>2419</v>
      </c>
      <c r="B35" s="1255"/>
      <c r="C35" s="1255"/>
      <c r="D35" s="1255"/>
      <c r="E35" s="1255"/>
      <c r="F35" s="1255"/>
      <c r="G35" s="836"/>
      <c r="H35" s="836"/>
      <c r="I35" s="836"/>
    </row>
    <row r="36" spans="1:11" s="839" customFormat="1" ht="15.75" x14ac:dyDescent="0.25">
      <c r="A36" s="1256" t="s">
        <v>1112</v>
      </c>
      <c r="B36" s="1256"/>
      <c r="C36" s="1256"/>
      <c r="D36" s="1256"/>
      <c r="E36" s="1256"/>
      <c r="F36" s="1256"/>
      <c r="G36" s="838"/>
      <c r="H36" s="838"/>
      <c r="I36" s="838"/>
    </row>
    <row r="37" spans="1:11" s="828" customFormat="1" ht="15.75" x14ac:dyDescent="0.25">
      <c r="A37" s="840"/>
      <c r="B37" s="840"/>
      <c r="C37" s="840"/>
      <c r="D37" s="841"/>
      <c r="E37" s="841"/>
      <c r="F37" s="841"/>
      <c r="G37" s="829"/>
      <c r="H37" s="832"/>
      <c r="I37" s="832"/>
    </row>
    <row r="38" spans="1:11" s="828" customFormat="1" ht="81" customHeight="1" x14ac:dyDescent="0.25">
      <c r="A38" s="1258" t="s">
        <v>2399</v>
      </c>
      <c r="B38" s="1258"/>
      <c r="C38" s="1257" t="s">
        <v>2420</v>
      </c>
      <c r="D38" s="1257"/>
      <c r="E38" s="1257"/>
      <c r="F38" s="1257"/>
      <c r="G38" s="837"/>
      <c r="H38" s="837"/>
      <c r="I38" s="837"/>
    </row>
    <row r="39" spans="1:11" s="828" customFormat="1" ht="15.75" x14ac:dyDescent="0.25">
      <c r="A39" s="842"/>
      <c r="B39" s="842"/>
      <c r="C39" s="842"/>
      <c r="D39" s="840"/>
      <c r="E39" s="840"/>
      <c r="F39" s="840"/>
      <c r="G39" s="832"/>
      <c r="H39" s="832"/>
      <c r="I39" s="832"/>
    </row>
    <row r="40" spans="1:11" s="828" customFormat="1" ht="41.25" customHeight="1" x14ac:dyDescent="0.25">
      <c r="A40" s="1253" t="s">
        <v>1203</v>
      </c>
      <c r="B40" s="1253"/>
      <c r="C40" s="843"/>
      <c r="D40" s="843"/>
      <c r="E40" s="843"/>
      <c r="F40" s="843"/>
      <c r="G40" s="833"/>
      <c r="H40" s="833"/>
      <c r="I40" s="833"/>
    </row>
    <row r="41" spans="1:11" s="828" customFormat="1" ht="15.75" x14ac:dyDescent="0.25">
      <c r="A41" s="840"/>
      <c r="B41" s="840"/>
      <c r="C41" s="840"/>
      <c r="D41" s="840"/>
      <c r="E41" s="840"/>
      <c r="F41" s="840"/>
      <c r="G41" s="832"/>
      <c r="H41" s="832"/>
      <c r="I41" s="832"/>
    </row>
    <row r="42" spans="1:11" s="828" customFormat="1" ht="30" customHeight="1" x14ac:dyDescent="0.25">
      <c r="A42" s="1253" t="s">
        <v>2400</v>
      </c>
      <c r="B42" s="1253"/>
      <c r="C42" s="843" t="s">
        <v>2403</v>
      </c>
      <c r="D42" s="843"/>
      <c r="E42" s="843"/>
      <c r="F42" s="843"/>
      <c r="G42" s="833"/>
      <c r="H42" s="833"/>
      <c r="I42" s="833"/>
    </row>
    <row r="43" spans="1:11" s="374" customFormat="1" ht="18.75" customHeight="1" x14ac:dyDescent="0.25">
      <c r="A43" s="368"/>
      <c r="B43" s="369"/>
      <c r="C43" s="370"/>
      <c r="D43" s="371"/>
      <c r="E43" s="372"/>
      <c r="F43" s="373"/>
    </row>
    <row r="44" spans="1:11" s="294" customFormat="1" ht="38.25" x14ac:dyDescent="0.25">
      <c r="A44" s="298" t="s">
        <v>529</v>
      </c>
      <c r="B44" s="298" t="s">
        <v>528</v>
      </c>
      <c r="C44" s="298" t="s">
        <v>527</v>
      </c>
      <c r="D44" s="271" t="s">
        <v>526</v>
      </c>
      <c r="E44" s="377"/>
      <c r="F44" s="298" t="s">
        <v>525</v>
      </c>
    </row>
    <row r="45" spans="1:11" x14ac:dyDescent="0.25">
      <c r="A45" s="272"/>
      <c r="B45" s="861" t="s">
        <v>236</v>
      </c>
      <c r="C45" s="862">
        <v>1</v>
      </c>
      <c r="D45" s="862" t="s">
        <v>214</v>
      </c>
      <c r="E45" s="854"/>
      <c r="F45" s="854"/>
    </row>
    <row r="46" spans="1:11" s="2" customFormat="1" ht="51" x14ac:dyDescent="0.25">
      <c r="A46" s="272"/>
      <c r="B46" s="854" t="s">
        <v>1015</v>
      </c>
      <c r="C46" s="394" t="s">
        <v>1014</v>
      </c>
      <c r="D46" s="394" t="s">
        <v>216</v>
      </c>
      <c r="E46" s="854"/>
      <c r="F46" s="855">
        <f>53.22*C45*D47*D48*D49*C69*1000</f>
        <v>34172.706758400011</v>
      </c>
      <c r="G46" s="37"/>
      <c r="H46" s="37"/>
      <c r="I46"/>
      <c r="J46"/>
      <c r="K46"/>
    </row>
    <row r="47" spans="1:11" s="3" customFormat="1" x14ac:dyDescent="0.25">
      <c r="A47" s="276"/>
      <c r="B47" s="865" t="s">
        <v>4</v>
      </c>
      <c r="C47" s="865" t="s">
        <v>5</v>
      </c>
      <c r="D47" s="866">
        <v>0.4</v>
      </c>
      <c r="E47" s="866"/>
      <c r="F47" s="866"/>
      <c r="I47"/>
      <c r="J47"/>
      <c r="K47"/>
    </row>
    <row r="48" spans="1:11" ht="102" x14ac:dyDescent="0.25">
      <c r="A48" s="272"/>
      <c r="B48" s="394" t="s">
        <v>310</v>
      </c>
      <c r="C48" s="394" t="s">
        <v>311</v>
      </c>
      <c r="D48" s="854">
        <v>0.25</v>
      </c>
      <c r="E48" s="854"/>
      <c r="F48" s="854"/>
    </row>
    <row r="49" spans="1:9" ht="76.5" x14ac:dyDescent="0.25">
      <c r="A49" s="272"/>
      <c r="B49" s="394" t="s">
        <v>15</v>
      </c>
      <c r="C49" s="394" t="s">
        <v>215</v>
      </c>
      <c r="D49" s="854">
        <f>E50/1</f>
        <v>1.2069600000000005</v>
      </c>
      <c r="E49" s="854"/>
      <c r="F49" s="854"/>
    </row>
    <row r="50" spans="1:9" x14ac:dyDescent="0.25">
      <c r="A50" s="272"/>
      <c r="B50" s="390" t="s">
        <v>6</v>
      </c>
      <c r="C50" s="869">
        <f>SUM(C51:C67)</f>
        <v>1.0000000000000002</v>
      </c>
      <c r="D50" s="870"/>
      <c r="E50" s="871">
        <f>SUM(E51:E67)</f>
        <v>1.2069600000000005</v>
      </c>
      <c r="F50" s="872"/>
      <c r="G50" s="9"/>
      <c r="H50" s="9"/>
    </row>
    <row r="51" spans="1:9" hidden="1" outlineLevel="1" x14ac:dyDescent="0.25">
      <c r="A51" s="272"/>
      <c r="B51" s="394" t="s">
        <v>20</v>
      </c>
      <c r="C51" s="873">
        <v>0.02</v>
      </c>
      <c r="D51" s="879">
        <v>1</v>
      </c>
      <c r="E51" s="875">
        <f>C51*D51</f>
        <v>0.02</v>
      </c>
      <c r="F51" s="870"/>
      <c r="G51" s="6"/>
      <c r="H51" s="6"/>
    </row>
    <row r="52" spans="1:9" hidden="1" outlineLevel="1" x14ac:dyDescent="0.25">
      <c r="A52" s="272"/>
      <c r="B52" s="394" t="s">
        <v>21</v>
      </c>
      <c r="C52" s="873">
        <v>0.04</v>
      </c>
      <c r="D52" s="854">
        <v>1</v>
      </c>
      <c r="E52" s="875">
        <f>C52*D52</f>
        <v>0.04</v>
      </c>
      <c r="F52" s="854"/>
    </row>
    <row r="53" spans="1:9" hidden="1" outlineLevel="1" x14ac:dyDescent="0.25">
      <c r="A53" s="272"/>
      <c r="B53" s="394" t="s">
        <v>22</v>
      </c>
      <c r="C53" s="873">
        <v>0.14000000000000001</v>
      </c>
      <c r="D53" s="879" t="s">
        <v>16</v>
      </c>
      <c r="E53" s="875">
        <f>C53*(1+0.3)</f>
        <v>0.18200000000000002</v>
      </c>
      <c r="F53" s="854"/>
    </row>
    <row r="54" spans="1:9" hidden="1" outlineLevel="1" x14ac:dyDescent="0.25">
      <c r="A54" s="272"/>
      <c r="B54" s="394" t="s">
        <v>23</v>
      </c>
      <c r="C54" s="873">
        <v>0.15</v>
      </c>
      <c r="D54" s="879" t="s">
        <v>16</v>
      </c>
      <c r="E54" s="875">
        <f>C54*(1+0.3)</f>
        <v>0.19500000000000001</v>
      </c>
      <c r="F54" s="854"/>
    </row>
    <row r="55" spans="1:9" ht="25.5" hidden="1" outlineLevel="1" x14ac:dyDescent="0.25">
      <c r="A55" s="272"/>
      <c r="B55" s="394" t="s">
        <v>36</v>
      </c>
      <c r="C55" s="873"/>
      <c r="D55" s="879"/>
      <c r="E55" s="875">
        <f>C55*(1+0.3)</f>
        <v>0</v>
      </c>
      <c r="F55" s="870"/>
      <c r="G55" s="6"/>
      <c r="H55" s="6"/>
    </row>
    <row r="56" spans="1:9" hidden="1" outlineLevel="1" x14ac:dyDescent="0.25">
      <c r="A56" s="272"/>
      <c r="B56" s="877" t="s">
        <v>37</v>
      </c>
      <c r="C56" s="873">
        <v>7.0000000000000007E-2</v>
      </c>
      <c r="D56" s="879" t="s">
        <v>16</v>
      </c>
      <c r="E56" s="875">
        <f>C56*(1+0.3)</f>
        <v>9.1000000000000011E-2</v>
      </c>
      <c r="F56" s="870"/>
      <c r="G56" s="6"/>
      <c r="H56" s="6"/>
    </row>
    <row r="57" spans="1:9" hidden="1" outlineLevel="1" x14ac:dyDescent="0.25">
      <c r="A57" s="272"/>
      <c r="B57" s="877" t="s">
        <v>38</v>
      </c>
      <c r="C57" s="873">
        <v>0.04</v>
      </c>
      <c r="D57" s="879" t="s">
        <v>16</v>
      </c>
      <c r="E57" s="875">
        <f t="shared" ref="E57:E62" si="0">C57*(1+0.3)</f>
        <v>5.2000000000000005E-2</v>
      </c>
      <c r="F57" s="870"/>
      <c r="G57" s="6"/>
      <c r="H57" s="6"/>
    </row>
    <row r="58" spans="1:9" hidden="1" outlineLevel="1" x14ac:dyDescent="0.25">
      <c r="A58" s="272"/>
      <c r="B58" s="877" t="s">
        <v>39</v>
      </c>
      <c r="C58" s="873">
        <v>0.04</v>
      </c>
      <c r="D58" s="879" t="s">
        <v>16</v>
      </c>
      <c r="E58" s="875">
        <f t="shared" si="0"/>
        <v>5.2000000000000005E-2</v>
      </c>
      <c r="F58" s="882"/>
      <c r="G58" s="7"/>
      <c r="H58" s="7"/>
      <c r="I58" s="8"/>
    </row>
    <row r="59" spans="1:9" hidden="1" outlineLevel="1" x14ac:dyDescent="0.25">
      <c r="A59" s="272"/>
      <c r="B59" s="877" t="s">
        <v>40</v>
      </c>
      <c r="C59" s="873">
        <v>0.12</v>
      </c>
      <c r="D59" s="879" t="s">
        <v>16</v>
      </c>
      <c r="E59" s="875">
        <f t="shared" si="0"/>
        <v>0.156</v>
      </c>
      <c r="F59" s="870"/>
      <c r="G59" s="6"/>
      <c r="H59" s="6"/>
    </row>
    <row r="60" spans="1:9" hidden="1" outlineLevel="1" x14ac:dyDescent="0.25">
      <c r="A60" s="272"/>
      <c r="B60" s="877" t="s">
        <v>41</v>
      </c>
      <c r="C60" s="873">
        <v>0.03</v>
      </c>
      <c r="D60" s="879" t="s">
        <v>16</v>
      </c>
      <c r="E60" s="875">
        <f t="shared" si="0"/>
        <v>3.9E-2</v>
      </c>
      <c r="F60" s="854"/>
    </row>
    <row r="61" spans="1:9" hidden="1" outlineLevel="1" x14ac:dyDescent="0.25">
      <c r="A61" s="272"/>
      <c r="B61" s="877" t="s">
        <v>42</v>
      </c>
      <c r="C61" s="873">
        <v>0.02</v>
      </c>
      <c r="D61" s="879" t="s">
        <v>16</v>
      </c>
      <c r="E61" s="875">
        <f t="shared" si="0"/>
        <v>2.6000000000000002E-2</v>
      </c>
      <c r="F61" s="854"/>
    </row>
    <row r="62" spans="1:9" hidden="1" outlineLevel="1" x14ac:dyDescent="0.25">
      <c r="A62" s="272"/>
      <c r="B62" s="877" t="s">
        <v>43</v>
      </c>
      <c r="C62" s="873">
        <v>0.05</v>
      </c>
      <c r="D62" s="879" t="s">
        <v>16</v>
      </c>
      <c r="E62" s="875">
        <f t="shared" si="0"/>
        <v>6.5000000000000002E-2</v>
      </c>
      <c r="F62" s="854"/>
    </row>
    <row r="63" spans="1:9" hidden="1" outlineLevel="1" x14ac:dyDescent="0.25">
      <c r="A63" s="272"/>
      <c r="B63" s="394" t="s">
        <v>30</v>
      </c>
      <c r="C63" s="873">
        <v>0.06</v>
      </c>
      <c r="D63" s="879">
        <v>1</v>
      </c>
      <c r="E63" s="875">
        <f>C63*D63</f>
        <v>0.06</v>
      </c>
      <c r="F63" s="870"/>
      <c r="G63" s="6"/>
      <c r="H63" s="6"/>
    </row>
    <row r="64" spans="1:9" hidden="1" outlineLevel="1" x14ac:dyDescent="0.25">
      <c r="A64" s="272"/>
      <c r="B64" s="394" t="s">
        <v>44</v>
      </c>
      <c r="C64" s="873">
        <v>7.0000000000000007E-2</v>
      </c>
      <c r="D64" s="879">
        <v>1</v>
      </c>
      <c r="E64" s="875">
        <f>C64*D64</f>
        <v>7.0000000000000007E-2</v>
      </c>
      <c r="F64" s="882"/>
      <c r="G64" s="7"/>
      <c r="H64" s="7"/>
      <c r="I64" s="8"/>
    </row>
    <row r="65" spans="1:11" hidden="1" outlineLevel="1" x14ac:dyDescent="0.25">
      <c r="A65" s="272"/>
      <c r="B65" s="394" t="s">
        <v>32</v>
      </c>
      <c r="C65" s="873">
        <v>0.06</v>
      </c>
      <c r="D65" s="879">
        <v>1</v>
      </c>
      <c r="E65" s="875">
        <f>C65*D65</f>
        <v>0.06</v>
      </c>
      <c r="F65" s="870"/>
      <c r="G65" s="6"/>
      <c r="H65" s="6"/>
    </row>
    <row r="66" spans="1:11" hidden="1" outlineLevel="1" x14ac:dyDescent="0.25">
      <c r="A66" s="272"/>
      <c r="B66" s="394" t="s">
        <v>45</v>
      </c>
      <c r="C66" s="873">
        <v>0.02</v>
      </c>
      <c r="D66" s="879">
        <v>1</v>
      </c>
      <c r="E66" s="875">
        <f>C66*D66</f>
        <v>0.02</v>
      </c>
      <c r="F66" s="854"/>
    </row>
    <row r="67" spans="1:11" hidden="1" outlineLevel="1" x14ac:dyDescent="0.25">
      <c r="A67" s="272"/>
      <c r="B67" s="854" t="s">
        <v>13</v>
      </c>
      <c r="C67" s="873">
        <v>7.0000000000000007E-2</v>
      </c>
      <c r="D67" s="854"/>
      <c r="E67" s="881">
        <f>SUM(E51:E66)*C67</f>
        <v>7.896000000000003E-2</v>
      </c>
      <c r="F67" s="882"/>
      <c r="G67" s="7"/>
      <c r="H67" s="7"/>
      <c r="I67" s="8"/>
    </row>
    <row r="68" spans="1:11" s="19" customFormat="1" ht="15.75" collapsed="1" x14ac:dyDescent="0.25">
      <c r="A68" s="386"/>
      <c r="B68" s="862" t="s">
        <v>48</v>
      </c>
      <c r="C68" s="862"/>
      <c r="D68" s="862"/>
      <c r="E68" s="862"/>
      <c r="F68" s="862"/>
    </row>
    <row r="69" spans="1:11" s="19" customFormat="1" ht="15.75" x14ac:dyDescent="0.25">
      <c r="A69" s="386"/>
      <c r="B69" s="862" t="s">
        <v>49</v>
      </c>
      <c r="C69" s="862">
        <v>5.32</v>
      </c>
      <c r="D69" s="880"/>
      <c r="E69" s="862"/>
      <c r="F69" s="862"/>
    </row>
    <row r="70" spans="1:11" x14ac:dyDescent="0.25">
      <c r="A70" s="272"/>
      <c r="B70" s="861" t="s">
        <v>217</v>
      </c>
      <c r="C70" s="862">
        <f>15*2</f>
        <v>30</v>
      </c>
      <c r="D70" s="862" t="s">
        <v>301</v>
      </c>
      <c r="E70" s="854"/>
      <c r="F70" s="854"/>
    </row>
    <row r="71" spans="1:11" s="2" customFormat="1" ht="63.75" x14ac:dyDescent="0.25">
      <c r="A71" s="272"/>
      <c r="B71" s="854" t="s">
        <v>1017</v>
      </c>
      <c r="C71" s="394" t="s">
        <v>1016</v>
      </c>
      <c r="D71" s="394" t="s">
        <v>1019</v>
      </c>
      <c r="E71" s="854"/>
      <c r="F71" s="855">
        <f>(69.61+0.06*C70)*D72*D73*D74*C94*1000</f>
        <v>41340.468682800012</v>
      </c>
      <c r="G71" s="37"/>
      <c r="H71" s="37"/>
      <c r="I71" s="12"/>
      <c r="J71"/>
      <c r="K71"/>
    </row>
    <row r="72" spans="1:11" s="3" customFormat="1" x14ac:dyDescent="0.25">
      <c r="A72" s="276"/>
      <c r="B72" s="865" t="s">
        <v>4</v>
      </c>
      <c r="C72" s="865" t="s">
        <v>5</v>
      </c>
      <c r="D72" s="866">
        <v>0.4</v>
      </c>
      <c r="E72" s="866"/>
      <c r="F72" s="866"/>
      <c r="I72"/>
      <c r="J72"/>
      <c r="K72"/>
    </row>
    <row r="73" spans="1:11" ht="102" x14ac:dyDescent="0.25">
      <c r="A73" s="272"/>
      <c r="B73" s="394" t="s">
        <v>310</v>
      </c>
      <c r="C73" s="394" t="s">
        <v>311</v>
      </c>
      <c r="D73" s="854">
        <v>0.25</v>
      </c>
      <c r="E73" s="854"/>
      <c r="F73" s="854"/>
    </row>
    <row r="74" spans="1:11" ht="76.5" x14ac:dyDescent="0.25">
      <c r="A74" s="272"/>
      <c r="B74" s="394" t="s">
        <v>15</v>
      </c>
      <c r="C74" s="394" t="s">
        <v>1018</v>
      </c>
      <c r="D74" s="854">
        <f>E75/1</f>
        <v>1.0881900000000004</v>
      </c>
      <c r="E74" s="854"/>
      <c r="F74" s="854"/>
    </row>
    <row r="75" spans="1:11" x14ac:dyDescent="0.25">
      <c r="A75" s="272"/>
      <c r="B75" s="390" t="s">
        <v>6</v>
      </c>
      <c r="C75" s="869">
        <f>SUM(C76:C92)</f>
        <v>1.0000000000000002</v>
      </c>
      <c r="D75" s="870"/>
      <c r="E75" s="871">
        <f>SUM(E76:E92)</f>
        <v>1.0881900000000004</v>
      </c>
      <c r="F75" s="872"/>
      <c r="G75" s="9"/>
      <c r="H75" s="9"/>
    </row>
    <row r="76" spans="1:11" hidden="1" outlineLevel="1" x14ac:dyDescent="0.25">
      <c r="A76" s="272"/>
      <c r="B76" s="394" t="s">
        <v>20</v>
      </c>
      <c r="C76" s="873">
        <v>0.02</v>
      </c>
      <c r="D76" s="879">
        <v>1</v>
      </c>
      <c r="E76" s="875">
        <f>C76*D76</f>
        <v>0.02</v>
      </c>
      <c r="F76" s="870"/>
      <c r="G76" s="6"/>
      <c r="H76" s="6"/>
    </row>
    <row r="77" spans="1:11" hidden="1" outlineLevel="1" x14ac:dyDescent="0.25">
      <c r="A77" s="272"/>
      <c r="B77" s="394" t="s">
        <v>21</v>
      </c>
      <c r="C77" s="873">
        <v>0.04</v>
      </c>
      <c r="D77" s="854">
        <v>1</v>
      </c>
      <c r="E77" s="875">
        <f>C77*D77</f>
        <v>0.04</v>
      </c>
      <c r="F77" s="854"/>
    </row>
    <row r="78" spans="1:11" hidden="1" outlineLevel="1" x14ac:dyDescent="0.25">
      <c r="A78" s="272"/>
      <c r="B78" s="394" t="s">
        <v>22</v>
      </c>
      <c r="C78" s="873">
        <v>0.14000000000000001</v>
      </c>
      <c r="D78" s="879" t="s">
        <v>16</v>
      </c>
      <c r="E78" s="875">
        <f>C78*(1+0.3)</f>
        <v>0.18200000000000002</v>
      </c>
      <c r="F78" s="854"/>
    </row>
    <row r="79" spans="1:11" hidden="1" outlineLevel="1" x14ac:dyDescent="0.25">
      <c r="A79" s="272"/>
      <c r="B79" s="394" t="s">
        <v>23</v>
      </c>
      <c r="C79" s="873">
        <v>0.15</v>
      </c>
      <c r="D79" s="879" t="s">
        <v>16</v>
      </c>
      <c r="E79" s="875">
        <f>C79*(1+0.3)</f>
        <v>0.19500000000000001</v>
      </c>
      <c r="F79" s="854"/>
    </row>
    <row r="80" spans="1:11" ht="25.5" hidden="1" outlineLevel="1" x14ac:dyDescent="0.25">
      <c r="A80" s="272"/>
      <c r="B80" s="394" t="s">
        <v>36</v>
      </c>
      <c r="C80" s="873"/>
      <c r="D80" s="879"/>
      <c r="E80" s="875">
        <f>C80*(1+0.3)</f>
        <v>0</v>
      </c>
      <c r="F80" s="870"/>
      <c r="G80" s="6"/>
      <c r="H80" s="6"/>
    </row>
    <row r="81" spans="1:11" hidden="1" outlineLevel="1" x14ac:dyDescent="0.25">
      <c r="A81" s="272"/>
      <c r="B81" s="877" t="s">
        <v>37</v>
      </c>
      <c r="C81" s="873">
        <v>7.0000000000000007E-2</v>
      </c>
      <c r="D81" s="879">
        <v>1</v>
      </c>
      <c r="E81" s="875">
        <f t="shared" ref="E81:E85" si="1">C81*D81</f>
        <v>7.0000000000000007E-2</v>
      </c>
      <c r="F81" s="870"/>
      <c r="G81" s="6"/>
      <c r="H81" s="6"/>
    </row>
    <row r="82" spans="1:11" hidden="1" outlineLevel="1" x14ac:dyDescent="0.25">
      <c r="A82" s="272"/>
      <c r="B82" s="877" t="s">
        <v>38</v>
      </c>
      <c r="C82" s="873">
        <v>0.04</v>
      </c>
      <c r="D82" s="879">
        <v>1</v>
      </c>
      <c r="E82" s="875">
        <f t="shared" si="1"/>
        <v>0.04</v>
      </c>
      <c r="F82" s="870"/>
      <c r="G82" s="6"/>
      <c r="H82" s="6"/>
    </row>
    <row r="83" spans="1:11" hidden="1" outlineLevel="1" x14ac:dyDescent="0.25">
      <c r="A83" s="272"/>
      <c r="B83" s="877" t="s">
        <v>39</v>
      </c>
      <c r="C83" s="873">
        <v>0.04</v>
      </c>
      <c r="D83" s="879">
        <v>1</v>
      </c>
      <c r="E83" s="875">
        <f t="shared" si="1"/>
        <v>0.04</v>
      </c>
      <c r="F83" s="882"/>
      <c r="G83" s="7"/>
      <c r="H83" s="7"/>
      <c r="I83" s="8"/>
    </row>
    <row r="84" spans="1:11" hidden="1" outlineLevel="1" x14ac:dyDescent="0.25">
      <c r="A84" s="272"/>
      <c r="B84" s="877" t="s">
        <v>40</v>
      </c>
      <c r="C84" s="873">
        <v>0.12</v>
      </c>
      <c r="D84" s="879">
        <v>1</v>
      </c>
      <c r="E84" s="875">
        <f t="shared" si="1"/>
        <v>0.12</v>
      </c>
      <c r="F84" s="870"/>
      <c r="G84" s="6"/>
      <c r="H84" s="6"/>
    </row>
    <row r="85" spans="1:11" hidden="1" outlineLevel="1" x14ac:dyDescent="0.25">
      <c r="A85" s="272"/>
      <c r="B85" s="877" t="s">
        <v>41</v>
      </c>
      <c r="C85" s="873">
        <v>0.03</v>
      </c>
      <c r="D85" s="879">
        <v>1</v>
      </c>
      <c r="E85" s="875">
        <f t="shared" si="1"/>
        <v>0.03</v>
      </c>
      <c r="F85" s="854"/>
    </row>
    <row r="86" spans="1:11" hidden="1" outlineLevel="1" x14ac:dyDescent="0.25">
      <c r="A86" s="272"/>
      <c r="B86" s="877" t="s">
        <v>42</v>
      </c>
      <c r="C86" s="873">
        <v>0.02</v>
      </c>
      <c r="D86" s="879">
        <v>1</v>
      </c>
      <c r="E86" s="875">
        <f>C86*D86</f>
        <v>0.02</v>
      </c>
      <c r="F86" s="854"/>
    </row>
    <row r="87" spans="1:11" hidden="1" outlineLevel="1" x14ac:dyDescent="0.25">
      <c r="A87" s="272"/>
      <c r="B87" s="877" t="s">
        <v>43</v>
      </c>
      <c r="C87" s="873">
        <v>0.05</v>
      </c>
      <c r="D87" s="879">
        <v>1</v>
      </c>
      <c r="E87" s="875">
        <f t="shared" ref="E87" si="2">C87*D87</f>
        <v>0.05</v>
      </c>
      <c r="F87" s="854"/>
    </row>
    <row r="88" spans="1:11" hidden="1" outlineLevel="1" x14ac:dyDescent="0.25">
      <c r="A88" s="272"/>
      <c r="B88" s="394" t="s">
        <v>30</v>
      </c>
      <c r="C88" s="873">
        <v>0.06</v>
      </c>
      <c r="D88" s="879">
        <v>1</v>
      </c>
      <c r="E88" s="875">
        <f>C88*D88</f>
        <v>0.06</v>
      </c>
      <c r="F88" s="870"/>
      <c r="G88" s="6"/>
      <c r="H88" s="6"/>
    </row>
    <row r="89" spans="1:11" hidden="1" outlineLevel="1" x14ac:dyDescent="0.25">
      <c r="A89" s="272"/>
      <c r="B89" s="394" t="s">
        <v>44</v>
      </c>
      <c r="C89" s="873">
        <v>7.0000000000000007E-2</v>
      </c>
      <c r="D89" s="879">
        <v>1</v>
      </c>
      <c r="E89" s="875">
        <f>C89*D89</f>
        <v>7.0000000000000007E-2</v>
      </c>
      <c r="F89" s="882"/>
      <c r="G89" s="7"/>
      <c r="H89" s="7"/>
      <c r="I89" s="8"/>
    </row>
    <row r="90" spans="1:11" hidden="1" outlineLevel="1" x14ac:dyDescent="0.25">
      <c r="A90" s="272"/>
      <c r="B90" s="394" t="s">
        <v>32</v>
      </c>
      <c r="C90" s="873">
        <v>0.06</v>
      </c>
      <c r="D90" s="879">
        <v>1</v>
      </c>
      <c r="E90" s="875">
        <f>C90*D90</f>
        <v>0.06</v>
      </c>
      <c r="F90" s="870"/>
      <c r="G90" s="6"/>
      <c r="H90" s="6"/>
    </row>
    <row r="91" spans="1:11" hidden="1" outlineLevel="1" x14ac:dyDescent="0.25">
      <c r="A91" s="272"/>
      <c r="B91" s="394" t="s">
        <v>45</v>
      </c>
      <c r="C91" s="873">
        <v>0.02</v>
      </c>
      <c r="D91" s="879">
        <v>1</v>
      </c>
      <c r="E91" s="875">
        <f>C91*D91</f>
        <v>0.02</v>
      </c>
      <c r="F91" s="854"/>
    </row>
    <row r="92" spans="1:11" hidden="1" outlineLevel="1" x14ac:dyDescent="0.25">
      <c r="A92" s="272"/>
      <c r="B92" s="854" t="s">
        <v>13</v>
      </c>
      <c r="C92" s="873">
        <v>7.0000000000000007E-2</v>
      </c>
      <c r="D92" s="854"/>
      <c r="E92" s="881">
        <f>SUM(E76:E91)*C92</f>
        <v>7.1190000000000031E-2</v>
      </c>
      <c r="F92" s="882"/>
      <c r="G92" s="7"/>
      <c r="H92" s="7"/>
      <c r="I92" s="8"/>
    </row>
    <row r="93" spans="1:11" s="19" customFormat="1" ht="15.75" collapsed="1" x14ac:dyDescent="0.25">
      <c r="A93" s="386"/>
      <c r="B93" s="862" t="s">
        <v>48</v>
      </c>
      <c r="C93" s="862"/>
      <c r="D93" s="862"/>
      <c r="E93" s="862"/>
      <c r="F93" s="862"/>
    </row>
    <row r="94" spans="1:11" s="19" customFormat="1" ht="15.75" x14ac:dyDescent="0.25">
      <c r="A94" s="386"/>
      <c r="B94" s="862" t="s">
        <v>49</v>
      </c>
      <c r="C94" s="862">
        <v>5.32</v>
      </c>
      <c r="D94" s="880"/>
      <c r="E94" s="862"/>
      <c r="F94" s="862"/>
    </row>
    <row r="95" spans="1:11" collapsed="1" x14ac:dyDescent="0.25">
      <c r="A95" s="272"/>
      <c r="B95" s="861" t="s">
        <v>73</v>
      </c>
      <c r="C95" s="862">
        <f>D4</f>
        <v>600</v>
      </c>
      <c r="D95" s="862" t="s">
        <v>746</v>
      </c>
      <c r="E95" s="854"/>
      <c r="F95" s="854"/>
    </row>
    <row r="96" spans="1:11" s="2" customFormat="1" ht="76.5" x14ac:dyDescent="0.25">
      <c r="A96" s="272"/>
      <c r="B96" s="394" t="s">
        <v>1020</v>
      </c>
      <c r="C96" s="863" t="s">
        <v>1022</v>
      </c>
      <c r="D96" s="394" t="s">
        <v>1021</v>
      </c>
      <c r="E96" s="854"/>
      <c r="F96" s="855">
        <f>(25.79+0.063*600)*1*D97*D98*D99*D100*C119*1000</f>
        <v>327429.36527437507</v>
      </c>
      <c r="I96"/>
      <c r="J96"/>
      <c r="K96"/>
    </row>
    <row r="97" spans="1:11" s="3" customFormat="1" x14ac:dyDescent="0.25">
      <c r="A97" s="276"/>
      <c r="B97" s="865" t="s">
        <v>4</v>
      </c>
      <c r="C97" s="865" t="s">
        <v>852</v>
      </c>
      <c r="D97" s="866">
        <v>0.5</v>
      </c>
      <c r="E97" s="866"/>
      <c r="F97" s="866"/>
      <c r="I97"/>
      <c r="J97"/>
      <c r="K97"/>
    </row>
    <row r="98" spans="1:11" ht="63.75" x14ac:dyDescent="0.25">
      <c r="A98" s="272"/>
      <c r="B98" s="394" t="s">
        <v>276</v>
      </c>
      <c r="C98" s="394" t="s">
        <v>329</v>
      </c>
      <c r="D98" s="867">
        <v>1.3</v>
      </c>
      <c r="E98" s="854"/>
      <c r="F98" s="854"/>
    </row>
    <row r="99" spans="1:11" ht="63.75" x14ac:dyDescent="0.25">
      <c r="A99" s="272"/>
      <c r="B99" s="394" t="s">
        <v>278</v>
      </c>
      <c r="C99" s="394" t="s">
        <v>328</v>
      </c>
      <c r="D99" s="868">
        <v>1.25</v>
      </c>
      <c r="E99" s="854"/>
      <c r="F99" s="854"/>
    </row>
    <row r="100" spans="1:11" ht="76.5" x14ac:dyDescent="0.25">
      <c r="A100" s="272"/>
      <c r="B100" s="394" t="s">
        <v>15</v>
      </c>
      <c r="C100" s="394" t="s">
        <v>275</v>
      </c>
      <c r="D100" s="854">
        <f>E101/1</f>
        <v>1.191225</v>
      </c>
      <c r="E100" s="854"/>
      <c r="F100" s="854"/>
    </row>
    <row r="101" spans="1:11" x14ac:dyDescent="0.25">
      <c r="A101" s="272"/>
      <c r="B101" s="390" t="s">
        <v>6</v>
      </c>
      <c r="C101" s="869">
        <f>SUM(C102:C117)</f>
        <v>1</v>
      </c>
      <c r="D101" s="870"/>
      <c r="E101" s="871">
        <f>SUM(E102:E117)</f>
        <v>1.191225</v>
      </c>
      <c r="F101" s="872"/>
      <c r="G101" s="9"/>
      <c r="H101" s="9"/>
    </row>
    <row r="102" spans="1:11" hidden="1" outlineLevel="1" x14ac:dyDescent="0.25">
      <c r="A102" s="272"/>
      <c r="B102" s="394" t="s">
        <v>20</v>
      </c>
      <c r="C102" s="873">
        <v>0.02</v>
      </c>
      <c r="D102" s="874">
        <v>1</v>
      </c>
      <c r="E102" s="875">
        <f>C102*D102</f>
        <v>0.02</v>
      </c>
      <c r="F102" s="854"/>
    </row>
    <row r="103" spans="1:11" hidden="1" outlineLevel="1" x14ac:dyDescent="0.25">
      <c r="A103" s="272"/>
      <c r="B103" s="394" t="s">
        <v>265</v>
      </c>
      <c r="C103" s="873">
        <v>0.02</v>
      </c>
      <c r="D103" s="874" t="s">
        <v>16</v>
      </c>
      <c r="E103" s="875">
        <f>C103*(1+0.3)</f>
        <v>2.6000000000000002E-2</v>
      </c>
      <c r="F103" s="854"/>
    </row>
    <row r="104" spans="1:11" ht="38.25" hidden="1" outlineLevel="1" x14ac:dyDescent="0.25">
      <c r="A104" s="272"/>
      <c r="B104" s="394" t="s">
        <v>266</v>
      </c>
      <c r="C104" s="873"/>
      <c r="D104" s="876">
        <v>1</v>
      </c>
      <c r="E104" s="873">
        <f>C104*D104</f>
        <v>0</v>
      </c>
      <c r="F104" s="854"/>
    </row>
    <row r="105" spans="1:11" hidden="1" outlineLevel="1" x14ac:dyDescent="0.25">
      <c r="A105" s="272"/>
      <c r="B105" s="877" t="s">
        <v>43</v>
      </c>
      <c r="C105" s="878">
        <v>0.245</v>
      </c>
      <c r="D105" s="874" t="s">
        <v>16</v>
      </c>
      <c r="E105" s="875">
        <f>C105*(1+0.3)</f>
        <v>0.31850000000000001</v>
      </c>
      <c r="F105" s="854"/>
    </row>
    <row r="106" spans="1:11" hidden="1" outlineLevel="1" x14ac:dyDescent="0.25">
      <c r="A106" s="272"/>
      <c r="B106" s="877" t="s">
        <v>267</v>
      </c>
      <c r="C106" s="878">
        <v>0.27500000000000002</v>
      </c>
      <c r="D106" s="874" t="s">
        <v>16</v>
      </c>
      <c r="E106" s="875">
        <f>C106*(1+0.3)</f>
        <v>0.35750000000000004</v>
      </c>
      <c r="F106" s="854"/>
    </row>
    <row r="107" spans="1:11" hidden="1" outlineLevel="1" x14ac:dyDescent="0.25">
      <c r="A107" s="272"/>
      <c r="B107" s="877" t="s">
        <v>268</v>
      </c>
      <c r="C107" s="878">
        <v>1.4999999999999999E-2</v>
      </c>
      <c r="D107" s="874" t="s">
        <v>16</v>
      </c>
      <c r="E107" s="875">
        <f>C107*(1+0.3)</f>
        <v>1.95E-2</v>
      </c>
      <c r="F107" s="854"/>
    </row>
    <row r="108" spans="1:11" hidden="1" outlineLevel="1" x14ac:dyDescent="0.25">
      <c r="A108" s="272"/>
      <c r="B108" s="877" t="s">
        <v>269</v>
      </c>
      <c r="C108" s="878">
        <v>2.5000000000000001E-2</v>
      </c>
      <c r="D108" s="879">
        <v>1</v>
      </c>
      <c r="E108" s="878">
        <f>C108*D108</f>
        <v>2.5000000000000001E-2</v>
      </c>
      <c r="F108" s="854"/>
    </row>
    <row r="109" spans="1:11" hidden="1" outlineLevel="1" x14ac:dyDescent="0.25">
      <c r="A109" s="272"/>
      <c r="B109" s="877" t="s">
        <v>37</v>
      </c>
      <c r="C109" s="878">
        <v>0.1</v>
      </c>
      <c r="D109" s="876">
        <v>1</v>
      </c>
      <c r="E109" s="878">
        <f>C109*D109</f>
        <v>0.1</v>
      </c>
      <c r="F109" s="854"/>
    </row>
    <row r="110" spans="1:11" hidden="1" outlineLevel="1" x14ac:dyDescent="0.25">
      <c r="A110" s="272"/>
      <c r="B110" s="877" t="s">
        <v>270</v>
      </c>
      <c r="C110" s="878">
        <v>2.5000000000000001E-2</v>
      </c>
      <c r="D110" s="879">
        <v>1</v>
      </c>
      <c r="E110" s="878">
        <f>C110*D110</f>
        <v>2.5000000000000001E-2</v>
      </c>
      <c r="F110" s="854"/>
    </row>
    <row r="111" spans="1:11" hidden="1" outlineLevel="1" x14ac:dyDescent="0.25">
      <c r="A111" s="272"/>
      <c r="B111" s="877" t="s">
        <v>271</v>
      </c>
      <c r="C111" s="878">
        <v>1.4999999999999999E-2</v>
      </c>
      <c r="D111" s="879">
        <v>1</v>
      </c>
      <c r="E111" s="878">
        <f>C111*D111</f>
        <v>1.4999999999999999E-2</v>
      </c>
      <c r="F111" s="854"/>
    </row>
    <row r="112" spans="1:11" hidden="1" outlineLevel="1" x14ac:dyDescent="0.25">
      <c r="A112" s="272"/>
      <c r="B112" s="394" t="s">
        <v>272</v>
      </c>
      <c r="C112" s="878">
        <v>0.06</v>
      </c>
      <c r="D112" s="874" t="s">
        <v>16</v>
      </c>
      <c r="E112" s="878">
        <f>C112*(1+0.3)</f>
        <v>7.8E-2</v>
      </c>
      <c r="F112" s="854"/>
    </row>
    <row r="113" spans="1:11" hidden="1" outlineLevel="1" x14ac:dyDescent="0.25">
      <c r="A113" s="272"/>
      <c r="B113" s="394" t="s">
        <v>30</v>
      </c>
      <c r="C113" s="878">
        <v>0.02</v>
      </c>
      <c r="D113" s="879">
        <v>1</v>
      </c>
      <c r="E113" s="878">
        <f>C113*D113</f>
        <v>0.02</v>
      </c>
      <c r="F113" s="854"/>
    </row>
    <row r="114" spans="1:11" hidden="1" outlineLevel="1" x14ac:dyDescent="0.25">
      <c r="A114" s="272"/>
      <c r="B114" s="394" t="s">
        <v>273</v>
      </c>
      <c r="C114" s="878">
        <v>0.01</v>
      </c>
      <c r="D114" s="876">
        <v>1</v>
      </c>
      <c r="E114" s="878">
        <f>C114*D114</f>
        <v>0.01</v>
      </c>
      <c r="F114" s="854"/>
    </row>
    <row r="115" spans="1:11" hidden="1" outlineLevel="1" x14ac:dyDescent="0.25">
      <c r="A115" s="272"/>
      <c r="B115" s="394" t="s">
        <v>274</v>
      </c>
      <c r="C115" s="878">
        <v>0.09</v>
      </c>
      <c r="D115" s="879">
        <v>1</v>
      </c>
      <c r="E115" s="878">
        <f>C115*D115</f>
        <v>0.09</v>
      </c>
      <c r="F115" s="854"/>
    </row>
    <row r="116" spans="1:11" hidden="1" outlineLevel="1" x14ac:dyDescent="0.25">
      <c r="A116" s="272"/>
      <c r="B116" s="394" t="s">
        <v>32</v>
      </c>
      <c r="C116" s="878">
        <v>0.03</v>
      </c>
      <c r="D116" s="879">
        <v>1</v>
      </c>
      <c r="E116" s="878">
        <f>C116*D116</f>
        <v>0.03</v>
      </c>
      <c r="F116" s="854"/>
    </row>
    <row r="117" spans="1:11" hidden="1" outlineLevel="1" x14ac:dyDescent="0.25">
      <c r="A117" s="272"/>
      <c r="B117" s="394" t="s">
        <v>212</v>
      </c>
      <c r="C117" s="878">
        <v>0.05</v>
      </c>
      <c r="D117" s="876"/>
      <c r="E117" s="875">
        <f>SUM(E102:E116)*C117</f>
        <v>5.6725000000000005E-2</v>
      </c>
      <c r="F117" s="854"/>
    </row>
    <row r="118" spans="1:11" s="19" customFormat="1" ht="15.75" collapsed="1" x14ac:dyDescent="0.25">
      <c r="A118" s="386"/>
      <c r="B118" s="862" t="s">
        <v>48</v>
      </c>
      <c r="C118" s="862"/>
      <c r="D118" s="862"/>
      <c r="E118" s="862"/>
      <c r="F118" s="862"/>
    </row>
    <row r="119" spans="1:11" s="19" customFormat="1" ht="15.75" x14ac:dyDescent="0.25">
      <c r="A119" s="386"/>
      <c r="B119" s="862" t="s">
        <v>49</v>
      </c>
      <c r="C119" s="862">
        <v>5.32</v>
      </c>
      <c r="D119" s="880"/>
      <c r="E119" s="862"/>
      <c r="F119" s="862"/>
    </row>
    <row r="120" spans="1:11" x14ac:dyDescent="0.25">
      <c r="A120" s="272"/>
      <c r="B120" s="861" t="s">
        <v>127</v>
      </c>
      <c r="C120" s="862">
        <v>1</v>
      </c>
      <c r="D120" s="862" t="s">
        <v>0</v>
      </c>
      <c r="E120" s="854"/>
      <c r="F120" s="854"/>
    </row>
    <row r="121" spans="1:11" s="2" customFormat="1" ht="127.5" x14ac:dyDescent="0.25">
      <c r="A121" s="272"/>
      <c r="B121" s="394" t="s">
        <v>535</v>
      </c>
      <c r="C121" s="394" t="s">
        <v>1063</v>
      </c>
      <c r="D121" s="864" t="s">
        <v>1074</v>
      </c>
      <c r="E121" s="854"/>
      <c r="F121" s="855">
        <f>(21.43+2.55*C120)*D122*D123*D124*C135*1000</f>
        <v>61551.404351360012</v>
      </c>
      <c r="I121"/>
      <c r="J121"/>
      <c r="K121"/>
    </row>
    <row r="122" spans="1:11" s="3" customFormat="1" x14ac:dyDescent="0.25">
      <c r="A122" s="276"/>
      <c r="B122" s="865" t="s">
        <v>4</v>
      </c>
      <c r="C122" s="865" t="s">
        <v>5</v>
      </c>
      <c r="D122" s="866">
        <v>0.4</v>
      </c>
      <c r="E122" s="866"/>
      <c r="F122" s="866"/>
      <c r="I122"/>
      <c r="J122"/>
      <c r="K122"/>
    </row>
    <row r="123" spans="1:11" ht="38.25" x14ac:dyDescent="0.25">
      <c r="A123" s="272"/>
      <c r="B123" s="394" t="s">
        <v>17</v>
      </c>
      <c r="C123" s="854" t="s">
        <v>18</v>
      </c>
      <c r="D123" s="867">
        <v>1.1000000000000001</v>
      </c>
      <c r="E123" s="854"/>
      <c r="F123" s="854"/>
    </row>
    <row r="124" spans="1:11" ht="76.5" x14ac:dyDescent="0.25">
      <c r="A124" s="272"/>
      <c r="B124" s="394" t="s">
        <v>15</v>
      </c>
      <c r="C124" s="394" t="s">
        <v>1072</v>
      </c>
      <c r="D124" s="854">
        <f>E125/1</f>
        <v>1.0965400000000001</v>
      </c>
      <c r="E124" s="854"/>
      <c r="F124" s="854"/>
    </row>
    <row r="125" spans="1:11" x14ac:dyDescent="0.25">
      <c r="A125" s="272"/>
      <c r="B125" s="390" t="s">
        <v>6</v>
      </c>
      <c r="C125" s="869">
        <f>SUM(C126:C133)</f>
        <v>1.0000000000000002</v>
      </c>
      <c r="D125" s="870"/>
      <c r="E125" s="871">
        <f>SUM(E126:E133)</f>
        <v>1.0965400000000001</v>
      </c>
      <c r="F125" s="872"/>
      <c r="G125" s="9"/>
      <c r="H125" s="9"/>
    </row>
    <row r="126" spans="1:11" hidden="1" outlineLevel="1" x14ac:dyDescent="0.25">
      <c r="A126" s="272"/>
      <c r="B126" s="854" t="s">
        <v>7</v>
      </c>
      <c r="C126" s="873">
        <v>0.23</v>
      </c>
      <c r="D126" s="879">
        <v>1</v>
      </c>
      <c r="E126" s="875">
        <f>C126*1</f>
        <v>0.23</v>
      </c>
      <c r="F126" s="870"/>
      <c r="G126" s="6"/>
      <c r="H126" s="6"/>
    </row>
    <row r="127" spans="1:11" hidden="1" outlineLevel="1" x14ac:dyDescent="0.25">
      <c r="A127" s="272"/>
      <c r="B127" s="854" t="s">
        <v>14</v>
      </c>
      <c r="C127" s="873">
        <v>0.09</v>
      </c>
      <c r="D127" s="854">
        <v>1</v>
      </c>
      <c r="E127" s="875">
        <f>C127*D127</f>
        <v>0.09</v>
      </c>
      <c r="F127" s="854"/>
    </row>
    <row r="128" spans="1:11" hidden="1" outlineLevel="1" x14ac:dyDescent="0.25">
      <c r="A128" s="272"/>
      <c r="B128" s="854" t="s">
        <v>8</v>
      </c>
      <c r="C128" s="873">
        <v>0.13</v>
      </c>
      <c r="D128" s="876">
        <v>1</v>
      </c>
      <c r="E128" s="875">
        <f>C128*D128</f>
        <v>0.13</v>
      </c>
      <c r="F128" s="854"/>
    </row>
    <row r="129" spans="1:11" hidden="1" outlineLevel="1" x14ac:dyDescent="0.25">
      <c r="A129" s="272"/>
      <c r="B129" s="854" t="s">
        <v>9</v>
      </c>
      <c r="C129" s="873">
        <v>0.14000000000000001</v>
      </c>
      <c r="D129" s="876">
        <v>1</v>
      </c>
      <c r="E129" s="875">
        <f>C129*D129</f>
        <v>0.14000000000000001</v>
      </c>
      <c r="F129" s="854"/>
    </row>
    <row r="130" spans="1:11" hidden="1" outlineLevel="1" x14ac:dyDescent="0.25">
      <c r="A130" s="272"/>
      <c r="B130" s="854" t="s">
        <v>10</v>
      </c>
      <c r="C130" s="873">
        <v>0.16</v>
      </c>
      <c r="D130" s="879" t="s">
        <v>16</v>
      </c>
      <c r="E130" s="875">
        <f>C130*(1+0.3)</f>
        <v>0.20800000000000002</v>
      </c>
      <c r="F130" s="870"/>
      <c r="G130" s="6"/>
      <c r="H130" s="6"/>
    </row>
    <row r="131" spans="1:11" hidden="1" outlineLevel="1" x14ac:dyDescent="0.25">
      <c r="A131" s="272"/>
      <c r="B131" s="854" t="s">
        <v>11</v>
      </c>
      <c r="C131" s="873">
        <v>0.09</v>
      </c>
      <c r="D131" s="879" t="s">
        <v>16</v>
      </c>
      <c r="E131" s="875">
        <f>C131*(1+0.3)</f>
        <v>0.11699999999999999</v>
      </c>
      <c r="F131" s="870"/>
      <c r="G131" s="6"/>
      <c r="H131" s="6"/>
    </row>
    <row r="132" spans="1:11" hidden="1" outlineLevel="1" x14ac:dyDescent="0.25">
      <c r="A132" s="272"/>
      <c r="B132" s="854" t="s">
        <v>12</v>
      </c>
      <c r="C132" s="873">
        <v>7.0000000000000007E-2</v>
      </c>
      <c r="D132" s="879" t="s">
        <v>16</v>
      </c>
      <c r="E132" s="875">
        <f>C132*(1+0.3)</f>
        <v>9.1000000000000011E-2</v>
      </c>
      <c r="F132" s="870"/>
      <c r="G132" s="6"/>
      <c r="H132" s="6"/>
    </row>
    <row r="133" spans="1:11" hidden="1" outlineLevel="1" x14ac:dyDescent="0.25">
      <c r="A133" s="272"/>
      <c r="B133" s="854" t="s">
        <v>13</v>
      </c>
      <c r="C133" s="873">
        <v>0.09</v>
      </c>
      <c r="D133" s="854"/>
      <c r="E133" s="881">
        <f>SUM(E126:E132)*C133</f>
        <v>9.0539999999999995E-2</v>
      </c>
      <c r="F133" s="882"/>
      <c r="G133" s="7"/>
      <c r="H133" s="7"/>
      <c r="I133" s="8"/>
    </row>
    <row r="134" spans="1:11" s="19" customFormat="1" ht="15.75" collapsed="1" x14ac:dyDescent="0.25">
      <c r="A134" s="386"/>
      <c r="B134" s="862" t="s">
        <v>48</v>
      </c>
      <c r="C134" s="862"/>
      <c r="D134" s="862"/>
      <c r="E134" s="862"/>
      <c r="F134" s="862"/>
    </row>
    <row r="135" spans="1:11" s="19" customFormat="1" ht="15.75" x14ac:dyDescent="0.25">
      <c r="A135" s="386"/>
      <c r="B135" s="862" t="s">
        <v>49</v>
      </c>
      <c r="C135" s="862">
        <v>5.32</v>
      </c>
      <c r="D135" s="880"/>
      <c r="E135" s="862"/>
      <c r="F135" s="862"/>
    </row>
    <row r="136" spans="1:11" x14ac:dyDescent="0.25">
      <c r="A136" s="272"/>
      <c r="B136" s="861" t="s">
        <v>218</v>
      </c>
      <c r="C136" s="862">
        <v>1</v>
      </c>
      <c r="D136" s="862" t="s">
        <v>214</v>
      </c>
      <c r="E136" s="854"/>
      <c r="F136" s="854"/>
    </row>
    <row r="137" spans="1:11" s="2" customFormat="1" ht="38.25" x14ac:dyDescent="0.25">
      <c r="A137" s="272"/>
      <c r="B137" s="854" t="s">
        <v>1024</v>
      </c>
      <c r="C137" s="394" t="s">
        <v>1023</v>
      </c>
      <c r="D137" s="394" t="s">
        <v>219</v>
      </c>
      <c r="E137" s="854"/>
      <c r="F137" s="855">
        <f>38.06*C136*D139*D138*D140*C160*1000</f>
        <v>22033.584064800012</v>
      </c>
      <c r="G137" s="37"/>
      <c r="H137" s="37"/>
      <c r="I137"/>
      <c r="J137"/>
      <c r="K137"/>
    </row>
    <row r="138" spans="1:11" s="3" customFormat="1" x14ac:dyDescent="0.25">
      <c r="A138" s="276"/>
      <c r="B138" s="865" t="s">
        <v>4</v>
      </c>
      <c r="C138" s="865" t="s">
        <v>5</v>
      </c>
      <c r="D138" s="866">
        <v>0.4</v>
      </c>
      <c r="E138" s="866"/>
      <c r="F138" s="866"/>
      <c r="I138"/>
      <c r="J138"/>
      <c r="K138"/>
    </row>
    <row r="139" spans="1:11" ht="102" x14ac:dyDescent="0.25">
      <c r="A139" s="272"/>
      <c r="B139" s="394" t="s">
        <v>310</v>
      </c>
      <c r="C139" s="394" t="s">
        <v>311</v>
      </c>
      <c r="D139" s="854">
        <v>0.25</v>
      </c>
      <c r="E139" s="854"/>
      <c r="F139" s="854"/>
    </row>
    <row r="140" spans="1:11" ht="76.5" x14ac:dyDescent="0.25">
      <c r="A140" s="272"/>
      <c r="B140" s="394" t="s">
        <v>15</v>
      </c>
      <c r="C140" s="394" t="s">
        <v>215</v>
      </c>
      <c r="D140" s="854">
        <f>E141/1</f>
        <v>1.0881900000000004</v>
      </c>
      <c r="E140" s="854"/>
      <c r="F140" s="854"/>
    </row>
    <row r="141" spans="1:11" x14ac:dyDescent="0.25">
      <c r="A141" s="272"/>
      <c r="B141" s="390" t="s">
        <v>6</v>
      </c>
      <c r="C141" s="869">
        <f>SUM(C142:C158)</f>
        <v>1.0000000000000002</v>
      </c>
      <c r="D141" s="870"/>
      <c r="E141" s="871">
        <f>SUM(E142:E158)</f>
        <v>1.0881900000000004</v>
      </c>
      <c r="F141" s="872"/>
      <c r="G141" s="9"/>
      <c r="H141" s="9"/>
    </row>
    <row r="142" spans="1:11" hidden="1" outlineLevel="1" x14ac:dyDescent="0.25">
      <c r="A142" s="272"/>
      <c r="B142" s="394" t="s">
        <v>20</v>
      </c>
      <c r="C142" s="873">
        <v>0.02</v>
      </c>
      <c r="D142" s="879">
        <v>1</v>
      </c>
      <c r="E142" s="875">
        <f>C142*D142</f>
        <v>0.02</v>
      </c>
      <c r="F142" s="870"/>
      <c r="G142" s="6"/>
      <c r="H142" s="6"/>
    </row>
    <row r="143" spans="1:11" hidden="1" outlineLevel="1" x14ac:dyDescent="0.25">
      <c r="A143" s="272"/>
      <c r="B143" s="394" t="s">
        <v>21</v>
      </c>
      <c r="C143" s="873">
        <v>0.04</v>
      </c>
      <c r="D143" s="854">
        <v>1</v>
      </c>
      <c r="E143" s="875">
        <f>C143*D143</f>
        <v>0.04</v>
      </c>
      <c r="F143" s="854"/>
    </row>
    <row r="144" spans="1:11" hidden="1" outlineLevel="1" x14ac:dyDescent="0.25">
      <c r="A144" s="272"/>
      <c r="B144" s="394" t="s">
        <v>22</v>
      </c>
      <c r="C144" s="873">
        <v>0.14000000000000001</v>
      </c>
      <c r="D144" s="879" t="s">
        <v>16</v>
      </c>
      <c r="E144" s="875">
        <f>C144*(1+0.3)</f>
        <v>0.18200000000000002</v>
      </c>
      <c r="F144" s="854"/>
    </row>
    <row r="145" spans="1:9" hidden="1" outlineLevel="1" x14ac:dyDescent="0.25">
      <c r="A145" s="272"/>
      <c r="B145" s="394" t="s">
        <v>23</v>
      </c>
      <c r="C145" s="873">
        <v>0.15</v>
      </c>
      <c r="D145" s="879" t="s">
        <v>16</v>
      </c>
      <c r="E145" s="875">
        <f>C145*(1+0.3)</f>
        <v>0.19500000000000001</v>
      </c>
      <c r="F145" s="854"/>
    </row>
    <row r="146" spans="1:9" ht="25.5" hidden="1" outlineLevel="1" x14ac:dyDescent="0.25">
      <c r="A146" s="272"/>
      <c r="B146" s="394" t="s">
        <v>36</v>
      </c>
      <c r="C146" s="873"/>
      <c r="D146" s="879"/>
      <c r="E146" s="875">
        <f>C146*(1+0.3)</f>
        <v>0</v>
      </c>
      <c r="F146" s="870"/>
      <c r="G146" s="6"/>
      <c r="H146" s="6"/>
    </row>
    <row r="147" spans="1:9" hidden="1" outlineLevel="1" x14ac:dyDescent="0.25">
      <c r="A147" s="272"/>
      <c r="B147" s="877" t="s">
        <v>37</v>
      </c>
      <c r="C147" s="873">
        <v>7.0000000000000007E-2</v>
      </c>
      <c r="D147" s="854">
        <v>1</v>
      </c>
      <c r="E147" s="875">
        <f t="shared" ref="E147:E157" si="3">C147*D147</f>
        <v>7.0000000000000007E-2</v>
      </c>
      <c r="F147" s="870"/>
      <c r="G147" s="6"/>
      <c r="H147" s="6"/>
    </row>
    <row r="148" spans="1:9" hidden="1" outlineLevel="1" x14ac:dyDescent="0.25">
      <c r="A148" s="272"/>
      <c r="B148" s="877" t="s">
        <v>38</v>
      </c>
      <c r="C148" s="873">
        <v>0.04</v>
      </c>
      <c r="D148" s="854">
        <v>1</v>
      </c>
      <c r="E148" s="875">
        <f t="shared" si="3"/>
        <v>0.04</v>
      </c>
      <c r="F148" s="870"/>
      <c r="G148" s="6"/>
      <c r="H148" s="6"/>
    </row>
    <row r="149" spans="1:9" hidden="1" outlineLevel="1" x14ac:dyDescent="0.25">
      <c r="A149" s="272"/>
      <c r="B149" s="877" t="s">
        <v>39</v>
      </c>
      <c r="C149" s="873">
        <v>0.04</v>
      </c>
      <c r="D149" s="854">
        <v>1</v>
      </c>
      <c r="E149" s="875">
        <f t="shared" si="3"/>
        <v>0.04</v>
      </c>
      <c r="F149" s="882"/>
      <c r="G149" s="7"/>
      <c r="H149" s="7"/>
      <c r="I149" s="8"/>
    </row>
    <row r="150" spans="1:9" hidden="1" outlineLevel="1" x14ac:dyDescent="0.25">
      <c r="A150" s="272"/>
      <c r="B150" s="877" t="s">
        <v>40</v>
      </c>
      <c r="C150" s="873">
        <v>0.12</v>
      </c>
      <c r="D150" s="854">
        <v>1</v>
      </c>
      <c r="E150" s="875">
        <f t="shared" si="3"/>
        <v>0.12</v>
      </c>
      <c r="F150" s="870"/>
      <c r="G150" s="6"/>
      <c r="H150" s="6"/>
    </row>
    <row r="151" spans="1:9" hidden="1" outlineLevel="1" x14ac:dyDescent="0.25">
      <c r="A151" s="272"/>
      <c r="B151" s="877" t="s">
        <v>41</v>
      </c>
      <c r="C151" s="873">
        <v>0.03</v>
      </c>
      <c r="D151" s="854">
        <v>1</v>
      </c>
      <c r="E151" s="875">
        <f t="shared" si="3"/>
        <v>0.03</v>
      </c>
      <c r="F151" s="854"/>
    </row>
    <row r="152" spans="1:9" hidden="1" outlineLevel="1" x14ac:dyDescent="0.25">
      <c r="A152" s="272"/>
      <c r="B152" s="877" t="s">
        <v>42</v>
      </c>
      <c r="C152" s="873">
        <v>0.02</v>
      </c>
      <c r="D152" s="854">
        <v>1</v>
      </c>
      <c r="E152" s="875">
        <f t="shared" si="3"/>
        <v>0.02</v>
      </c>
      <c r="F152" s="854"/>
    </row>
    <row r="153" spans="1:9" hidden="1" outlineLevel="1" x14ac:dyDescent="0.25">
      <c r="A153" s="272"/>
      <c r="B153" s="877" t="s">
        <v>43</v>
      </c>
      <c r="C153" s="873">
        <v>0.05</v>
      </c>
      <c r="D153" s="854">
        <v>1</v>
      </c>
      <c r="E153" s="875">
        <f t="shared" si="3"/>
        <v>0.05</v>
      </c>
      <c r="F153" s="854"/>
    </row>
    <row r="154" spans="1:9" hidden="1" outlineLevel="1" x14ac:dyDescent="0.25">
      <c r="A154" s="272"/>
      <c r="B154" s="394" t="s">
        <v>30</v>
      </c>
      <c r="C154" s="873">
        <v>0.06</v>
      </c>
      <c r="D154" s="854">
        <v>1</v>
      </c>
      <c r="E154" s="875">
        <f t="shared" si="3"/>
        <v>0.06</v>
      </c>
      <c r="F154" s="870"/>
      <c r="G154" s="6"/>
      <c r="H154" s="6"/>
    </row>
    <row r="155" spans="1:9" hidden="1" outlineLevel="1" x14ac:dyDescent="0.25">
      <c r="A155" s="272"/>
      <c r="B155" s="394" t="s">
        <v>44</v>
      </c>
      <c r="C155" s="873">
        <v>7.0000000000000007E-2</v>
      </c>
      <c r="D155" s="854">
        <v>1</v>
      </c>
      <c r="E155" s="875">
        <f t="shared" si="3"/>
        <v>7.0000000000000007E-2</v>
      </c>
      <c r="F155" s="882"/>
      <c r="G155" s="7"/>
      <c r="H155" s="7"/>
      <c r="I155" s="8"/>
    </row>
    <row r="156" spans="1:9" hidden="1" outlineLevel="1" x14ac:dyDescent="0.25">
      <c r="A156" s="272"/>
      <c r="B156" s="394" t="s">
        <v>32</v>
      </c>
      <c r="C156" s="873">
        <v>0.06</v>
      </c>
      <c r="D156" s="854">
        <v>1</v>
      </c>
      <c r="E156" s="875">
        <f t="shared" si="3"/>
        <v>0.06</v>
      </c>
      <c r="F156" s="870"/>
      <c r="G156" s="6"/>
      <c r="H156" s="6"/>
    </row>
    <row r="157" spans="1:9" hidden="1" outlineLevel="1" x14ac:dyDescent="0.25">
      <c r="A157" s="272"/>
      <c r="B157" s="394" t="s">
        <v>45</v>
      </c>
      <c r="C157" s="873">
        <v>0.02</v>
      </c>
      <c r="D157" s="854">
        <v>1</v>
      </c>
      <c r="E157" s="875">
        <f t="shared" si="3"/>
        <v>0.02</v>
      </c>
      <c r="F157" s="854"/>
    </row>
    <row r="158" spans="1:9" hidden="1" outlineLevel="1" x14ac:dyDescent="0.25">
      <c r="A158" s="272"/>
      <c r="B158" s="854" t="s">
        <v>13</v>
      </c>
      <c r="C158" s="873">
        <v>7.0000000000000007E-2</v>
      </c>
      <c r="D158" s="854"/>
      <c r="E158" s="881">
        <f>SUM(E142:E157)*C158</f>
        <v>7.1190000000000031E-2</v>
      </c>
      <c r="F158" s="882"/>
      <c r="G158" s="7"/>
      <c r="H158" s="7"/>
      <c r="I158" s="8"/>
    </row>
    <row r="159" spans="1:9" s="19" customFormat="1" ht="15.75" collapsed="1" x14ac:dyDescent="0.25">
      <c r="A159" s="386"/>
      <c r="B159" s="862" t="s">
        <v>48</v>
      </c>
      <c r="C159" s="862"/>
      <c r="D159" s="862"/>
      <c r="E159" s="862"/>
      <c r="F159" s="862"/>
    </row>
    <row r="160" spans="1:9" s="19" customFormat="1" ht="15.75" x14ac:dyDescent="0.25">
      <c r="A160" s="386"/>
      <c r="B160" s="862" t="s">
        <v>49</v>
      </c>
      <c r="C160" s="862">
        <v>5.32</v>
      </c>
      <c r="D160" s="880"/>
      <c r="E160" s="862"/>
      <c r="F160" s="862"/>
    </row>
    <row r="161" spans="1:11" x14ac:dyDescent="0.25">
      <c r="A161" s="272"/>
      <c r="B161" s="861" t="s">
        <v>220</v>
      </c>
      <c r="C161" s="862">
        <v>1</v>
      </c>
      <c r="D161" s="862" t="s">
        <v>214</v>
      </c>
      <c r="E161" s="854"/>
      <c r="F161" s="854"/>
    </row>
    <row r="162" spans="1:11" s="2" customFormat="1" ht="38.25" x14ac:dyDescent="0.25">
      <c r="A162" s="272"/>
      <c r="B162" s="854" t="s">
        <v>1026</v>
      </c>
      <c r="C162" s="394" t="s">
        <v>1025</v>
      </c>
      <c r="D162" s="394" t="s">
        <v>221</v>
      </c>
      <c r="E162" s="854"/>
      <c r="F162" s="855">
        <f>49.37*C161*D164*D163*D165*C185*1000</f>
        <v>31700.611286400017</v>
      </c>
      <c r="G162" s="37"/>
      <c r="H162" s="37"/>
      <c r="I162"/>
      <c r="J162"/>
      <c r="K162"/>
    </row>
    <row r="163" spans="1:11" s="3" customFormat="1" x14ac:dyDescent="0.25">
      <c r="A163" s="276"/>
      <c r="B163" s="865" t="s">
        <v>4</v>
      </c>
      <c r="C163" s="865" t="s">
        <v>5</v>
      </c>
      <c r="D163" s="866">
        <v>0.4</v>
      </c>
      <c r="E163" s="866"/>
      <c r="F163" s="866"/>
      <c r="I163"/>
      <c r="J163"/>
      <c r="K163"/>
    </row>
    <row r="164" spans="1:11" ht="102" x14ac:dyDescent="0.25">
      <c r="A164" s="272"/>
      <c r="B164" s="394" t="s">
        <v>310</v>
      </c>
      <c r="C164" s="394" t="s">
        <v>311</v>
      </c>
      <c r="D164" s="854">
        <v>0.25</v>
      </c>
      <c r="E164" s="854"/>
      <c r="F164" s="854"/>
    </row>
    <row r="165" spans="1:11" ht="76.5" x14ac:dyDescent="0.25">
      <c r="A165" s="272"/>
      <c r="B165" s="394" t="s">
        <v>15</v>
      </c>
      <c r="C165" s="394" t="s">
        <v>215</v>
      </c>
      <c r="D165" s="854">
        <f>E166/1</f>
        <v>1.2069600000000005</v>
      </c>
      <c r="E165" s="854"/>
      <c r="F165" s="854"/>
    </row>
    <row r="166" spans="1:11" x14ac:dyDescent="0.25">
      <c r="A166" s="272"/>
      <c r="B166" s="390" t="s">
        <v>6</v>
      </c>
      <c r="C166" s="869">
        <f>SUM(C167:C183)</f>
        <v>1.0000000000000002</v>
      </c>
      <c r="D166" s="870"/>
      <c r="E166" s="871">
        <f>SUM(E167:E183)</f>
        <v>1.2069600000000005</v>
      </c>
      <c r="F166" s="872"/>
      <c r="G166" s="9"/>
      <c r="H166" s="9"/>
    </row>
    <row r="167" spans="1:11" hidden="1" outlineLevel="1" x14ac:dyDescent="0.25">
      <c r="A167" s="272"/>
      <c r="B167" s="394" t="s">
        <v>20</v>
      </c>
      <c r="C167" s="873">
        <v>0.02</v>
      </c>
      <c r="D167" s="879">
        <v>1</v>
      </c>
      <c r="E167" s="875">
        <f>C167*D167</f>
        <v>0.02</v>
      </c>
      <c r="F167" s="870"/>
      <c r="G167" s="6"/>
      <c r="H167" s="6"/>
    </row>
    <row r="168" spans="1:11" hidden="1" outlineLevel="1" x14ac:dyDescent="0.25">
      <c r="A168" s="272"/>
      <c r="B168" s="394" t="s">
        <v>21</v>
      </c>
      <c r="C168" s="873">
        <v>0.04</v>
      </c>
      <c r="D168" s="854">
        <v>1</v>
      </c>
      <c r="E168" s="875">
        <f>C168*D168</f>
        <v>0.04</v>
      </c>
      <c r="F168" s="854"/>
    </row>
    <row r="169" spans="1:11" hidden="1" outlineLevel="1" x14ac:dyDescent="0.25">
      <c r="A169" s="272"/>
      <c r="B169" s="394" t="s">
        <v>22</v>
      </c>
      <c r="C169" s="873">
        <v>0.14000000000000001</v>
      </c>
      <c r="D169" s="879" t="s">
        <v>16</v>
      </c>
      <c r="E169" s="875">
        <f>C169*(1+0.3)</f>
        <v>0.18200000000000002</v>
      </c>
      <c r="F169" s="854"/>
    </row>
    <row r="170" spans="1:11" hidden="1" outlineLevel="1" x14ac:dyDescent="0.25">
      <c r="A170" s="272"/>
      <c r="B170" s="394" t="s">
        <v>23</v>
      </c>
      <c r="C170" s="873">
        <v>0.15</v>
      </c>
      <c r="D170" s="879" t="s">
        <v>16</v>
      </c>
      <c r="E170" s="875">
        <f>C170*(1+0.3)</f>
        <v>0.19500000000000001</v>
      </c>
      <c r="F170" s="854"/>
    </row>
    <row r="171" spans="1:11" ht="25.5" hidden="1" outlineLevel="1" x14ac:dyDescent="0.25">
      <c r="A171" s="272"/>
      <c r="B171" s="394" t="s">
        <v>36</v>
      </c>
      <c r="C171" s="873"/>
      <c r="D171" s="879"/>
      <c r="E171" s="875">
        <f>C171*(1+0.3)</f>
        <v>0</v>
      </c>
      <c r="F171" s="870"/>
      <c r="G171" s="6"/>
      <c r="H171" s="6"/>
    </row>
    <row r="172" spans="1:11" hidden="1" outlineLevel="1" x14ac:dyDescent="0.25">
      <c r="A172" s="272"/>
      <c r="B172" s="877" t="s">
        <v>37</v>
      </c>
      <c r="C172" s="873">
        <v>7.0000000000000007E-2</v>
      </c>
      <c r="D172" s="879" t="s">
        <v>16</v>
      </c>
      <c r="E172" s="875">
        <f>C172*(1+0.3)</f>
        <v>9.1000000000000011E-2</v>
      </c>
      <c r="F172" s="870"/>
      <c r="G172" s="6"/>
      <c r="H172" s="6"/>
    </row>
    <row r="173" spans="1:11" hidden="1" outlineLevel="1" x14ac:dyDescent="0.25">
      <c r="A173" s="272"/>
      <c r="B173" s="877" t="s">
        <v>38</v>
      </c>
      <c r="C173" s="873">
        <v>0.04</v>
      </c>
      <c r="D173" s="879" t="s">
        <v>16</v>
      </c>
      <c r="E173" s="875">
        <f t="shared" ref="E173:E178" si="4">C173*(1+0.3)</f>
        <v>5.2000000000000005E-2</v>
      </c>
      <c r="F173" s="870"/>
      <c r="G173" s="6"/>
      <c r="H173" s="6"/>
    </row>
    <row r="174" spans="1:11" hidden="1" outlineLevel="1" x14ac:dyDescent="0.25">
      <c r="A174" s="272"/>
      <c r="B174" s="877" t="s">
        <v>39</v>
      </c>
      <c r="C174" s="873">
        <v>0.04</v>
      </c>
      <c r="D174" s="879" t="s">
        <v>16</v>
      </c>
      <c r="E174" s="875">
        <f t="shared" si="4"/>
        <v>5.2000000000000005E-2</v>
      </c>
      <c r="F174" s="882"/>
      <c r="G174" s="7"/>
      <c r="H174" s="7"/>
      <c r="I174" s="8"/>
    </row>
    <row r="175" spans="1:11" hidden="1" outlineLevel="1" x14ac:dyDescent="0.25">
      <c r="A175" s="272"/>
      <c r="B175" s="877" t="s">
        <v>40</v>
      </c>
      <c r="C175" s="873">
        <v>0.12</v>
      </c>
      <c r="D175" s="879" t="s">
        <v>16</v>
      </c>
      <c r="E175" s="875">
        <f t="shared" si="4"/>
        <v>0.156</v>
      </c>
      <c r="F175" s="870"/>
      <c r="G175" s="6"/>
      <c r="H175" s="6"/>
    </row>
    <row r="176" spans="1:11" hidden="1" outlineLevel="1" x14ac:dyDescent="0.25">
      <c r="A176" s="272"/>
      <c r="B176" s="877" t="s">
        <v>41</v>
      </c>
      <c r="C176" s="873">
        <v>0.03</v>
      </c>
      <c r="D176" s="879" t="s">
        <v>16</v>
      </c>
      <c r="E176" s="875">
        <f t="shared" si="4"/>
        <v>3.9E-2</v>
      </c>
      <c r="F176" s="854"/>
    </row>
    <row r="177" spans="1:11" hidden="1" outlineLevel="1" x14ac:dyDescent="0.25">
      <c r="A177" s="272"/>
      <c r="B177" s="877" t="s">
        <v>42</v>
      </c>
      <c r="C177" s="873">
        <v>0.02</v>
      </c>
      <c r="D177" s="879" t="s">
        <v>16</v>
      </c>
      <c r="E177" s="875">
        <f t="shared" si="4"/>
        <v>2.6000000000000002E-2</v>
      </c>
      <c r="F177" s="854"/>
    </row>
    <row r="178" spans="1:11" hidden="1" outlineLevel="1" x14ac:dyDescent="0.25">
      <c r="A178" s="272"/>
      <c r="B178" s="877" t="s">
        <v>43</v>
      </c>
      <c r="C178" s="873">
        <v>0.05</v>
      </c>
      <c r="D178" s="879" t="s">
        <v>16</v>
      </c>
      <c r="E178" s="875">
        <f t="shared" si="4"/>
        <v>6.5000000000000002E-2</v>
      </c>
      <c r="F178" s="854"/>
    </row>
    <row r="179" spans="1:11" hidden="1" outlineLevel="1" x14ac:dyDescent="0.25">
      <c r="A179" s="272"/>
      <c r="B179" s="394" t="s">
        <v>30</v>
      </c>
      <c r="C179" s="873">
        <v>0.06</v>
      </c>
      <c r="D179" s="879">
        <v>1</v>
      </c>
      <c r="E179" s="875">
        <f>C179*D179</f>
        <v>0.06</v>
      </c>
      <c r="F179" s="870"/>
      <c r="G179" s="6"/>
      <c r="H179" s="6"/>
    </row>
    <row r="180" spans="1:11" hidden="1" outlineLevel="1" x14ac:dyDescent="0.25">
      <c r="A180" s="272"/>
      <c r="B180" s="394" t="s">
        <v>44</v>
      </c>
      <c r="C180" s="873">
        <v>7.0000000000000007E-2</v>
      </c>
      <c r="D180" s="879">
        <v>1</v>
      </c>
      <c r="E180" s="875">
        <f>C180*D180</f>
        <v>7.0000000000000007E-2</v>
      </c>
      <c r="F180" s="882"/>
      <c r="G180" s="7"/>
      <c r="H180" s="7"/>
      <c r="I180" s="8"/>
    </row>
    <row r="181" spans="1:11" hidden="1" outlineLevel="1" x14ac:dyDescent="0.25">
      <c r="A181" s="272"/>
      <c r="B181" s="394" t="s">
        <v>32</v>
      </c>
      <c r="C181" s="873">
        <v>0.06</v>
      </c>
      <c r="D181" s="879">
        <v>1</v>
      </c>
      <c r="E181" s="875">
        <f>C181*D181</f>
        <v>0.06</v>
      </c>
      <c r="F181" s="870"/>
      <c r="G181" s="6"/>
      <c r="H181" s="6"/>
    </row>
    <row r="182" spans="1:11" hidden="1" outlineLevel="1" x14ac:dyDescent="0.25">
      <c r="A182" s="272"/>
      <c r="B182" s="394" t="s">
        <v>45</v>
      </c>
      <c r="C182" s="873">
        <v>0.02</v>
      </c>
      <c r="D182" s="879">
        <v>1</v>
      </c>
      <c r="E182" s="875">
        <f>C182*D182</f>
        <v>0.02</v>
      </c>
      <c r="F182" s="854"/>
    </row>
    <row r="183" spans="1:11" hidden="1" outlineLevel="1" x14ac:dyDescent="0.25">
      <c r="A183" s="272"/>
      <c r="B183" s="854" t="s">
        <v>13</v>
      </c>
      <c r="C183" s="873">
        <v>7.0000000000000007E-2</v>
      </c>
      <c r="D183" s="854"/>
      <c r="E183" s="881">
        <f>SUM(E167:E182)*C183</f>
        <v>7.896000000000003E-2</v>
      </c>
      <c r="F183" s="882"/>
      <c r="G183" s="7"/>
      <c r="H183" s="7"/>
      <c r="I183" s="8"/>
    </row>
    <row r="184" spans="1:11" s="19" customFormat="1" ht="15.75" collapsed="1" x14ac:dyDescent="0.25">
      <c r="A184" s="386"/>
      <c r="B184" s="862" t="s">
        <v>48</v>
      </c>
      <c r="C184" s="862"/>
      <c r="D184" s="862"/>
      <c r="E184" s="862"/>
      <c r="F184" s="862"/>
    </row>
    <row r="185" spans="1:11" s="19" customFormat="1" ht="15.75" x14ac:dyDescent="0.25">
      <c r="A185" s="386"/>
      <c r="B185" s="862" t="s">
        <v>49</v>
      </c>
      <c r="C185" s="862">
        <v>5.32</v>
      </c>
      <c r="D185" s="880"/>
      <c r="E185" s="862"/>
      <c r="F185" s="862"/>
    </row>
    <row r="186" spans="1:11" x14ac:dyDescent="0.25">
      <c r="A186" s="272"/>
      <c r="B186" s="861" t="s">
        <v>88</v>
      </c>
      <c r="C186" s="862">
        <f>1000/1000</f>
        <v>1</v>
      </c>
      <c r="D186" s="862" t="s">
        <v>1079</v>
      </c>
      <c r="E186" s="854"/>
      <c r="F186" s="854"/>
    </row>
    <row r="187" spans="1:11" s="2" customFormat="1" ht="58.5" customHeight="1" x14ac:dyDescent="0.25">
      <c r="A187" s="272"/>
      <c r="B187" s="394" t="s">
        <v>1080</v>
      </c>
      <c r="C187" s="394" t="s">
        <v>1081</v>
      </c>
      <c r="D187" s="394" t="s">
        <v>1082</v>
      </c>
      <c r="E187" s="854"/>
      <c r="F187" s="855">
        <f>(40+240*1)*C186*D189*D188*D190*C198*1000</f>
        <v>760661.73747200007</v>
      </c>
      <c r="I187"/>
      <c r="J187"/>
      <c r="K187"/>
    </row>
    <row r="188" spans="1:11" s="3" customFormat="1" x14ac:dyDescent="0.25">
      <c r="A188" s="276"/>
      <c r="B188" s="865" t="s">
        <v>4</v>
      </c>
      <c r="C188" s="865" t="s">
        <v>5</v>
      </c>
      <c r="D188" s="866">
        <v>0.4</v>
      </c>
      <c r="E188" s="866"/>
      <c r="F188" s="866"/>
      <c r="I188"/>
      <c r="J188"/>
      <c r="K188"/>
    </row>
    <row r="189" spans="1:11" s="2" customFormat="1" ht="51" x14ac:dyDescent="0.25">
      <c r="A189" s="272"/>
      <c r="B189" s="394" t="s">
        <v>223</v>
      </c>
      <c r="C189" s="394" t="s">
        <v>224</v>
      </c>
      <c r="D189" s="854">
        <v>1.04</v>
      </c>
      <c r="E189" s="854"/>
      <c r="F189" s="854"/>
    </row>
    <row r="190" spans="1:11" ht="76.5" x14ac:dyDescent="0.25">
      <c r="A190" s="272"/>
      <c r="B190" s="394" t="s">
        <v>15</v>
      </c>
      <c r="C190" s="394" t="s">
        <v>246</v>
      </c>
      <c r="D190" s="854">
        <f>E191/1</f>
        <v>1.2275199999999999</v>
      </c>
      <c r="E190" s="854"/>
      <c r="F190" s="854"/>
    </row>
    <row r="191" spans="1:11" x14ac:dyDescent="0.25">
      <c r="A191" s="272"/>
      <c r="B191" s="390" t="s">
        <v>6</v>
      </c>
      <c r="C191" s="869">
        <f>SUM(C192:C196)</f>
        <v>1</v>
      </c>
      <c r="D191" s="870"/>
      <c r="E191" s="871">
        <f>SUM(E192:E196)</f>
        <v>1.2275199999999999</v>
      </c>
      <c r="F191" s="872"/>
      <c r="G191" s="9"/>
      <c r="H191" s="9"/>
    </row>
    <row r="192" spans="1:11" hidden="1" outlineLevel="1" x14ac:dyDescent="0.25">
      <c r="A192" s="272"/>
      <c r="B192" s="394" t="s">
        <v>227</v>
      </c>
      <c r="C192" s="892">
        <v>0.52</v>
      </c>
      <c r="D192" s="879" t="s">
        <v>16</v>
      </c>
      <c r="E192" s="875">
        <f>C192*(1+0.3)</f>
        <v>0.67600000000000005</v>
      </c>
      <c r="F192" s="870"/>
      <c r="G192" s="6"/>
      <c r="H192" s="6"/>
    </row>
    <row r="193" spans="1:11" hidden="1" outlineLevel="1" x14ac:dyDescent="0.25">
      <c r="A193" s="272"/>
      <c r="B193" s="394" t="s">
        <v>228</v>
      </c>
      <c r="C193" s="892">
        <v>0.09</v>
      </c>
      <c r="D193" s="854">
        <v>1</v>
      </c>
      <c r="E193" s="875">
        <f>C193*(1+0.3)</f>
        <v>0.11699999999999999</v>
      </c>
      <c r="F193" s="854"/>
    </row>
    <row r="194" spans="1:11" hidden="1" outlineLevel="1" x14ac:dyDescent="0.25">
      <c r="A194" s="272"/>
      <c r="B194" s="394" t="s">
        <v>229</v>
      </c>
      <c r="C194" s="892">
        <v>0.15</v>
      </c>
      <c r="D194" s="879">
        <v>1</v>
      </c>
      <c r="E194" s="875">
        <f>C194*(1+0.3)</f>
        <v>0.19500000000000001</v>
      </c>
      <c r="F194" s="854"/>
    </row>
    <row r="195" spans="1:11" hidden="1" outlineLevel="1" x14ac:dyDescent="0.25">
      <c r="A195" s="272"/>
      <c r="B195" s="854" t="s">
        <v>13</v>
      </c>
      <c r="C195" s="873">
        <v>0.04</v>
      </c>
      <c r="D195" s="854">
        <v>1</v>
      </c>
      <c r="E195" s="881">
        <f>SUM(E192:E194)*C195</f>
        <v>3.952E-2</v>
      </c>
      <c r="F195" s="882"/>
      <c r="G195" s="7"/>
      <c r="H195" s="7"/>
      <c r="I195" s="8"/>
    </row>
    <row r="196" spans="1:11" collapsed="1" x14ac:dyDescent="0.25">
      <c r="A196" s="272"/>
      <c r="B196" s="854" t="s">
        <v>230</v>
      </c>
      <c r="C196" s="892">
        <v>0.2</v>
      </c>
      <c r="D196" s="879">
        <v>1</v>
      </c>
      <c r="E196" s="875">
        <f>C196*D196</f>
        <v>0.2</v>
      </c>
      <c r="F196" s="870"/>
      <c r="G196" s="6"/>
      <c r="H196" s="6"/>
    </row>
    <row r="197" spans="1:11" s="19" customFormat="1" ht="15.75" x14ac:dyDescent="0.25">
      <c r="A197" s="386"/>
      <c r="B197" s="862" t="s">
        <v>48</v>
      </c>
      <c r="C197" s="862"/>
      <c r="D197" s="862"/>
      <c r="E197" s="862"/>
      <c r="F197" s="862"/>
    </row>
    <row r="198" spans="1:11" s="19" customFormat="1" ht="15.75" x14ac:dyDescent="0.25">
      <c r="A198" s="386"/>
      <c r="B198" s="862" t="s">
        <v>49</v>
      </c>
      <c r="C198" s="862">
        <v>5.32</v>
      </c>
      <c r="D198" s="880"/>
      <c r="E198" s="862"/>
      <c r="F198" s="862"/>
    </row>
    <row r="199" spans="1:11" s="10" customFormat="1" x14ac:dyDescent="0.25">
      <c r="A199" s="378"/>
      <c r="B199" s="861" t="s">
        <v>53</v>
      </c>
      <c r="C199" s="861"/>
      <c r="D199" s="861">
        <f>D9</f>
        <v>25</v>
      </c>
      <c r="E199" s="861" t="s">
        <v>54</v>
      </c>
      <c r="F199" s="861"/>
    </row>
    <row r="200" spans="1:11" ht="153" x14ac:dyDescent="0.25">
      <c r="A200" s="272"/>
      <c r="B200" s="394" t="s">
        <v>340</v>
      </c>
      <c r="C200" s="394" t="s">
        <v>874</v>
      </c>
      <c r="D200" s="394" t="s">
        <v>1052</v>
      </c>
      <c r="E200" s="854"/>
      <c r="F200" s="888">
        <f>21*D202*1*D201*C204*1000</f>
        <v>647976.00000000012</v>
      </c>
    </row>
    <row r="201" spans="1:11" s="3" customFormat="1" x14ac:dyDescent="0.25">
      <c r="A201" s="276"/>
      <c r="B201" s="865" t="s">
        <v>338</v>
      </c>
      <c r="C201" s="865" t="s">
        <v>337</v>
      </c>
      <c r="D201" s="866">
        <v>1</v>
      </c>
      <c r="E201" s="866"/>
      <c r="F201" s="866"/>
    </row>
    <row r="202" spans="1:11" s="3" customFormat="1" ht="76.5" x14ac:dyDescent="0.25">
      <c r="A202" s="276"/>
      <c r="B202" s="394" t="s">
        <v>46</v>
      </c>
      <c r="C202" s="865" t="s">
        <v>1053</v>
      </c>
      <c r="D202" s="866">
        <f>1+(25-1)*0.2</f>
        <v>5.8000000000000007</v>
      </c>
      <c r="E202" s="866"/>
      <c r="F202" s="866"/>
      <c r="I202"/>
      <c r="J202"/>
      <c r="K202"/>
    </row>
    <row r="203" spans="1:11" x14ac:dyDescent="0.25">
      <c r="A203" s="272"/>
      <c r="B203" s="862" t="s">
        <v>48</v>
      </c>
      <c r="C203" s="862"/>
      <c r="D203" s="854"/>
      <c r="E203" s="854"/>
      <c r="F203" s="854"/>
    </row>
    <row r="204" spans="1:11" x14ac:dyDescent="0.25">
      <c r="A204" s="272"/>
      <c r="B204" s="862" t="s">
        <v>49</v>
      </c>
      <c r="C204" s="862">
        <v>5.32</v>
      </c>
      <c r="D204" s="854"/>
      <c r="E204" s="854"/>
      <c r="F204" s="854"/>
    </row>
    <row r="205" spans="1:11" x14ac:dyDescent="0.25">
      <c r="A205" s="272"/>
      <c r="B205" s="861" t="s">
        <v>190</v>
      </c>
      <c r="C205" s="907">
        <f>5*30</f>
        <v>150</v>
      </c>
      <c r="D205" s="862" t="s">
        <v>309</v>
      </c>
      <c r="E205" s="854"/>
      <c r="F205" s="854"/>
    </row>
    <row r="206" spans="1:11" s="2" customFormat="1" ht="76.5" x14ac:dyDescent="0.25">
      <c r="A206" s="272"/>
      <c r="B206" s="394" t="s">
        <v>901</v>
      </c>
      <c r="C206" s="394" t="s">
        <v>951</v>
      </c>
      <c r="D206" s="394" t="s">
        <v>952</v>
      </c>
      <c r="E206" s="854"/>
      <c r="F206" s="855">
        <f>(89.55+0.08*30)*D207*D208*D209*C229*1000</f>
        <v>425097.68474880024</v>
      </c>
      <c r="G206" s="2" t="s">
        <v>307</v>
      </c>
      <c r="I206"/>
      <c r="J206"/>
      <c r="K206"/>
    </row>
    <row r="207" spans="1:11" s="3" customFormat="1" x14ac:dyDescent="0.25">
      <c r="A207" s="276"/>
      <c r="B207" s="865" t="s">
        <v>4</v>
      </c>
      <c r="C207" s="865" t="s">
        <v>5</v>
      </c>
      <c r="D207" s="866">
        <v>0.4</v>
      </c>
      <c r="E207" s="866"/>
      <c r="F207" s="866"/>
      <c r="I207"/>
      <c r="J207"/>
      <c r="K207"/>
    </row>
    <row r="208" spans="1:11" s="3" customFormat="1" ht="76.5" x14ac:dyDescent="0.25">
      <c r="A208" s="276"/>
      <c r="B208" s="394" t="s">
        <v>46</v>
      </c>
      <c r="C208" s="865" t="s">
        <v>902</v>
      </c>
      <c r="D208" s="866">
        <f>1+(5-1)*0.2</f>
        <v>1.8</v>
      </c>
      <c r="E208" s="866"/>
      <c r="F208" s="866"/>
      <c r="I208"/>
      <c r="J208"/>
      <c r="K208"/>
    </row>
    <row r="209" spans="1:9" ht="76.5" x14ac:dyDescent="0.25">
      <c r="A209" s="272"/>
      <c r="B209" s="394" t="s">
        <v>15</v>
      </c>
      <c r="C209" s="394" t="s">
        <v>215</v>
      </c>
      <c r="D209" s="854">
        <f>E210/1</f>
        <v>1.2069600000000005</v>
      </c>
      <c r="E209" s="854"/>
      <c r="F209" s="854"/>
    </row>
    <row r="210" spans="1:9" x14ac:dyDescent="0.25">
      <c r="A210" s="272"/>
      <c r="B210" s="390" t="s">
        <v>6</v>
      </c>
      <c r="C210" s="869">
        <f>SUM(C211:C227)</f>
        <v>1.0000000000000002</v>
      </c>
      <c r="D210" s="870"/>
      <c r="E210" s="871">
        <f>SUM(E211:E227)</f>
        <v>1.2069600000000005</v>
      </c>
      <c r="F210" s="872"/>
      <c r="G210" s="9"/>
      <c r="H210" s="9"/>
    </row>
    <row r="211" spans="1:9" hidden="1" outlineLevel="1" x14ac:dyDescent="0.25">
      <c r="A211" s="272"/>
      <c r="B211" s="394" t="s">
        <v>20</v>
      </c>
      <c r="C211" s="873">
        <v>0.02</v>
      </c>
      <c r="D211" s="879">
        <v>1</v>
      </c>
      <c r="E211" s="875">
        <f>C211*D211</f>
        <v>0.02</v>
      </c>
      <c r="F211" s="870"/>
      <c r="G211" s="6"/>
      <c r="H211" s="6"/>
    </row>
    <row r="212" spans="1:9" hidden="1" outlineLevel="1" x14ac:dyDescent="0.25">
      <c r="A212" s="272"/>
      <c r="B212" s="394" t="s">
        <v>21</v>
      </c>
      <c r="C212" s="873">
        <v>0.04</v>
      </c>
      <c r="D212" s="854">
        <v>1</v>
      </c>
      <c r="E212" s="875">
        <f>C212*D212</f>
        <v>0.04</v>
      </c>
      <c r="F212" s="854"/>
    </row>
    <row r="213" spans="1:9" hidden="1" outlineLevel="1" x14ac:dyDescent="0.25">
      <c r="A213" s="272"/>
      <c r="B213" s="394" t="s">
        <v>22</v>
      </c>
      <c r="C213" s="873">
        <v>0.14000000000000001</v>
      </c>
      <c r="D213" s="879" t="s">
        <v>16</v>
      </c>
      <c r="E213" s="875">
        <f>C213*(1+0.3)</f>
        <v>0.18200000000000002</v>
      </c>
      <c r="F213" s="854"/>
    </row>
    <row r="214" spans="1:9" hidden="1" outlineLevel="1" x14ac:dyDescent="0.25">
      <c r="A214" s="272"/>
      <c r="B214" s="394" t="s">
        <v>23</v>
      </c>
      <c r="C214" s="873">
        <v>0.15</v>
      </c>
      <c r="D214" s="879" t="s">
        <v>16</v>
      </c>
      <c r="E214" s="875">
        <f>C214*(1+0.3)</f>
        <v>0.19500000000000001</v>
      </c>
      <c r="F214" s="854"/>
    </row>
    <row r="215" spans="1:9" ht="25.5" hidden="1" outlineLevel="1" x14ac:dyDescent="0.25">
      <c r="A215" s="272"/>
      <c r="B215" s="394" t="s">
        <v>36</v>
      </c>
      <c r="C215" s="873"/>
      <c r="D215" s="879"/>
      <c r="E215" s="875">
        <f>C215*(1+0.3)</f>
        <v>0</v>
      </c>
      <c r="F215" s="870"/>
      <c r="G215" s="6"/>
      <c r="H215" s="6"/>
    </row>
    <row r="216" spans="1:9" hidden="1" outlineLevel="1" x14ac:dyDescent="0.25">
      <c r="A216" s="272"/>
      <c r="B216" s="877" t="s">
        <v>37</v>
      </c>
      <c r="C216" s="873">
        <v>7.0000000000000007E-2</v>
      </c>
      <c r="D216" s="879" t="s">
        <v>16</v>
      </c>
      <c r="E216" s="875">
        <f>C216*(1+0.3)</f>
        <v>9.1000000000000011E-2</v>
      </c>
      <c r="F216" s="870"/>
      <c r="G216" s="6"/>
      <c r="H216" s="6"/>
    </row>
    <row r="217" spans="1:9" hidden="1" outlineLevel="1" x14ac:dyDescent="0.25">
      <c r="A217" s="272"/>
      <c r="B217" s="877" t="s">
        <v>38</v>
      </c>
      <c r="C217" s="873">
        <v>0.04</v>
      </c>
      <c r="D217" s="879" t="s">
        <v>16</v>
      </c>
      <c r="E217" s="875">
        <f t="shared" ref="E217:E222" si="5">C217*(1+0.3)</f>
        <v>5.2000000000000005E-2</v>
      </c>
      <c r="F217" s="870"/>
      <c r="G217" s="6"/>
      <c r="H217" s="6"/>
    </row>
    <row r="218" spans="1:9" hidden="1" outlineLevel="1" x14ac:dyDescent="0.25">
      <c r="A218" s="272"/>
      <c r="B218" s="877" t="s">
        <v>39</v>
      </c>
      <c r="C218" s="873">
        <v>0.04</v>
      </c>
      <c r="D218" s="879" t="s">
        <v>16</v>
      </c>
      <c r="E218" s="875">
        <f t="shared" si="5"/>
        <v>5.2000000000000005E-2</v>
      </c>
      <c r="F218" s="882"/>
      <c r="G218" s="7"/>
      <c r="H218" s="7"/>
      <c r="I218" s="8"/>
    </row>
    <row r="219" spans="1:9" hidden="1" outlineLevel="1" x14ac:dyDescent="0.25">
      <c r="A219" s="272"/>
      <c r="B219" s="877" t="s">
        <v>40</v>
      </c>
      <c r="C219" s="873">
        <v>0.12</v>
      </c>
      <c r="D219" s="879" t="s">
        <v>16</v>
      </c>
      <c r="E219" s="875">
        <f t="shared" si="5"/>
        <v>0.156</v>
      </c>
      <c r="F219" s="870"/>
      <c r="G219" s="6"/>
      <c r="H219" s="6"/>
    </row>
    <row r="220" spans="1:9" hidden="1" outlineLevel="1" x14ac:dyDescent="0.25">
      <c r="A220" s="272"/>
      <c r="B220" s="877" t="s">
        <v>41</v>
      </c>
      <c r="C220" s="873">
        <v>0.03</v>
      </c>
      <c r="D220" s="879" t="s">
        <v>16</v>
      </c>
      <c r="E220" s="875">
        <f t="shared" si="5"/>
        <v>3.9E-2</v>
      </c>
      <c r="F220" s="854"/>
    </row>
    <row r="221" spans="1:9" hidden="1" outlineLevel="1" x14ac:dyDescent="0.25">
      <c r="A221" s="272"/>
      <c r="B221" s="877" t="s">
        <v>42</v>
      </c>
      <c r="C221" s="873">
        <v>0.02</v>
      </c>
      <c r="D221" s="879" t="s">
        <v>16</v>
      </c>
      <c r="E221" s="875">
        <f t="shared" si="5"/>
        <v>2.6000000000000002E-2</v>
      </c>
      <c r="F221" s="854"/>
    </row>
    <row r="222" spans="1:9" hidden="1" outlineLevel="1" x14ac:dyDescent="0.25">
      <c r="A222" s="272"/>
      <c r="B222" s="877" t="s">
        <v>43</v>
      </c>
      <c r="C222" s="873">
        <v>0.05</v>
      </c>
      <c r="D222" s="879" t="s">
        <v>16</v>
      </c>
      <c r="E222" s="875">
        <f t="shared" si="5"/>
        <v>6.5000000000000002E-2</v>
      </c>
      <c r="F222" s="854"/>
    </row>
    <row r="223" spans="1:9" hidden="1" outlineLevel="1" x14ac:dyDescent="0.25">
      <c r="A223" s="272"/>
      <c r="B223" s="394" t="s">
        <v>30</v>
      </c>
      <c r="C223" s="873">
        <v>0.06</v>
      </c>
      <c r="D223" s="879">
        <v>1</v>
      </c>
      <c r="E223" s="875">
        <f>C223*D223</f>
        <v>0.06</v>
      </c>
      <c r="F223" s="870"/>
      <c r="G223" s="6"/>
      <c r="H223" s="6"/>
    </row>
    <row r="224" spans="1:9" hidden="1" outlineLevel="1" x14ac:dyDescent="0.25">
      <c r="A224" s="272"/>
      <c r="B224" s="394" t="s">
        <v>44</v>
      </c>
      <c r="C224" s="873">
        <v>7.0000000000000007E-2</v>
      </c>
      <c r="D224" s="879">
        <v>1</v>
      </c>
      <c r="E224" s="875">
        <f>C224*D224</f>
        <v>7.0000000000000007E-2</v>
      </c>
      <c r="F224" s="882"/>
      <c r="G224" s="7"/>
      <c r="H224" s="7"/>
      <c r="I224" s="8"/>
    </row>
    <row r="225" spans="1:18" hidden="1" outlineLevel="1" x14ac:dyDescent="0.25">
      <c r="A225" s="272"/>
      <c r="B225" s="394" t="s">
        <v>32</v>
      </c>
      <c r="C225" s="873">
        <v>0.06</v>
      </c>
      <c r="D225" s="879">
        <v>1</v>
      </c>
      <c r="E225" s="875">
        <f>C225*D225</f>
        <v>0.06</v>
      </c>
      <c r="F225" s="870"/>
      <c r="G225" s="6"/>
      <c r="H225" s="6"/>
    </row>
    <row r="226" spans="1:18" hidden="1" outlineLevel="1" x14ac:dyDescent="0.25">
      <c r="A226" s="272"/>
      <c r="B226" s="394" t="s">
        <v>45</v>
      </c>
      <c r="C226" s="873">
        <v>0.02</v>
      </c>
      <c r="D226" s="879">
        <v>1</v>
      </c>
      <c r="E226" s="875">
        <f>C226*D226</f>
        <v>0.02</v>
      </c>
      <c r="F226" s="854"/>
    </row>
    <row r="227" spans="1:18" hidden="1" outlineLevel="1" x14ac:dyDescent="0.25">
      <c r="A227" s="272"/>
      <c r="B227" s="854" t="s">
        <v>13</v>
      </c>
      <c r="C227" s="873">
        <v>7.0000000000000007E-2</v>
      </c>
      <c r="D227" s="854"/>
      <c r="E227" s="881">
        <f>SUM(E211:E226)*C227</f>
        <v>7.896000000000003E-2</v>
      </c>
      <c r="F227" s="882"/>
      <c r="G227" s="7"/>
      <c r="H227" s="7"/>
      <c r="I227" s="8"/>
    </row>
    <row r="228" spans="1:18" s="19" customFormat="1" ht="15.75" collapsed="1" x14ac:dyDescent="0.25">
      <c r="A228" s="386"/>
      <c r="B228" s="862" t="s">
        <v>48</v>
      </c>
      <c r="C228" s="862"/>
      <c r="D228" s="862"/>
      <c r="E228" s="862"/>
      <c r="F228" s="862"/>
    </row>
    <row r="229" spans="1:18" s="19" customFormat="1" ht="15.75" x14ac:dyDescent="0.25">
      <c r="A229" s="386"/>
      <c r="B229" s="862" t="s">
        <v>49</v>
      </c>
      <c r="C229" s="862">
        <v>5.32</v>
      </c>
      <c r="D229" s="880"/>
      <c r="E229" s="862"/>
      <c r="F229" s="862"/>
    </row>
    <row r="230" spans="1:18" s="11" customFormat="1" x14ac:dyDescent="0.25">
      <c r="A230" s="379"/>
      <c r="B230" s="861" t="s">
        <v>205</v>
      </c>
      <c r="C230" s="862">
        <f>3</f>
        <v>3</v>
      </c>
      <c r="D230" s="862" t="s">
        <v>19</v>
      </c>
      <c r="E230" s="862"/>
      <c r="F230" s="862"/>
      <c r="I230" s="13"/>
    </row>
    <row r="231" spans="1:18" s="2" customFormat="1" ht="63.75" x14ac:dyDescent="0.25">
      <c r="A231" s="272"/>
      <c r="B231" s="854" t="s">
        <v>205</v>
      </c>
      <c r="C231" s="394" t="s">
        <v>1028</v>
      </c>
      <c r="D231" s="394" t="s">
        <v>1029</v>
      </c>
      <c r="E231" s="854"/>
      <c r="F231" s="855">
        <f>(33+5.5*1)*D232*D233*D234*C252*1000</f>
        <v>125251.52640000002</v>
      </c>
      <c r="I231"/>
      <c r="J231"/>
      <c r="K231"/>
      <c r="Q231" s="17"/>
      <c r="R231" s="17"/>
    </row>
    <row r="232" spans="1:18" s="3" customFormat="1" x14ac:dyDescent="0.25">
      <c r="A232" s="276"/>
      <c r="B232" s="865" t="s">
        <v>4</v>
      </c>
      <c r="C232" s="865" t="s">
        <v>5</v>
      </c>
      <c r="D232" s="866">
        <v>0.4</v>
      </c>
      <c r="E232" s="866"/>
      <c r="F232" s="866"/>
      <c r="I232"/>
      <c r="J232"/>
      <c r="K232"/>
    </row>
    <row r="233" spans="1:18" s="3" customFormat="1" ht="76.5" x14ac:dyDescent="0.25">
      <c r="A233" s="276"/>
      <c r="B233" s="394" t="s">
        <v>46</v>
      </c>
      <c r="C233" s="865" t="s">
        <v>1027</v>
      </c>
      <c r="D233" s="866">
        <f>1+(C230-1)*0.2</f>
        <v>1.4</v>
      </c>
      <c r="E233" s="866"/>
      <c r="F233" s="866"/>
      <c r="I233"/>
      <c r="J233"/>
      <c r="K233"/>
    </row>
    <row r="234" spans="1:18" s="2" customFormat="1" ht="76.5" x14ac:dyDescent="0.25">
      <c r="A234" s="272"/>
      <c r="B234" s="394" t="s">
        <v>15</v>
      </c>
      <c r="C234" s="394" t="s">
        <v>884</v>
      </c>
      <c r="D234" s="854">
        <f>E235/1</f>
        <v>1.0920000000000001</v>
      </c>
      <c r="E234" s="854"/>
      <c r="F234" s="854"/>
    </row>
    <row r="235" spans="1:18" x14ac:dyDescent="0.25">
      <c r="A235" s="272"/>
      <c r="B235" s="390" t="s">
        <v>6</v>
      </c>
      <c r="C235" s="869">
        <f>SUM(C236:C250)</f>
        <v>1</v>
      </c>
      <c r="D235" s="870"/>
      <c r="E235" s="889">
        <f>SUM(E236:E250)</f>
        <v>1.0920000000000001</v>
      </c>
      <c r="F235" s="875"/>
      <c r="G235" s="4"/>
      <c r="H235" s="4"/>
    </row>
    <row r="236" spans="1:18" hidden="1" outlineLevel="1" x14ac:dyDescent="0.25">
      <c r="A236" s="272"/>
      <c r="B236" s="394" t="s">
        <v>20</v>
      </c>
      <c r="C236" s="873">
        <v>0.01</v>
      </c>
      <c r="D236" s="854">
        <v>1</v>
      </c>
      <c r="E236" s="875">
        <f>C236*D236</f>
        <v>0.01</v>
      </c>
      <c r="F236" s="875"/>
      <c r="G236" s="4"/>
      <c r="H236" s="4"/>
    </row>
    <row r="237" spans="1:18" hidden="1" outlineLevel="1" x14ac:dyDescent="0.25">
      <c r="A237" s="272"/>
      <c r="B237" s="394" t="s">
        <v>21</v>
      </c>
      <c r="C237" s="873">
        <v>0.03</v>
      </c>
      <c r="D237" s="854">
        <v>1</v>
      </c>
      <c r="E237" s="875">
        <f>C237*D237</f>
        <v>0.03</v>
      </c>
      <c r="F237" s="875"/>
      <c r="G237" s="4"/>
      <c r="H237" s="4"/>
    </row>
    <row r="238" spans="1:18" hidden="1" outlineLevel="1" x14ac:dyDescent="0.25">
      <c r="A238" s="272"/>
      <c r="B238" s="394" t="s">
        <v>22</v>
      </c>
      <c r="C238" s="873">
        <v>0.09</v>
      </c>
      <c r="D238" s="879" t="s">
        <v>16</v>
      </c>
      <c r="E238" s="875">
        <f>C238*(1+0.3)</f>
        <v>0.11699999999999999</v>
      </c>
      <c r="F238" s="875"/>
      <c r="G238" s="4"/>
      <c r="H238" s="4"/>
    </row>
    <row r="239" spans="1:18" hidden="1" outlineLevel="1" x14ac:dyDescent="0.25">
      <c r="A239" s="272"/>
      <c r="B239" s="394" t="s">
        <v>23</v>
      </c>
      <c r="C239" s="873">
        <v>0.12</v>
      </c>
      <c r="D239" s="879" t="s">
        <v>16</v>
      </c>
      <c r="E239" s="875">
        <f>C239*(1+0.3)</f>
        <v>0.156</v>
      </c>
      <c r="F239" s="875"/>
      <c r="G239" s="4"/>
      <c r="H239" s="4"/>
    </row>
    <row r="240" spans="1:18" ht="38.25" hidden="1" outlineLevel="1" x14ac:dyDescent="0.25">
      <c r="A240" s="272"/>
      <c r="B240" s="394" t="s">
        <v>24</v>
      </c>
      <c r="C240" s="873">
        <v>0.05</v>
      </c>
      <c r="D240" s="879" t="s">
        <v>16</v>
      </c>
      <c r="E240" s="875">
        <f>C240*(1+0.3)</f>
        <v>6.5000000000000002E-2</v>
      </c>
      <c r="F240" s="875"/>
      <c r="G240" s="4"/>
      <c r="H240" s="4"/>
    </row>
    <row r="241" spans="1:11" ht="38.25" hidden="1" outlineLevel="1" x14ac:dyDescent="0.25">
      <c r="A241" s="272"/>
      <c r="B241" s="394" t="s">
        <v>25</v>
      </c>
      <c r="C241" s="873">
        <v>0.04</v>
      </c>
      <c r="D241" s="879" t="s">
        <v>16</v>
      </c>
      <c r="E241" s="875">
        <f>C241*(1+0.3)</f>
        <v>5.2000000000000005E-2</v>
      </c>
      <c r="F241" s="875"/>
      <c r="G241" s="4"/>
      <c r="H241" s="4"/>
    </row>
    <row r="242" spans="1:11" ht="25.5" hidden="1" outlineLevel="1" x14ac:dyDescent="0.25">
      <c r="A242" s="272"/>
      <c r="B242" s="394" t="s">
        <v>26</v>
      </c>
      <c r="C242" s="873">
        <v>0.05</v>
      </c>
      <c r="D242" s="854">
        <v>1</v>
      </c>
      <c r="E242" s="875">
        <f t="shared" ref="E242:E249" si="6">C242*D242</f>
        <v>0.05</v>
      </c>
      <c r="F242" s="875"/>
      <c r="G242" s="4"/>
      <c r="H242" s="4"/>
    </row>
    <row r="243" spans="1:11" ht="38.25" hidden="1" outlineLevel="1" x14ac:dyDescent="0.25">
      <c r="A243" s="272"/>
      <c r="B243" s="394" t="s">
        <v>27</v>
      </c>
      <c r="C243" s="873">
        <v>0.04</v>
      </c>
      <c r="D243" s="854">
        <v>1</v>
      </c>
      <c r="E243" s="875">
        <f t="shared" si="6"/>
        <v>0.04</v>
      </c>
      <c r="F243" s="875"/>
      <c r="G243" s="4"/>
      <c r="H243" s="4"/>
      <c r="I243" s="8"/>
    </row>
    <row r="244" spans="1:11" ht="25.5" hidden="1" outlineLevel="1" x14ac:dyDescent="0.25">
      <c r="A244" s="272"/>
      <c r="B244" s="394" t="s">
        <v>28</v>
      </c>
      <c r="C244" s="873">
        <v>0.02</v>
      </c>
      <c r="D244" s="854">
        <v>1</v>
      </c>
      <c r="E244" s="875">
        <f t="shared" si="6"/>
        <v>0.02</v>
      </c>
      <c r="F244" s="875"/>
      <c r="G244" s="4"/>
      <c r="H244" s="4"/>
    </row>
    <row r="245" spans="1:11" ht="38.25" hidden="1" outlineLevel="1" x14ac:dyDescent="0.25">
      <c r="A245" s="272"/>
      <c r="B245" s="394" t="s">
        <v>29</v>
      </c>
      <c r="C245" s="873">
        <v>0.31</v>
      </c>
      <c r="D245" s="854">
        <v>1</v>
      </c>
      <c r="E245" s="875">
        <f t="shared" si="6"/>
        <v>0.31</v>
      </c>
      <c r="F245" s="875"/>
      <c r="G245" s="4"/>
      <c r="H245" s="4"/>
    </row>
    <row r="246" spans="1:11" hidden="1" outlineLevel="1" x14ac:dyDescent="0.25">
      <c r="A246" s="272"/>
      <c r="B246" s="394" t="s">
        <v>30</v>
      </c>
      <c r="C246" s="873">
        <v>0.04</v>
      </c>
      <c r="D246" s="879">
        <v>1</v>
      </c>
      <c r="E246" s="875">
        <f t="shared" si="6"/>
        <v>0.04</v>
      </c>
      <c r="F246" s="875"/>
      <c r="G246" s="4"/>
      <c r="H246" s="4"/>
    </row>
    <row r="247" spans="1:11" hidden="1" outlineLevel="1" x14ac:dyDescent="0.25">
      <c r="A247" s="272"/>
      <c r="B247" s="394" t="s">
        <v>31</v>
      </c>
      <c r="C247" s="873">
        <v>0.09</v>
      </c>
      <c r="D247" s="854">
        <v>1</v>
      </c>
      <c r="E247" s="875">
        <f t="shared" si="6"/>
        <v>0.09</v>
      </c>
      <c r="F247" s="875"/>
      <c r="G247" s="4"/>
      <c r="H247" s="4"/>
    </row>
    <row r="248" spans="1:11" hidden="1" outlineLevel="1" x14ac:dyDescent="0.25">
      <c r="A248" s="272"/>
      <c r="B248" s="394" t="s">
        <v>32</v>
      </c>
      <c r="C248" s="873">
        <v>0.05</v>
      </c>
      <c r="D248" s="854">
        <v>1</v>
      </c>
      <c r="E248" s="875">
        <f t="shared" si="6"/>
        <v>0.05</v>
      </c>
      <c r="F248" s="875"/>
      <c r="G248" s="4"/>
      <c r="H248" s="4"/>
    </row>
    <row r="249" spans="1:11" hidden="1" outlineLevel="1" x14ac:dyDescent="0.25">
      <c r="A249" s="272"/>
      <c r="B249" s="394" t="s">
        <v>33</v>
      </c>
      <c r="C249" s="873">
        <v>0.01</v>
      </c>
      <c r="D249" s="854">
        <v>1</v>
      </c>
      <c r="E249" s="875">
        <f t="shared" si="6"/>
        <v>0.01</v>
      </c>
      <c r="F249" s="875"/>
      <c r="G249" s="4"/>
      <c r="H249" s="4"/>
    </row>
    <row r="250" spans="1:11" hidden="1" outlineLevel="1" x14ac:dyDescent="0.25">
      <c r="A250" s="272"/>
      <c r="B250" s="394" t="s">
        <v>34</v>
      </c>
      <c r="C250" s="873">
        <v>0.05</v>
      </c>
      <c r="D250" s="879"/>
      <c r="E250" s="890">
        <f>SUM(E236:E249)*C250</f>
        <v>5.2000000000000005E-2</v>
      </c>
      <c r="F250" s="890"/>
      <c r="G250" s="14"/>
      <c r="H250" s="14"/>
    </row>
    <row r="251" spans="1:11" s="19" customFormat="1" ht="15.75" collapsed="1" x14ac:dyDescent="0.25">
      <c r="A251" s="386"/>
      <c r="B251" s="862" t="s">
        <v>48</v>
      </c>
      <c r="C251" s="862"/>
      <c r="D251" s="862"/>
      <c r="E251" s="862"/>
      <c r="F251" s="862"/>
    </row>
    <row r="252" spans="1:11" s="19" customFormat="1" ht="15.75" x14ac:dyDescent="0.25">
      <c r="A252" s="386"/>
      <c r="B252" s="862" t="s">
        <v>49</v>
      </c>
      <c r="C252" s="862">
        <v>5.32</v>
      </c>
      <c r="D252" s="880"/>
      <c r="E252" s="862"/>
      <c r="F252" s="862"/>
    </row>
    <row r="253" spans="1:11" x14ac:dyDescent="0.25">
      <c r="A253" s="272"/>
      <c r="B253" s="861" t="s">
        <v>919</v>
      </c>
      <c r="C253" s="854"/>
      <c r="D253" s="862">
        <v>10</v>
      </c>
      <c r="E253" s="862" t="s">
        <v>235</v>
      </c>
      <c r="F253" s="854"/>
    </row>
    <row r="254" spans="1:11" s="2" customFormat="1" ht="51" x14ac:dyDescent="0.25">
      <c r="A254" s="272"/>
      <c r="B254" s="891" t="s">
        <v>921</v>
      </c>
      <c r="C254" s="891" t="s">
        <v>920</v>
      </c>
      <c r="D254" s="394" t="s">
        <v>922</v>
      </c>
      <c r="E254" s="854"/>
      <c r="F254" s="855">
        <f>(456.5+0*(0.4*50+0.6*25))*1*D256*D255*D257*C275*1000</f>
        <v>112812.39816000001</v>
      </c>
      <c r="I254"/>
      <c r="J254"/>
      <c r="K254"/>
    </row>
    <row r="255" spans="1:11" s="3" customFormat="1" x14ac:dyDescent="0.25">
      <c r="A255" s="276"/>
      <c r="B255" s="865" t="s">
        <v>4</v>
      </c>
      <c r="C255" s="865" t="s">
        <v>5</v>
      </c>
      <c r="D255" s="866">
        <v>0.4</v>
      </c>
      <c r="E255" s="866"/>
      <c r="F255" s="866"/>
      <c r="I255"/>
      <c r="J255"/>
      <c r="K255"/>
    </row>
    <row r="256" spans="1:11" s="2" customFormat="1" ht="38.25" x14ac:dyDescent="0.25">
      <c r="A256" s="272"/>
      <c r="B256" s="394" t="s">
        <v>3</v>
      </c>
      <c r="C256" s="854" t="s">
        <v>530</v>
      </c>
      <c r="D256" s="867">
        <v>0.1</v>
      </c>
      <c r="E256" s="854"/>
      <c r="F256" s="854"/>
    </row>
    <row r="257" spans="1:8" ht="76.5" x14ac:dyDescent="0.25">
      <c r="A257" s="272"/>
      <c r="B257" s="394" t="s">
        <v>15</v>
      </c>
      <c r="C257" s="394" t="s">
        <v>232</v>
      </c>
      <c r="D257" s="854">
        <f>E258/1</f>
        <v>1.1613</v>
      </c>
      <c r="E257" s="854"/>
      <c r="F257" s="854"/>
    </row>
    <row r="258" spans="1:8" x14ac:dyDescent="0.25">
      <c r="A258" s="272"/>
      <c r="B258" s="390" t="s">
        <v>6</v>
      </c>
      <c r="C258" s="869">
        <f>SUM(C259:C273)</f>
        <v>1</v>
      </c>
      <c r="D258" s="870"/>
      <c r="E258" s="871">
        <f>SUM(E259:E273)</f>
        <v>1.1613</v>
      </c>
      <c r="F258" s="872"/>
      <c r="G258" s="9"/>
      <c r="H258" s="9"/>
    </row>
    <row r="259" spans="1:8" hidden="1" outlineLevel="1" x14ac:dyDescent="0.25">
      <c r="A259" s="272"/>
      <c r="B259" s="394" t="s">
        <v>20</v>
      </c>
      <c r="C259" s="873">
        <v>0.01</v>
      </c>
      <c r="D259" s="874">
        <v>1</v>
      </c>
      <c r="E259" s="875">
        <f>C259*D259</f>
        <v>0.01</v>
      </c>
      <c r="F259" s="854"/>
    </row>
    <row r="260" spans="1:8" hidden="1" outlineLevel="1" x14ac:dyDescent="0.25">
      <c r="A260" s="272"/>
      <c r="B260" s="394" t="s">
        <v>21</v>
      </c>
      <c r="C260" s="873">
        <v>0.03</v>
      </c>
      <c r="D260" s="879">
        <v>1</v>
      </c>
      <c r="E260" s="873">
        <f>C260*D260</f>
        <v>0.03</v>
      </c>
      <c r="F260" s="854"/>
    </row>
    <row r="261" spans="1:8" hidden="1" outlineLevel="1" x14ac:dyDescent="0.25">
      <c r="A261" s="272"/>
      <c r="B261" s="394" t="s">
        <v>22</v>
      </c>
      <c r="C261" s="873">
        <v>0.09</v>
      </c>
      <c r="D261" s="874" t="s">
        <v>16</v>
      </c>
      <c r="E261" s="875">
        <f>C261*(1+0.3)</f>
        <v>0.11699999999999999</v>
      </c>
      <c r="F261" s="854"/>
    </row>
    <row r="262" spans="1:8" hidden="1" outlineLevel="1" x14ac:dyDescent="0.25">
      <c r="A262" s="272"/>
      <c r="B262" s="394" t="s">
        <v>23</v>
      </c>
      <c r="C262" s="873">
        <v>0.12</v>
      </c>
      <c r="D262" s="874" t="s">
        <v>16</v>
      </c>
      <c r="E262" s="875">
        <f>C262*(1+0.3)</f>
        <v>0.156</v>
      </c>
      <c r="F262" s="854"/>
    </row>
    <row r="263" spans="1:8" ht="38.25" hidden="1" outlineLevel="1" x14ac:dyDescent="0.25">
      <c r="A263" s="272"/>
      <c r="B263" s="394" t="s">
        <v>24</v>
      </c>
      <c r="C263" s="873">
        <v>0.05</v>
      </c>
      <c r="D263" s="874">
        <v>1</v>
      </c>
      <c r="E263" s="875">
        <f>C263*D263</f>
        <v>0.05</v>
      </c>
      <c r="F263" s="854"/>
    </row>
    <row r="264" spans="1:8" ht="38.25" hidden="1" outlineLevel="1" x14ac:dyDescent="0.25">
      <c r="A264" s="272"/>
      <c r="B264" s="394" t="s">
        <v>25</v>
      </c>
      <c r="C264" s="873">
        <v>0.04</v>
      </c>
      <c r="D264" s="874">
        <v>1</v>
      </c>
      <c r="E264" s="875">
        <f>C264*D264</f>
        <v>0.04</v>
      </c>
      <c r="F264" s="854"/>
    </row>
    <row r="265" spans="1:8" ht="25.5" hidden="1" outlineLevel="1" x14ac:dyDescent="0.25">
      <c r="A265" s="272"/>
      <c r="B265" s="394" t="s">
        <v>26</v>
      </c>
      <c r="C265" s="873">
        <v>0.05</v>
      </c>
      <c r="D265" s="879">
        <v>1</v>
      </c>
      <c r="E265" s="873">
        <f>C265*D265</f>
        <v>0.05</v>
      </c>
      <c r="F265" s="854"/>
    </row>
    <row r="266" spans="1:8" ht="38.25" hidden="1" outlineLevel="1" x14ac:dyDescent="0.25">
      <c r="A266" s="272"/>
      <c r="B266" s="394" t="s">
        <v>27</v>
      </c>
      <c r="C266" s="873">
        <v>0.04</v>
      </c>
      <c r="D266" s="876">
        <v>1</v>
      </c>
      <c r="E266" s="873">
        <f>C266*D266</f>
        <v>0.04</v>
      </c>
      <c r="F266" s="854"/>
    </row>
    <row r="267" spans="1:8" ht="25.5" hidden="1" outlineLevel="1" x14ac:dyDescent="0.25">
      <c r="A267" s="272"/>
      <c r="B267" s="394" t="s">
        <v>28</v>
      </c>
      <c r="C267" s="873">
        <v>0.02</v>
      </c>
      <c r="D267" s="879">
        <v>1</v>
      </c>
      <c r="E267" s="873">
        <f>C267*D267</f>
        <v>0.02</v>
      </c>
      <c r="F267" s="854"/>
    </row>
    <row r="268" spans="1:8" ht="38.25" hidden="1" outlineLevel="1" x14ac:dyDescent="0.25">
      <c r="A268" s="272"/>
      <c r="B268" s="394" t="s">
        <v>29</v>
      </c>
      <c r="C268" s="873">
        <v>0.31</v>
      </c>
      <c r="D268" s="874" t="s">
        <v>16</v>
      </c>
      <c r="E268" s="875">
        <f>C268*(1+0.3)</f>
        <v>0.40300000000000002</v>
      </c>
      <c r="F268" s="854"/>
    </row>
    <row r="269" spans="1:8" hidden="1" outlineLevel="1" x14ac:dyDescent="0.25">
      <c r="A269" s="272"/>
      <c r="B269" s="394" t="s">
        <v>30</v>
      </c>
      <c r="C269" s="873">
        <v>0.04</v>
      </c>
      <c r="D269" s="874">
        <v>1</v>
      </c>
      <c r="E269" s="875">
        <f>C269*D269</f>
        <v>0.04</v>
      </c>
      <c r="F269" s="854"/>
    </row>
    <row r="270" spans="1:8" hidden="1" outlineLevel="1" x14ac:dyDescent="0.25">
      <c r="A270" s="272"/>
      <c r="B270" s="394" t="s">
        <v>31</v>
      </c>
      <c r="C270" s="873">
        <v>0.09</v>
      </c>
      <c r="D270" s="879">
        <v>1</v>
      </c>
      <c r="E270" s="873">
        <f>C270*D270</f>
        <v>0.09</v>
      </c>
      <c r="F270" s="854"/>
    </row>
    <row r="271" spans="1:8" hidden="1" outlineLevel="1" x14ac:dyDescent="0.25">
      <c r="A271" s="272"/>
      <c r="B271" s="394" t="s">
        <v>32</v>
      </c>
      <c r="C271" s="873">
        <v>0.05</v>
      </c>
      <c r="D271" s="876">
        <v>1</v>
      </c>
      <c r="E271" s="873">
        <f>C271*D271</f>
        <v>0.05</v>
      </c>
      <c r="F271" s="854"/>
    </row>
    <row r="272" spans="1:8" hidden="1" outlineLevel="1" x14ac:dyDescent="0.25">
      <c r="A272" s="272"/>
      <c r="B272" s="394" t="s">
        <v>33</v>
      </c>
      <c r="C272" s="873">
        <v>0.01</v>
      </c>
      <c r="D272" s="879">
        <v>1</v>
      </c>
      <c r="E272" s="873">
        <f>C272*D272</f>
        <v>0.01</v>
      </c>
      <c r="F272" s="854"/>
    </row>
    <row r="273" spans="1:11" hidden="1" outlineLevel="1" x14ac:dyDescent="0.25">
      <c r="A273" s="272"/>
      <c r="B273" s="394" t="s">
        <v>212</v>
      </c>
      <c r="C273" s="873">
        <v>0.05</v>
      </c>
      <c r="D273" s="876"/>
      <c r="E273" s="875">
        <f>SUM(E259:E272)*C273</f>
        <v>5.5300000000000009E-2</v>
      </c>
      <c r="F273" s="854"/>
    </row>
    <row r="274" spans="1:11" s="19" customFormat="1" ht="15.75" collapsed="1" x14ac:dyDescent="0.25">
      <c r="A274" s="386"/>
      <c r="B274" s="862" t="s">
        <v>48</v>
      </c>
      <c r="C274" s="862"/>
      <c r="D274" s="862"/>
      <c r="E274" s="862"/>
      <c r="F274" s="862"/>
    </row>
    <row r="275" spans="1:11" s="19" customFormat="1" ht="15.75" x14ac:dyDescent="0.25">
      <c r="A275" s="386"/>
      <c r="B275" s="862" t="s">
        <v>49</v>
      </c>
      <c r="C275" s="862">
        <v>5.32</v>
      </c>
      <c r="D275" s="880"/>
      <c r="E275" s="862"/>
      <c r="F275" s="862"/>
    </row>
    <row r="276" spans="1:11" x14ac:dyDescent="0.25">
      <c r="A276" s="272"/>
      <c r="B276" s="861" t="s">
        <v>918</v>
      </c>
      <c r="C276" s="854"/>
      <c r="D276" s="862">
        <v>10</v>
      </c>
      <c r="E276" s="862" t="s">
        <v>235</v>
      </c>
      <c r="F276" s="854"/>
    </row>
    <row r="277" spans="1:11" s="2" customFormat="1" ht="51" x14ac:dyDescent="0.25">
      <c r="A277" s="272"/>
      <c r="B277" s="891" t="s">
        <v>921</v>
      </c>
      <c r="C277" s="891" t="s">
        <v>920</v>
      </c>
      <c r="D277" s="394" t="s">
        <v>923</v>
      </c>
      <c r="E277" s="854"/>
      <c r="F277" s="855">
        <f>(456.5+0*(0.4*50+0.6*25))*1*D280*D278*D279*D281*C299*1000</f>
        <v>90249.918528000024</v>
      </c>
      <c r="I277"/>
      <c r="J277"/>
      <c r="K277"/>
    </row>
    <row r="278" spans="1:11" s="3" customFormat="1" x14ac:dyDescent="0.25">
      <c r="A278" s="276"/>
      <c r="B278" s="865" t="s">
        <v>4</v>
      </c>
      <c r="C278" s="865" t="s">
        <v>5</v>
      </c>
      <c r="D278" s="866">
        <v>0.4</v>
      </c>
      <c r="E278" s="866"/>
      <c r="F278" s="866"/>
      <c r="I278"/>
      <c r="J278"/>
      <c r="K278"/>
    </row>
    <row r="279" spans="1:11" s="2" customFormat="1" ht="38.25" x14ac:dyDescent="0.25">
      <c r="A279" s="272"/>
      <c r="B279" s="394" t="s">
        <v>233</v>
      </c>
      <c r="C279" s="854" t="s">
        <v>234</v>
      </c>
      <c r="D279" s="867">
        <v>0.8</v>
      </c>
      <c r="E279" s="854"/>
      <c r="F279" s="854"/>
    </row>
    <row r="280" spans="1:11" s="2" customFormat="1" ht="38.25" x14ac:dyDescent="0.25">
      <c r="A280" s="272"/>
      <c r="B280" s="394" t="s">
        <v>3</v>
      </c>
      <c r="C280" s="854" t="s">
        <v>530</v>
      </c>
      <c r="D280" s="867">
        <v>0.1</v>
      </c>
      <c r="E280" s="854"/>
      <c r="F280" s="854"/>
    </row>
    <row r="281" spans="1:11" ht="76.5" x14ac:dyDescent="0.25">
      <c r="A281" s="272"/>
      <c r="B281" s="394" t="s">
        <v>15</v>
      </c>
      <c r="C281" s="394" t="s">
        <v>232</v>
      </c>
      <c r="D281" s="854">
        <f>E282/1</f>
        <v>1.1613</v>
      </c>
      <c r="E281" s="854"/>
      <c r="F281" s="854"/>
    </row>
    <row r="282" spans="1:11" x14ac:dyDescent="0.25">
      <c r="A282" s="272"/>
      <c r="B282" s="390" t="s">
        <v>6</v>
      </c>
      <c r="C282" s="869">
        <f>SUM(C283:C297)</f>
        <v>1</v>
      </c>
      <c r="D282" s="870"/>
      <c r="E282" s="871">
        <f>SUM(E283:E297)</f>
        <v>1.1613</v>
      </c>
      <c r="F282" s="872"/>
      <c r="G282" s="9"/>
      <c r="H282" s="9"/>
    </row>
    <row r="283" spans="1:11" hidden="1" outlineLevel="1" x14ac:dyDescent="0.25">
      <c r="A283" s="272"/>
      <c r="B283" s="394" t="s">
        <v>20</v>
      </c>
      <c r="C283" s="873">
        <v>0.01</v>
      </c>
      <c r="D283" s="874">
        <v>1</v>
      </c>
      <c r="E283" s="875">
        <f>C283*D283</f>
        <v>0.01</v>
      </c>
      <c r="F283" s="854"/>
    </row>
    <row r="284" spans="1:11" hidden="1" outlineLevel="1" x14ac:dyDescent="0.25">
      <c r="A284" s="272"/>
      <c r="B284" s="394" t="s">
        <v>21</v>
      </c>
      <c r="C284" s="873">
        <v>0.03</v>
      </c>
      <c r="D284" s="879">
        <v>1</v>
      </c>
      <c r="E284" s="873">
        <f>C284*D284</f>
        <v>0.03</v>
      </c>
      <c r="F284" s="854"/>
    </row>
    <row r="285" spans="1:11" hidden="1" outlineLevel="1" x14ac:dyDescent="0.25">
      <c r="A285" s="272"/>
      <c r="B285" s="394" t="s">
        <v>22</v>
      </c>
      <c r="C285" s="873">
        <v>0.09</v>
      </c>
      <c r="D285" s="874" t="s">
        <v>16</v>
      </c>
      <c r="E285" s="875">
        <f>C285*(1+0.3)</f>
        <v>0.11699999999999999</v>
      </c>
      <c r="F285" s="854"/>
    </row>
    <row r="286" spans="1:11" hidden="1" outlineLevel="1" x14ac:dyDescent="0.25">
      <c r="A286" s="272"/>
      <c r="B286" s="394" t="s">
        <v>23</v>
      </c>
      <c r="C286" s="873">
        <v>0.12</v>
      </c>
      <c r="D286" s="874" t="s">
        <v>16</v>
      </c>
      <c r="E286" s="875">
        <f>C286*(1+0.3)</f>
        <v>0.156</v>
      </c>
      <c r="F286" s="854"/>
    </row>
    <row r="287" spans="1:11" ht="38.25" hidden="1" outlineLevel="1" x14ac:dyDescent="0.25">
      <c r="A287" s="272"/>
      <c r="B287" s="394" t="s">
        <v>24</v>
      </c>
      <c r="C287" s="873">
        <v>0.05</v>
      </c>
      <c r="D287" s="874">
        <v>1</v>
      </c>
      <c r="E287" s="875">
        <f>C287*D287</f>
        <v>0.05</v>
      </c>
      <c r="F287" s="854"/>
    </row>
    <row r="288" spans="1:11" ht="38.25" hidden="1" outlineLevel="1" x14ac:dyDescent="0.25">
      <c r="A288" s="272"/>
      <c r="B288" s="394" t="s">
        <v>25</v>
      </c>
      <c r="C288" s="873">
        <v>0.04</v>
      </c>
      <c r="D288" s="874">
        <v>1</v>
      </c>
      <c r="E288" s="875">
        <f>C288*D288</f>
        <v>0.04</v>
      </c>
      <c r="F288" s="854"/>
    </row>
    <row r="289" spans="1:18" ht="25.5" hidden="1" outlineLevel="1" x14ac:dyDescent="0.25">
      <c r="A289" s="272"/>
      <c r="B289" s="394" t="s">
        <v>26</v>
      </c>
      <c r="C289" s="873">
        <v>0.05</v>
      </c>
      <c r="D289" s="879">
        <v>1</v>
      </c>
      <c r="E289" s="873">
        <f>C289*D289</f>
        <v>0.05</v>
      </c>
      <c r="F289" s="854"/>
    </row>
    <row r="290" spans="1:18" ht="38.25" hidden="1" outlineLevel="1" x14ac:dyDescent="0.25">
      <c r="A290" s="272"/>
      <c r="B290" s="394" t="s">
        <v>27</v>
      </c>
      <c r="C290" s="873">
        <v>0.04</v>
      </c>
      <c r="D290" s="876">
        <v>1</v>
      </c>
      <c r="E290" s="873">
        <f>C290*D290</f>
        <v>0.04</v>
      </c>
      <c r="F290" s="854"/>
    </row>
    <row r="291" spans="1:18" ht="25.5" hidden="1" outlineLevel="1" x14ac:dyDescent="0.25">
      <c r="A291" s="272"/>
      <c r="B291" s="394" t="s">
        <v>28</v>
      </c>
      <c r="C291" s="873">
        <v>0.02</v>
      </c>
      <c r="D291" s="879">
        <v>1</v>
      </c>
      <c r="E291" s="873">
        <f>C291*D291</f>
        <v>0.02</v>
      </c>
      <c r="F291" s="854"/>
    </row>
    <row r="292" spans="1:18" ht="38.25" hidden="1" outlineLevel="1" x14ac:dyDescent="0.25">
      <c r="A292" s="272"/>
      <c r="B292" s="394" t="s">
        <v>29</v>
      </c>
      <c r="C292" s="873">
        <v>0.31</v>
      </c>
      <c r="D292" s="874" t="s">
        <v>16</v>
      </c>
      <c r="E292" s="875">
        <f>C292*(1+0.3)</f>
        <v>0.40300000000000002</v>
      </c>
      <c r="F292" s="854"/>
    </row>
    <row r="293" spans="1:18" hidden="1" outlineLevel="1" x14ac:dyDescent="0.25">
      <c r="A293" s="272"/>
      <c r="B293" s="394" t="s">
        <v>30</v>
      </c>
      <c r="C293" s="873">
        <v>0.04</v>
      </c>
      <c r="D293" s="874">
        <v>1</v>
      </c>
      <c r="E293" s="875">
        <f>C293*D293</f>
        <v>0.04</v>
      </c>
      <c r="F293" s="854"/>
    </row>
    <row r="294" spans="1:18" hidden="1" outlineLevel="1" x14ac:dyDescent="0.25">
      <c r="A294" s="272"/>
      <c r="B294" s="394" t="s">
        <v>31</v>
      </c>
      <c r="C294" s="873">
        <v>0.09</v>
      </c>
      <c r="D294" s="879">
        <v>1</v>
      </c>
      <c r="E294" s="873">
        <f>C294*D294</f>
        <v>0.09</v>
      </c>
      <c r="F294" s="854"/>
    </row>
    <row r="295" spans="1:18" hidden="1" outlineLevel="1" x14ac:dyDescent="0.25">
      <c r="A295" s="272"/>
      <c r="B295" s="394" t="s">
        <v>32</v>
      </c>
      <c r="C295" s="873">
        <v>0.05</v>
      </c>
      <c r="D295" s="876">
        <v>1</v>
      </c>
      <c r="E295" s="873">
        <f>C295*D295</f>
        <v>0.05</v>
      </c>
      <c r="F295" s="854"/>
    </row>
    <row r="296" spans="1:18" hidden="1" outlineLevel="1" x14ac:dyDescent="0.25">
      <c r="A296" s="272"/>
      <c r="B296" s="394" t="s">
        <v>33</v>
      </c>
      <c r="C296" s="873">
        <v>0.01</v>
      </c>
      <c r="D296" s="879">
        <v>1</v>
      </c>
      <c r="E296" s="873">
        <f>C296*D296</f>
        <v>0.01</v>
      </c>
      <c r="F296" s="854"/>
    </row>
    <row r="297" spans="1:18" hidden="1" outlineLevel="1" x14ac:dyDescent="0.25">
      <c r="A297" s="272"/>
      <c r="B297" s="394" t="s">
        <v>212</v>
      </c>
      <c r="C297" s="873">
        <v>0.05</v>
      </c>
      <c r="D297" s="876"/>
      <c r="E297" s="875">
        <f>SUM(E283:E296)*C297</f>
        <v>5.5300000000000009E-2</v>
      </c>
      <c r="F297" s="854"/>
    </row>
    <row r="298" spans="1:18" s="19" customFormat="1" ht="15.75" collapsed="1" x14ac:dyDescent="0.25">
      <c r="A298" s="386"/>
      <c r="B298" s="862" t="s">
        <v>48</v>
      </c>
      <c r="C298" s="862"/>
      <c r="D298" s="862"/>
      <c r="E298" s="862"/>
      <c r="F298" s="862"/>
    </row>
    <row r="299" spans="1:18" s="19" customFormat="1" ht="15.75" x14ac:dyDescent="0.25">
      <c r="A299" s="386"/>
      <c r="B299" s="862" t="s">
        <v>49</v>
      </c>
      <c r="C299" s="862">
        <v>5.32</v>
      </c>
      <c r="D299" s="880"/>
      <c r="E299" s="862"/>
      <c r="F299" s="862"/>
    </row>
    <row r="300" spans="1:18" s="11" customFormat="1" x14ac:dyDescent="0.25">
      <c r="A300" s="379"/>
      <c r="B300" s="861" t="s">
        <v>104</v>
      </c>
      <c r="C300" s="862"/>
      <c r="D300" s="862">
        <f>D13</f>
        <v>1000</v>
      </c>
      <c r="E300" s="862" t="s">
        <v>746</v>
      </c>
      <c r="F300" s="862"/>
      <c r="I300" s="13"/>
    </row>
    <row r="301" spans="1:18" s="2" customFormat="1" ht="63.75" x14ac:dyDescent="0.25">
      <c r="A301" s="272"/>
      <c r="B301" s="854" t="s">
        <v>1032</v>
      </c>
      <c r="C301" s="394" t="s">
        <v>1033</v>
      </c>
      <c r="D301" s="394" t="s">
        <v>1030</v>
      </c>
      <c r="E301" s="854"/>
      <c r="F301" s="855">
        <f>(4.6+0.166*1000)*1*D302*D303*D304*D305*C317*1000</f>
        <v>886037.48868096003</v>
      </c>
      <c r="I301"/>
      <c r="J301"/>
      <c r="K301"/>
      <c r="Q301" s="17"/>
      <c r="R301" s="17"/>
    </row>
    <row r="302" spans="1:18" s="3" customFormat="1" x14ac:dyDescent="0.25">
      <c r="A302" s="276"/>
      <c r="B302" s="865" t="s">
        <v>4</v>
      </c>
      <c r="C302" s="865" t="s">
        <v>1031</v>
      </c>
      <c r="D302" s="866">
        <v>0.6</v>
      </c>
      <c r="E302" s="866"/>
      <c r="F302" s="866"/>
      <c r="I302"/>
      <c r="J302"/>
      <c r="K302"/>
    </row>
    <row r="303" spans="1:18" s="3" customFormat="1" ht="51" x14ac:dyDescent="0.25">
      <c r="A303" s="276"/>
      <c r="B303" s="394" t="s">
        <v>889</v>
      </c>
      <c r="C303" s="865" t="s">
        <v>250</v>
      </c>
      <c r="D303" s="866">
        <v>1.1000000000000001</v>
      </c>
      <c r="E303" s="866"/>
      <c r="F303" s="866"/>
      <c r="I303"/>
      <c r="J303"/>
      <c r="K303"/>
    </row>
    <row r="304" spans="1:18" s="3" customFormat="1" ht="63.75" x14ac:dyDescent="0.25">
      <c r="A304" s="276"/>
      <c r="B304" s="394" t="s">
        <v>888</v>
      </c>
      <c r="C304" s="865" t="s">
        <v>250</v>
      </c>
      <c r="D304" s="866">
        <v>1.2</v>
      </c>
      <c r="E304" s="866"/>
      <c r="F304" s="866"/>
      <c r="I304"/>
      <c r="J304"/>
      <c r="K304"/>
    </row>
    <row r="305" spans="1:16" ht="76.5" x14ac:dyDescent="0.25">
      <c r="A305" s="272"/>
      <c r="B305" s="394" t="s">
        <v>15</v>
      </c>
      <c r="C305" s="394" t="s">
        <v>887</v>
      </c>
      <c r="D305" s="854">
        <f>E306/1</f>
        <v>1.2326400000000002</v>
      </c>
      <c r="E305" s="854"/>
      <c r="F305" s="854"/>
    </row>
    <row r="306" spans="1:16" x14ac:dyDescent="0.25">
      <c r="A306" s="272"/>
      <c r="B306" s="390" t="s">
        <v>6</v>
      </c>
      <c r="C306" s="869">
        <f>SUM(C307:C315)</f>
        <v>1</v>
      </c>
      <c r="D306" s="870"/>
      <c r="E306" s="889">
        <f>SUM(E307:E315)</f>
        <v>1.2326400000000002</v>
      </c>
      <c r="F306" s="875"/>
      <c r="G306" s="4"/>
      <c r="H306" s="4"/>
    </row>
    <row r="307" spans="1:16" hidden="1" outlineLevel="1" x14ac:dyDescent="0.25">
      <c r="A307" s="272"/>
      <c r="B307" s="394" t="s">
        <v>20</v>
      </c>
      <c r="C307" s="873">
        <v>0.02</v>
      </c>
      <c r="D307" s="854">
        <v>1</v>
      </c>
      <c r="E307" s="875">
        <f>C307*D307</f>
        <v>0.02</v>
      </c>
      <c r="F307" s="875"/>
      <c r="G307" s="4"/>
      <c r="H307" s="4"/>
    </row>
    <row r="308" spans="1:16" hidden="1" outlineLevel="1" x14ac:dyDescent="0.25">
      <c r="A308" s="272"/>
      <c r="B308" s="394" t="s">
        <v>265</v>
      </c>
      <c r="C308" s="873">
        <v>0.04</v>
      </c>
      <c r="D308" s="879" t="s">
        <v>16</v>
      </c>
      <c r="E308" s="875">
        <f>C308*(1+0.3)</f>
        <v>5.2000000000000005E-2</v>
      </c>
      <c r="F308" s="875"/>
      <c r="G308" s="4"/>
      <c r="H308" s="4"/>
    </row>
    <row r="309" spans="1:16" ht="38.25" hidden="1" outlineLevel="1" x14ac:dyDescent="0.25">
      <c r="A309" s="272"/>
      <c r="B309" s="394" t="s">
        <v>266</v>
      </c>
      <c r="C309" s="873"/>
      <c r="D309" s="879"/>
      <c r="E309" s="875"/>
      <c r="F309" s="875"/>
      <c r="G309" s="4"/>
      <c r="H309" s="4"/>
    </row>
    <row r="310" spans="1:16" hidden="1" outlineLevel="1" x14ac:dyDescent="0.25">
      <c r="A310" s="272"/>
      <c r="B310" s="877" t="s">
        <v>43</v>
      </c>
      <c r="C310" s="873">
        <v>0.33</v>
      </c>
      <c r="D310" s="879" t="s">
        <v>16</v>
      </c>
      <c r="E310" s="875">
        <f>C310*(1+0.3)</f>
        <v>0.42900000000000005</v>
      </c>
      <c r="F310" s="875"/>
      <c r="G310" s="4"/>
      <c r="H310" s="4"/>
    </row>
    <row r="311" spans="1:16" hidden="1" outlineLevel="1" x14ac:dyDescent="0.25">
      <c r="A311" s="272"/>
      <c r="B311" s="877" t="s">
        <v>267</v>
      </c>
      <c r="C311" s="873">
        <v>0.37</v>
      </c>
      <c r="D311" s="879" t="s">
        <v>16</v>
      </c>
      <c r="E311" s="875">
        <f>C311*(1+0.3)</f>
        <v>0.48099999999999998</v>
      </c>
      <c r="F311" s="875"/>
      <c r="G311" s="4"/>
      <c r="H311" s="4"/>
    </row>
    <row r="312" spans="1:16" hidden="1" outlineLevel="1" x14ac:dyDescent="0.25">
      <c r="A312" s="272"/>
      <c r="B312" s="394" t="s">
        <v>30</v>
      </c>
      <c r="C312" s="873">
        <v>7.0000000000000007E-2</v>
      </c>
      <c r="D312" s="854">
        <v>1</v>
      </c>
      <c r="E312" s="875">
        <f>C312*D312</f>
        <v>7.0000000000000007E-2</v>
      </c>
      <c r="F312" s="875"/>
      <c r="G312" s="4"/>
      <c r="H312" s="4"/>
    </row>
    <row r="313" spans="1:16" hidden="1" outlineLevel="1" x14ac:dyDescent="0.25">
      <c r="A313" s="272"/>
      <c r="B313" s="394" t="s">
        <v>274</v>
      </c>
      <c r="C313" s="873">
        <v>0.09</v>
      </c>
      <c r="D313" s="854">
        <v>1</v>
      </c>
      <c r="E313" s="875">
        <f>C313*D313</f>
        <v>0.09</v>
      </c>
      <c r="F313" s="875"/>
      <c r="G313" s="4"/>
      <c r="H313" s="4"/>
    </row>
    <row r="314" spans="1:16" hidden="1" outlineLevel="1" x14ac:dyDescent="0.25">
      <c r="A314" s="272"/>
      <c r="B314" s="394" t="s">
        <v>32</v>
      </c>
      <c r="C314" s="873">
        <v>0.01</v>
      </c>
      <c r="D314" s="854">
        <v>1</v>
      </c>
      <c r="E314" s="875">
        <f>C314*D314</f>
        <v>0.01</v>
      </c>
      <c r="F314" s="875"/>
      <c r="G314" s="4"/>
      <c r="H314" s="4"/>
      <c r="I314" s="8"/>
    </row>
    <row r="315" spans="1:16" hidden="1" outlineLevel="1" x14ac:dyDescent="0.25">
      <c r="A315" s="272"/>
      <c r="B315" s="394" t="s">
        <v>34</v>
      </c>
      <c r="C315" s="873">
        <v>7.0000000000000007E-2</v>
      </c>
      <c r="D315" s="879"/>
      <c r="E315" s="890">
        <f>SUM(E307:E314)*C315</f>
        <v>8.0640000000000017E-2</v>
      </c>
      <c r="F315" s="890"/>
      <c r="G315" s="14"/>
      <c r="H315" s="14"/>
    </row>
    <row r="316" spans="1:16" s="19" customFormat="1" ht="15.75" collapsed="1" x14ac:dyDescent="0.25">
      <c r="A316" s="386"/>
      <c r="B316" s="862" t="s">
        <v>48</v>
      </c>
      <c r="C316" s="862"/>
      <c r="D316" s="862"/>
      <c r="E316" s="862"/>
      <c r="F316" s="862"/>
    </row>
    <row r="317" spans="1:16" s="19" customFormat="1" ht="15.75" x14ac:dyDescent="0.25">
      <c r="A317" s="386"/>
      <c r="B317" s="862" t="s">
        <v>49</v>
      </c>
      <c r="C317" s="862">
        <v>5.32</v>
      </c>
      <c r="D317" s="880"/>
      <c r="E317" s="862"/>
      <c r="F317" s="862"/>
    </row>
    <row r="318" spans="1:16" s="10" customFormat="1" x14ac:dyDescent="0.25">
      <c r="A318" s="378"/>
      <c r="B318" s="861" t="s">
        <v>71</v>
      </c>
      <c r="C318" s="861">
        <f>D15+D16+D17+D18</f>
        <v>11</v>
      </c>
      <c r="D318" s="883" t="s">
        <v>211</v>
      </c>
      <c r="E318" s="861"/>
      <c r="F318" s="884"/>
      <c r="G318" s="15"/>
      <c r="H318" s="15"/>
      <c r="I318" s="16"/>
    </row>
    <row r="319" spans="1:16" s="2" customFormat="1" ht="76.5" x14ac:dyDescent="0.25">
      <c r="A319" s="272"/>
      <c r="B319" s="394" t="s">
        <v>1037</v>
      </c>
      <c r="C319" s="394" t="s">
        <v>1034</v>
      </c>
      <c r="D319" s="394" t="s">
        <v>1035</v>
      </c>
      <c r="E319" s="854"/>
      <c r="F319" s="855">
        <f>19.082*D320*D321*D322*C342*1000</f>
        <v>140774.60033280007</v>
      </c>
      <c r="I319"/>
      <c r="J319"/>
      <c r="K319"/>
      <c r="O319" s="17"/>
      <c r="P319" s="17"/>
    </row>
    <row r="320" spans="1:16" s="3" customFormat="1" x14ac:dyDescent="0.25">
      <c r="A320" s="276"/>
      <c r="B320" s="865" t="s">
        <v>4</v>
      </c>
      <c r="C320" s="865" t="s">
        <v>5</v>
      </c>
      <c r="D320" s="866">
        <v>0.4</v>
      </c>
      <c r="E320" s="866"/>
      <c r="F320" s="866"/>
      <c r="I320"/>
      <c r="J320"/>
      <c r="K320"/>
    </row>
    <row r="321" spans="1:11" s="3" customFormat="1" ht="76.5" x14ac:dyDescent="0.25">
      <c r="A321" s="276"/>
      <c r="B321" s="394" t="s">
        <v>46</v>
      </c>
      <c r="C321" s="865" t="s">
        <v>1036</v>
      </c>
      <c r="D321" s="885">
        <f>1+(C318-1)*0.2</f>
        <v>3</v>
      </c>
      <c r="E321" s="866"/>
      <c r="F321" s="866"/>
      <c r="I321"/>
      <c r="J321"/>
      <c r="K321"/>
    </row>
    <row r="322" spans="1:11" s="2" customFormat="1" ht="76.5" x14ac:dyDescent="0.25">
      <c r="A322" s="272"/>
      <c r="B322" s="394" t="s">
        <v>15</v>
      </c>
      <c r="C322" s="394" t="s">
        <v>209</v>
      </c>
      <c r="D322" s="854">
        <f>E323/1</f>
        <v>1.1556000000000004</v>
      </c>
      <c r="E322" s="854"/>
      <c r="F322" s="854"/>
    </row>
    <row r="323" spans="1:11" x14ac:dyDescent="0.25">
      <c r="A323" s="272"/>
      <c r="B323" s="390" t="s">
        <v>6</v>
      </c>
      <c r="C323" s="869">
        <f>SUM(C324:C340)</f>
        <v>1.0000000000000002</v>
      </c>
      <c r="D323" s="870"/>
      <c r="E323" s="871">
        <f>SUM(E324:E340)</f>
        <v>1.1556000000000004</v>
      </c>
      <c r="F323" s="872"/>
      <c r="G323" s="9"/>
      <c r="H323" s="9"/>
    </row>
    <row r="324" spans="1:11" hidden="1" outlineLevel="1" x14ac:dyDescent="0.25">
      <c r="A324" s="272"/>
      <c r="B324" s="394" t="s">
        <v>20</v>
      </c>
      <c r="C324" s="873">
        <v>0.02</v>
      </c>
      <c r="D324" s="879">
        <v>1</v>
      </c>
      <c r="E324" s="875">
        <f>C324*D324</f>
        <v>0.02</v>
      </c>
      <c r="F324" s="870"/>
      <c r="G324" s="6"/>
      <c r="H324" s="6"/>
    </row>
    <row r="325" spans="1:11" hidden="1" outlineLevel="1" x14ac:dyDescent="0.25">
      <c r="A325" s="272"/>
      <c r="B325" s="394" t="s">
        <v>21</v>
      </c>
      <c r="C325" s="873">
        <v>0.04</v>
      </c>
      <c r="D325" s="854">
        <v>1</v>
      </c>
      <c r="E325" s="875">
        <f>C325*D325</f>
        <v>0.04</v>
      </c>
      <c r="F325" s="854"/>
    </row>
    <row r="326" spans="1:11" hidden="1" outlineLevel="1" x14ac:dyDescent="0.25">
      <c r="A326" s="272"/>
      <c r="B326" s="394" t="s">
        <v>22</v>
      </c>
      <c r="C326" s="873">
        <v>0.14000000000000001</v>
      </c>
      <c r="D326" s="879" t="s">
        <v>16</v>
      </c>
      <c r="E326" s="875">
        <f>C326*(1+0.3)</f>
        <v>0.18200000000000002</v>
      </c>
      <c r="F326" s="854"/>
    </row>
    <row r="327" spans="1:11" hidden="1" outlineLevel="1" x14ac:dyDescent="0.25">
      <c r="A327" s="272"/>
      <c r="B327" s="394" t="s">
        <v>23</v>
      </c>
      <c r="C327" s="873">
        <v>0.15</v>
      </c>
      <c r="D327" s="879" t="s">
        <v>16</v>
      </c>
      <c r="E327" s="875">
        <f>C327*(1+0.3)</f>
        <v>0.19500000000000001</v>
      </c>
      <c r="F327" s="854"/>
    </row>
    <row r="328" spans="1:11" ht="25.5" hidden="1" outlineLevel="1" x14ac:dyDescent="0.25">
      <c r="A328" s="272"/>
      <c r="B328" s="394" t="s">
        <v>36</v>
      </c>
      <c r="C328" s="873"/>
      <c r="D328" s="879"/>
      <c r="E328" s="875"/>
      <c r="F328" s="870"/>
      <c r="G328" s="6"/>
      <c r="H328" s="6"/>
    </row>
    <row r="329" spans="1:11" hidden="1" outlineLevel="1" x14ac:dyDescent="0.25">
      <c r="A329" s="272"/>
      <c r="B329" s="877" t="s">
        <v>37</v>
      </c>
      <c r="C329" s="873">
        <v>7.0000000000000007E-2</v>
      </c>
      <c r="D329" s="879">
        <v>1</v>
      </c>
      <c r="E329" s="875">
        <f>C329*D329</f>
        <v>7.0000000000000007E-2</v>
      </c>
      <c r="F329" s="870"/>
      <c r="G329" s="6"/>
      <c r="H329" s="6"/>
    </row>
    <row r="330" spans="1:11" hidden="1" outlineLevel="1" x14ac:dyDescent="0.25">
      <c r="A330" s="272"/>
      <c r="B330" s="877" t="s">
        <v>38</v>
      </c>
      <c r="C330" s="873">
        <v>0.04</v>
      </c>
      <c r="D330" s="879">
        <v>1</v>
      </c>
      <c r="E330" s="875">
        <f t="shared" ref="E330:E335" si="7">C330*D330</f>
        <v>0.04</v>
      </c>
      <c r="F330" s="870"/>
      <c r="G330" s="6"/>
      <c r="H330" s="6"/>
    </row>
    <row r="331" spans="1:11" hidden="1" outlineLevel="1" x14ac:dyDescent="0.25">
      <c r="A331" s="272"/>
      <c r="B331" s="877" t="s">
        <v>39</v>
      </c>
      <c r="C331" s="873">
        <v>0.04</v>
      </c>
      <c r="D331" s="879">
        <v>1</v>
      </c>
      <c r="E331" s="875">
        <f t="shared" si="7"/>
        <v>0.04</v>
      </c>
      <c r="F331" s="882"/>
      <c r="G331" s="7"/>
      <c r="H331" s="7"/>
      <c r="I331" s="8"/>
    </row>
    <row r="332" spans="1:11" hidden="1" outlineLevel="1" x14ac:dyDescent="0.25">
      <c r="A332" s="272"/>
      <c r="B332" s="877" t="s">
        <v>40</v>
      </c>
      <c r="C332" s="873">
        <v>0.12</v>
      </c>
      <c r="D332" s="879">
        <v>1</v>
      </c>
      <c r="E332" s="875">
        <f t="shared" si="7"/>
        <v>0.12</v>
      </c>
      <c r="F332" s="870"/>
      <c r="G332" s="6"/>
      <c r="H332" s="6"/>
    </row>
    <row r="333" spans="1:11" hidden="1" outlineLevel="1" x14ac:dyDescent="0.25">
      <c r="A333" s="272"/>
      <c r="B333" s="877" t="s">
        <v>41</v>
      </c>
      <c r="C333" s="873">
        <v>0.03</v>
      </c>
      <c r="D333" s="854">
        <v>1</v>
      </c>
      <c r="E333" s="875">
        <f t="shared" si="7"/>
        <v>0.03</v>
      </c>
      <c r="F333" s="854"/>
    </row>
    <row r="334" spans="1:11" hidden="1" outlineLevel="1" x14ac:dyDescent="0.25">
      <c r="A334" s="272"/>
      <c r="B334" s="877" t="s">
        <v>42</v>
      </c>
      <c r="C334" s="873">
        <v>0.02</v>
      </c>
      <c r="D334" s="876">
        <v>1</v>
      </c>
      <c r="E334" s="875">
        <f t="shared" si="7"/>
        <v>0.02</v>
      </c>
      <c r="F334" s="854"/>
    </row>
    <row r="335" spans="1:11" hidden="1" outlineLevel="1" x14ac:dyDescent="0.25">
      <c r="A335" s="272"/>
      <c r="B335" s="877" t="s">
        <v>43</v>
      </c>
      <c r="C335" s="873">
        <v>0.05</v>
      </c>
      <c r="D335" s="876">
        <v>1</v>
      </c>
      <c r="E335" s="875">
        <f t="shared" si="7"/>
        <v>0.05</v>
      </c>
      <c r="F335" s="854"/>
    </row>
    <row r="336" spans="1:11" hidden="1" outlineLevel="1" x14ac:dyDescent="0.25">
      <c r="A336" s="272"/>
      <c r="B336" s="394" t="s">
        <v>30</v>
      </c>
      <c r="C336" s="873">
        <v>0.06</v>
      </c>
      <c r="D336" s="879">
        <v>1</v>
      </c>
      <c r="E336" s="875">
        <f>C336*(1+0.3)</f>
        <v>7.8E-2</v>
      </c>
      <c r="F336" s="870"/>
      <c r="G336" s="6"/>
      <c r="H336" s="6"/>
    </row>
    <row r="337" spans="1:18" hidden="1" outlineLevel="1" x14ac:dyDescent="0.25">
      <c r="A337" s="272"/>
      <c r="B337" s="394" t="s">
        <v>44</v>
      </c>
      <c r="C337" s="873">
        <v>7.0000000000000007E-2</v>
      </c>
      <c r="D337" s="879">
        <v>1</v>
      </c>
      <c r="E337" s="875">
        <f>C337*(1+0.3)</f>
        <v>9.1000000000000011E-2</v>
      </c>
      <c r="F337" s="870"/>
      <c r="G337" s="6"/>
      <c r="H337" s="6"/>
    </row>
    <row r="338" spans="1:18" hidden="1" outlineLevel="1" x14ac:dyDescent="0.25">
      <c r="A338" s="272"/>
      <c r="B338" s="394" t="s">
        <v>32</v>
      </c>
      <c r="C338" s="873">
        <v>0.06</v>
      </c>
      <c r="D338" s="879">
        <v>1</v>
      </c>
      <c r="E338" s="875">
        <f>C338*(1+0.3)</f>
        <v>7.8E-2</v>
      </c>
      <c r="F338" s="870"/>
      <c r="G338" s="6"/>
      <c r="H338" s="6"/>
    </row>
    <row r="339" spans="1:18" hidden="1" outlineLevel="1" x14ac:dyDescent="0.25">
      <c r="A339" s="272"/>
      <c r="B339" s="394" t="s">
        <v>45</v>
      </c>
      <c r="C339" s="873">
        <v>0.02</v>
      </c>
      <c r="D339" s="879">
        <v>1</v>
      </c>
      <c r="E339" s="875">
        <f>C339*(1+0.3)</f>
        <v>2.6000000000000002E-2</v>
      </c>
      <c r="F339" s="870"/>
      <c r="G339" s="6"/>
      <c r="H339" s="6"/>
    </row>
    <row r="340" spans="1:18" hidden="1" outlineLevel="1" x14ac:dyDescent="0.25">
      <c r="A340" s="272"/>
      <c r="B340" s="394" t="s">
        <v>34</v>
      </c>
      <c r="C340" s="886">
        <v>7.0000000000000007E-2</v>
      </c>
      <c r="D340" s="854"/>
      <c r="E340" s="887">
        <f>SUM(E324:E339)*C340</f>
        <v>7.5600000000000028E-2</v>
      </c>
      <c r="F340" s="882"/>
      <c r="G340" s="7"/>
      <c r="H340" s="7"/>
      <c r="I340" s="8"/>
    </row>
    <row r="341" spans="1:18" s="19" customFormat="1" ht="15.75" collapsed="1" x14ac:dyDescent="0.25">
      <c r="A341" s="386"/>
      <c r="B341" s="862" t="s">
        <v>48</v>
      </c>
      <c r="C341" s="862"/>
      <c r="D341" s="862"/>
      <c r="E341" s="862"/>
      <c r="F341" s="862"/>
    </row>
    <row r="342" spans="1:18" s="19" customFormat="1" ht="15.75" x14ac:dyDescent="0.25">
      <c r="A342" s="386"/>
      <c r="B342" s="862" t="s">
        <v>49</v>
      </c>
      <c r="C342" s="862">
        <v>5.32</v>
      </c>
      <c r="D342" s="880"/>
      <c r="E342" s="862"/>
      <c r="F342" s="862"/>
    </row>
    <row r="343" spans="1:18" s="11" customFormat="1" x14ac:dyDescent="0.25">
      <c r="A343" s="379"/>
      <c r="B343" s="861" t="s">
        <v>706</v>
      </c>
      <c r="C343" s="862"/>
      <c r="D343" s="862">
        <f>D20</f>
        <v>1000</v>
      </c>
      <c r="E343" s="862" t="s">
        <v>746</v>
      </c>
      <c r="F343" s="862"/>
      <c r="I343" s="13"/>
    </row>
    <row r="344" spans="1:18" s="2" customFormat="1" ht="51" x14ac:dyDescent="0.25">
      <c r="A344" s="272"/>
      <c r="B344" s="394" t="s">
        <v>1039</v>
      </c>
      <c r="C344" s="394" t="s">
        <v>1038</v>
      </c>
      <c r="D344" s="394" t="s">
        <v>1040</v>
      </c>
      <c r="E344" s="854"/>
      <c r="F344" s="855">
        <f>(8+ 0.062*1000)*D345*D346*D347*C367*1000</f>
        <v>148843.21536</v>
      </c>
      <c r="I344"/>
      <c r="J344"/>
      <c r="K344"/>
      <c r="Q344" s="17"/>
      <c r="R344" s="17"/>
    </row>
    <row r="345" spans="1:18" s="3" customFormat="1" x14ac:dyDescent="0.25">
      <c r="A345" s="276"/>
      <c r="B345" s="865" t="s">
        <v>4</v>
      </c>
      <c r="C345" s="865" t="s">
        <v>720</v>
      </c>
      <c r="D345" s="866">
        <v>0.36</v>
      </c>
      <c r="E345" s="866"/>
      <c r="F345" s="866"/>
      <c r="I345"/>
      <c r="J345"/>
      <c r="K345"/>
    </row>
    <row r="346" spans="1:18" s="3" customFormat="1" x14ac:dyDescent="0.25">
      <c r="A346" s="276"/>
      <c r="B346" s="394"/>
      <c r="C346" s="854"/>
      <c r="D346" s="867">
        <v>1</v>
      </c>
      <c r="E346" s="866"/>
      <c r="F346" s="866"/>
      <c r="I346"/>
      <c r="J346"/>
      <c r="K346"/>
    </row>
    <row r="347" spans="1:18" s="2" customFormat="1" ht="76.5" x14ac:dyDescent="0.25">
      <c r="A347" s="272"/>
      <c r="B347" s="394" t="s">
        <v>15</v>
      </c>
      <c r="C347" s="394" t="s">
        <v>35</v>
      </c>
      <c r="D347" s="854">
        <f>E348/1</f>
        <v>1.1102400000000001</v>
      </c>
      <c r="E347" s="854"/>
      <c r="F347" s="854"/>
    </row>
    <row r="348" spans="1:18" x14ac:dyDescent="0.25">
      <c r="A348" s="272"/>
      <c r="B348" s="390" t="s">
        <v>6</v>
      </c>
      <c r="C348" s="869">
        <f>SUM(C349:C365)</f>
        <v>0.99999999999999989</v>
      </c>
      <c r="D348" s="870"/>
      <c r="E348" s="908">
        <f>SUM(E349:E365)</f>
        <v>1.1102400000000001</v>
      </c>
      <c r="F348" s="875"/>
      <c r="G348" s="4"/>
      <c r="H348" s="4"/>
    </row>
    <row r="349" spans="1:18" hidden="1" outlineLevel="1" x14ac:dyDescent="0.25">
      <c r="A349" s="272"/>
      <c r="B349" s="394" t="s">
        <v>20</v>
      </c>
      <c r="C349" s="873">
        <v>0.02</v>
      </c>
      <c r="D349" s="854">
        <v>1</v>
      </c>
      <c r="E349" s="875">
        <f>C349*D349</f>
        <v>0.02</v>
      </c>
      <c r="F349" s="854"/>
    </row>
    <row r="350" spans="1:18" hidden="1" outlineLevel="1" x14ac:dyDescent="0.25">
      <c r="A350" s="272"/>
      <c r="B350" s="394" t="s">
        <v>21</v>
      </c>
      <c r="C350" s="873">
        <v>0.02</v>
      </c>
      <c r="D350" s="854">
        <v>1</v>
      </c>
      <c r="E350" s="875">
        <f>C350*D350</f>
        <v>0.02</v>
      </c>
      <c r="F350" s="854"/>
    </row>
    <row r="351" spans="1:18" hidden="1" outlineLevel="1" x14ac:dyDescent="0.25">
      <c r="A351" s="272"/>
      <c r="B351" s="394" t="s">
        <v>22</v>
      </c>
      <c r="C351" s="873">
        <v>0.06</v>
      </c>
      <c r="D351" s="879" t="s">
        <v>16</v>
      </c>
      <c r="E351" s="875">
        <f>C351*(1+0.3)</f>
        <v>7.8E-2</v>
      </c>
      <c r="F351" s="854"/>
    </row>
    <row r="352" spans="1:18" hidden="1" outlineLevel="1" x14ac:dyDescent="0.25">
      <c r="A352" s="272"/>
      <c r="B352" s="394" t="s">
        <v>23</v>
      </c>
      <c r="C352" s="873">
        <v>0.12</v>
      </c>
      <c r="D352" s="879" t="s">
        <v>16</v>
      </c>
      <c r="E352" s="875">
        <f>C352*(1+0.3)</f>
        <v>0.156</v>
      </c>
      <c r="F352" s="854"/>
    </row>
    <row r="353" spans="1:8" ht="25.5" hidden="1" outlineLevel="1" x14ac:dyDescent="0.25">
      <c r="A353" s="272"/>
      <c r="B353" s="394" t="s">
        <v>343</v>
      </c>
      <c r="C353" s="873"/>
      <c r="D353" s="879"/>
      <c r="E353" s="875"/>
      <c r="F353" s="854"/>
    </row>
    <row r="354" spans="1:8" hidden="1" outlineLevel="1" x14ac:dyDescent="0.25">
      <c r="A354" s="272"/>
      <c r="B354" s="877" t="s">
        <v>37</v>
      </c>
      <c r="C354" s="873">
        <v>0.16</v>
      </c>
      <c r="D354" s="879" t="s">
        <v>16</v>
      </c>
      <c r="E354" s="875">
        <f>C354*(1+0.3)</f>
        <v>0.20800000000000002</v>
      </c>
      <c r="F354" s="854"/>
    </row>
    <row r="355" spans="1:8" hidden="1" outlineLevel="1" x14ac:dyDescent="0.25">
      <c r="A355" s="272"/>
      <c r="B355" s="877" t="s">
        <v>38</v>
      </c>
      <c r="C355" s="873">
        <v>0.02</v>
      </c>
      <c r="D355" s="854">
        <v>1</v>
      </c>
      <c r="E355" s="875">
        <f>C355*D355</f>
        <v>0.02</v>
      </c>
      <c r="F355" s="854"/>
    </row>
    <row r="356" spans="1:8" hidden="1" outlineLevel="1" x14ac:dyDescent="0.25">
      <c r="A356" s="272"/>
      <c r="B356" s="877" t="s">
        <v>39</v>
      </c>
      <c r="C356" s="873">
        <v>0.02</v>
      </c>
      <c r="D356" s="854">
        <v>1</v>
      </c>
      <c r="E356" s="875">
        <f t="shared" ref="E356:E357" si="8">C356*D356</f>
        <v>0.02</v>
      </c>
      <c r="F356" s="854"/>
    </row>
    <row r="357" spans="1:8" hidden="1" outlineLevel="1" x14ac:dyDescent="0.25">
      <c r="A357" s="272"/>
      <c r="B357" s="877" t="s">
        <v>40</v>
      </c>
      <c r="C357" s="873">
        <v>0.1</v>
      </c>
      <c r="D357" s="854">
        <v>1</v>
      </c>
      <c r="E357" s="875">
        <f t="shared" si="8"/>
        <v>0.1</v>
      </c>
      <c r="F357" s="854"/>
    </row>
    <row r="358" spans="1:8" hidden="1" outlineLevel="1" x14ac:dyDescent="0.25">
      <c r="A358" s="272"/>
      <c r="B358" s="877" t="s">
        <v>41</v>
      </c>
      <c r="C358" s="873">
        <v>0.02</v>
      </c>
      <c r="D358" s="879" t="s">
        <v>16</v>
      </c>
      <c r="E358" s="875">
        <f>C358*(1+0.3)</f>
        <v>2.6000000000000002E-2</v>
      </c>
      <c r="F358" s="854"/>
    </row>
    <row r="359" spans="1:8" hidden="1" outlineLevel="1" x14ac:dyDescent="0.25">
      <c r="A359" s="272"/>
      <c r="B359" s="877" t="s">
        <v>42</v>
      </c>
      <c r="C359" s="873">
        <v>0.01</v>
      </c>
      <c r="D359" s="854">
        <v>1</v>
      </c>
      <c r="E359" s="875">
        <f t="shared" ref="E359:E364" si="9">C359*D359</f>
        <v>0.01</v>
      </c>
      <c r="F359" s="854"/>
    </row>
    <row r="360" spans="1:8" hidden="1" outlineLevel="1" x14ac:dyDescent="0.25">
      <c r="A360" s="272"/>
      <c r="B360" s="877" t="s">
        <v>43</v>
      </c>
      <c r="C360" s="873">
        <v>0.18</v>
      </c>
      <c r="D360" s="854">
        <v>1</v>
      </c>
      <c r="E360" s="875">
        <f t="shared" si="9"/>
        <v>0.18</v>
      </c>
      <c r="F360" s="854"/>
    </row>
    <row r="361" spans="1:8" hidden="1" outlineLevel="1" x14ac:dyDescent="0.25">
      <c r="A361" s="272"/>
      <c r="B361" s="394" t="s">
        <v>30</v>
      </c>
      <c r="C361" s="873">
        <v>0.03</v>
      </c>
      <c r="D361" s="854">
        <v>1</v>
      </c>
      <c r="E361" s="875">
        <f t="shared" si="9"/>
        <v>0.03</v>
      </c>
      <c r="F361" s="854"/>
    </row>
    <row r="362" spans="1:8" hidden="1" outlineLevel="1" x14ac:dyDescent="0.25">
      <c r="A362" s="272"/>
      <c r="B362" s="394" t="s">
        <v>44</v>
      </c>
      <c r="C362" s="873">
        <v>0.09</v>
      </c>
      <c r="D362" s="854">
        <v>1</v>
      </c>
      <c r="E362" s="875">
        <f t="shared" si="9"/>
        <v>0.09</v>
      </c>
      <c r="F362" s="854"/>
    </row>
    <row r="363" spans="1:8" hidden="1" outlineLevel="1" x14ac:dyDescent="0.25">
      <c r="A363" s="272"/>
      <c r="B363" s="394" t="s">
        <v>32</v>
      </c>
      <c r="C363" s="873">
        <v>0.06</v>
      </c>
      <c r="D363" s="854">
        <v>1</v>
      </c>
      <c r="E363" s="875">
        <f t="shared" si="9"/>
        <v>0.06</v>
      </c>
      <c r="F363" s="854"/>
    </row>
    <row r="364" spans="1:8" hidden="1" outlineLevel="1" x14ac:dyDescent="0.25">
      <c r="A364" s="272"/>
      <c r="B364" s="394" t="s">
        <v>45</v>
      </c>
      <c r="C364" s="873">
        <v>0.01</v>
      </c>
      <c r="D364" s="854">
        <v>1</v>
      </c>
      <c r="E364" s="875">
        <f t="shared" si="9"/>
        <v>0.01</v>
      </c>
      <c r="F364" s="854"/>
    </row>
    <row r="365" spans="1:8" hidden="1" outlineLevel="1" x14ac:dyDescent="0.25">
      <c r="A365" s="272"/>
      <c r="B365" s="394" t="s">
        <v>34</v>
      </c>
      <c r="C365" s="873">
        <v>0.08</v>
      </c>
      <c r="D365" s="879"/>
      <c r="E365" s="890">
        <f>SUM(E349:E364)*C365</f>
        <v>8.2240000000000008E-2</v>
      </c>
      <c r="F365" s="890"/>
      <c r="G365" s="14"/>
      <c r="H365" s="14"/>
    </row>
    <row r="366" spans="1:8" s="19" customFormat="1" ht="15.75" collapsed="1" x14ac:dyDescent="0.25">
      <c r="A366" s="386"/>
      <c r="B366" s="862" t="s">
        <v>48</v>
      </c>
      <c r="C366" s="862"/>
      <c r="D366" s="862"/>
      <c r="E366" s="862"/>
      <c r="F366" s="862"/>
    </row>
    <row r="367" spans="1:8" s="19" customFormat="1" ht="15.75" x14ac:dyDescent="0.25">
      <c r="A367" s="386"/>
      <c r="B367" s="862" t="s">
        <v>49</v>
      </c>
      <c r="C367" s="862">
        <v>5.32</v>
      </c>
      <c r="D367" s="880"/>
      <c r="E367" s="862"/>
      <c r="F367" s="862"/>
    </row>
    <row r="368" spans="1:8" s="356" customFormat="1" ht="15.75" x14ac:dyDescent="0.25">
      <c r="A368" s="379"/>
      <c r="B368" s="862" t="s">
        <v>683</v>
      </c>
      <c r="C368" s="862"/>
      <c r="D368" s="909">
        <f>D21</f>
        <v>1200</v>
      </c>
      <c r="E368" s="862" t="s">
        <v>746</v>
      </c>
      <c r="F368" s="862"/>
    </row>
    <row r="369" spans="1:18" s="2" customFormat="1" ht="51" x14ac:dyDescent="0.25">
      <c r="A369" s="272"/>
      <c r="B369" s="394" t="s">
        <v>1042</v>
      </c>
      <c r="C369" s="394" t="s">
        <v>1041</v>
      </c>
      <c r="D369" s="394" t="s">
        <v>1043</v>
      </c>
      <c r="E369" s="854"/>
      <c r="F369" s="855">
        <f>(48+0.035*1200)*1*D370*D371*C390*1000</f>
        <v>231461.49600000004</v>
      </c>
      <c r="I369"/>
      <c r="J369"/>
      <c r="K369"/>
      <c r="Q369" s="17"/>
      <c r="R369" s="17"/>
    </row>
    <row r="370" spans="1:18" s="3" customFormat="1" x14ac:dyDescent="0.25">
      <c r="A370" s="276"/>
      <c r="B370" s="865" t="s">
        <v>4</v>
      </c>
      <c r="C370" s="865" t="s">
        <v>5</v>
      </c>
      <c r="D370" s="866">
        <v>0.4</v>
      </c>
      <c r="E370" s="866"/>
      <c r="F370" s="866"/>
      <c r="I370"/>
      <c r="J370"/>
      <c r="K370"/>
    </row>
    <row r="371" spans="1:18" s="2" customFormat="1" ht="76.5" x14ac:dyDescent="0.25">
      <c r="A371" s="272"/>
      <c r="B371" s="394" t="s">
        <v>15</v>
      </c>
      <c r="C371" s="394" t="s">
        <v>839</v>
      </c>
      <c r="D371" s="854">
        <f>E372/1</f>
        <v>1.20855</v>
      </c>
      <c r="E371" s="854"/>
      <c r="F371" s="854"/>
    </row>
    <row r="372" spans="1:18" x14ac:dyDescent="0.25">
      <c r="A372" s="272"/>
      <c r="B372" s="390" t="s">
        <v>6</v>
      </c>
      <c r="C372" s="869">
        <f>SUM(C373:C388)</f>
        <v>1</v>
      </c>
      <c r="D372" s="870"/>
      <c r="E372" s="871">
        <f>SUM(E373:E388)</f>
        <v>1.20855</v>
      </c>
      <c r="F372" s="872"/>
      <c r="G372" s="9"/>
      <c r="H372" s="9"/>
    </row>
    <row r="373" spans="1:18" hidden="1" outlineLevel="1" x14ac:dyDescent="0.25">
      <c r="A373" s="272"/>
      <c r="B373" s="394" t="s">
        <v>20</v>
      </c>
      <c r="C373" s="873">
        <v>0.02</v>
      </c>
      <c r="D373" s="879">
        <v>1</v>
      </c>
      <c r="E373" s="875">
        <f>C373*D373</f>
        <v>0.02</v>
      </c>
      <c r="F373" s="870"/>
      <c r="G373" s="6"/>
      <c r="H373" s="6"/>
    </row>
    <row r="374" spans="1:18" hidden="1" outlineLevel="1" x14ac:dyDescent="0.25">
      <c r="A374" s="272"/>
      <c r="B374" s="394" t="s">
        <v>265</v>
      </c>
      <c r="C374" s="873">
        <v>0.02</v>
      </c>
      <c r="D374" s="879" t="s">
        <v>16</v>
      </c>
      <c r="E374" s="875">
        <f>C374*(1+0.3)</f>
        <v>2.6000000000000002E-2</v>
      </c>
      <c r="F374" s="854"/>
    </row>
    <row r="375" spans="1:18" ht="38.25" hidden="1" outlineLevel="1" x14ac:dyDescent="0.25">
      <c r="A375" s="272"/>
      <c r="B375" s="394" t="s">
        <v>266</v>
      </c>
      <c r="C375" s="873"/>
      <c r="D375" s="879"/>
      <c r="E375" s="875"/>
      <c r="F375" s="854"/>
    </row>
    <row r="376" spans="1:18" hidden="1" outlineLevel="1" x14ac:dyDescent="0.25">
      <c r="A376" s="272"/>
      <c r="B376" s="877" t="s">
        <v>43</v>
      </c>
      <c r="C376" s="878">
        <v>0.245</v>
      </c>
      <c r="D376" s="879" t="s">
        <v>16</v>
      </c>
      <c r="E376" s="875">
        <f>C376*(1+0.3)</f>
        <v>0.31850000000000001</v>
      </c>
      <c r="F376" s="854"/>
    </row>
    <row r="377" spans="1:18" hidden="1" outlineLevel="1" x14ac:dyDescent="0.25">
      <c r="A377" s="272"/>
      <c r="B377" s="877" t="s">
        <v>267</v>
      </c>
      <c r="C377" s="875">
        <v>0.27500000000000002</v>
      </c>
      <c r="D377" s="879" t="s">
        <v>16</v>
      </c>
      <c r="E377" s="875">
        <f>C377*(1+0.3)</f>
        <v>0.35750000000000004</v>
      </c>
      <c r="F377" s="870"/>
      <c r="G377" s="6"/>
      <c r="H377" s="6"/>
    </row>
    <row r="378" spans="1:18" hidden="1" outlineLevel="1" x14ac:dyDescent="0.25">
      <c r="A378" s="272"/>
      <c r="B378" s="877" t="s">
        <v>268</v>
      </c>
      <c r="C378" s="878">
        <v>1.4999999999999999E-2</v>
      </c>
      <c r="D378" s="879">
        <v>1</v>
      </c>
      <c r="E378" s="875">
        <f>C378*D378</f>
        <v>1.4999999999999999E-2</v>
      </c>
      <c r="F378" s="870"/>
      <c r="G378" s="6"/>
      <c r="H378" s="6"/>
    </row>
    <row r="379" spans="1:18" hidden="1" outlineLevel="1" x14ac:dyDescent="0.25">
      <c r="A379" s="272"/>
      <c r="B379" s="877" t="s">
        <v>269</v>
      </c>
      <c r="C379" s="878">
        <v>2.5000000000000001E-2</v>
      </c>
      <c r="D379" s="879">
        <v>1</v>
      </c>
      <c r="E379" s="875">
        <f t="shared" ref="E379:E384" si="10">C379*D379</f>
        <v>2.5000000000000001E-2</v>
      </c>
      <c r="F379" s="870"/>
      <c r="G379" s="6"/>
      <c r="H379" s="6"/>
    </row>
    <row r="380" spans="1:18" hidden="1" outlineLevel="1" x14ac:dyDescent="0.25">
      <c r="A380" s="272"/>
      <c r="B380" s="877" t="s">
        <v>37</v>
      </c>
      <c r="C380" s="878">
        <v>0.1</v>
      </c>
      <c r="D380" s="879">
        <v>1</v>
      </c>
      <c r="E380" s="875">
        <f t="shared" si="10"/>
        <v>0.1</v>
      </c>
      <c r="F380" s="882"/>
      <c r="G380" s="7"/>
      <c r="H380" s="7"/>
      <c r="I380" s="8"/>
    </row>
    <row r="381" spans="1:18" hidden="1" outlineLevel="1" x14ac:dyDescent="0.25">
      <c r="A381" s="272"/>
      <c r="B381" s="877" t="s">
        <v>270</v>
      </c>
      <c r="C381" s="878">
        <v>2.5000000000000001E-2</v>
      </c>
      <c r="D381" s="879">
        <v>1</v>
      </c>
      <c r="E381" s="875">
        <f t="shared" si="10"/>
        <v>2.5000000000000001E-2</v>
      </c>
      <c r="F381" s="870"/>
      <c r="G381" s="6"/>
      <c r="H381" s="6"/>
    </row>
    <row r="382" spans="1:18" hidden="1" outlineLevel="1" x14ac:dyDescent="0.25">
      <c r="A382" s="272"/>
      <c r="B382" s="877" t="s">
        <v>271</v>
      </c>
      <c r="C382" s="878">
        <v>1.4999999999999999E-2</v>
      </c>
      <c r="D382" s="854">
        <v>1</v>
      </c>
      <c r="E382" s="875">
        <f t="shared" si="10"/>
        <v>1.4999999999999999E-2</v>
      </c>
      <c r="F382" s="854"/>
    </row>
    <row r="383" spans="1:18" hidden="1" outlineLevel="1" x14ac:dyDescent="0.25">
      <c r="A383" s="272"/>
      <c r="B383" s="394" t="s">
        <v>272</v>
      </c>
      <c r="C383" s="873">
        <v>0.06</v>
      </c>
      <c r="D383" s="876">
        <v>1</v>
      </c>
      <c r="E383" s="875">
        <f t="shared" si="10"/>
        <v>0.06</v>
      </c>
      <c r="F383" s="854"/>
    </row>
    <row r="384" spans="1:18" hidden="1" outlineLevel="1" x14ac:dyDescent="0.25">
      <c r="A384" s="272"/>
      <c r="B384" s="394" t="s">
        <v>30</v>
      </c>
      <c r="C384" s="873">
        <v>0.02</v>
      </c>
      <c r="D384" s="876">
        <v>1</v>
      </c>
      <c r="E384" s="875">
        <f t="shared" si="10"/>
        <v>0.02</v>
      </c>
      <c r="F384" s="854"/>
    </row>
    <row r="385" spans="1:18" hidden="1" outlineLevel="1" x14ac:dyDescent="0.25">
      <c r="A385" s="272"/>
      <c r="B385" s="394" t="s">
        <v>273</v>
      </c>
      <c r="C385" s="873">
        <v>0.01</v>
      </c>
      <c r="D385" s="879">
        <v>1</v>
      </c>
      <c r="E385" s="875">
        <f>C385*(1+0.3)</f>
        <v>1.3000000000000001E-2</v>
      </c>
      <c r="F385" s="870"/>
      <c r="G385" s="6"/>
      <c r="H385" s="6"/>
    </row>
    <row r="386" spans="1:18" hidden="1" outlineLevel="1" x14ac:dyDescent="0.25">
      <c r="A386" s="272"/>
      <c r="B386" s="394" t="s">
        <v>274</v>
      </c>
      <c r="C386" s="873">
        <v>0.09</v>
      </c>
      <c r="D386" s="879">
        <v>1</v>
      </c>
      <c r="E386" s="875">
        <f>C386*(1+0.3)</f>
        <v>0.11699999999999999</v>
      </c>
      <c r="F386" s="870"/>
      <c r="G386" s="6"/>
      <c r="H386" s="6"/>
    </row>
    <row r="387" spans="1:18" hidden="1" outlineLevel="1" x14ac:dyDescent="0.25">
      <c r="A387" s="272"/>
      <c r="B387" s="394" t="s">
        <v>32</v>
      </c>
      <c r="C387" s="873">
        <v>0.03</v>
      </c>
      <c r="D387" s="879">
        <v>1</v>
      </c>
      <c r="E387" s="875">
        <f>C387*(1+0.3)</f>
        <v>3.9E-2</v>
      </c>
      <c r="F387" s="870"/>
      <c r="G387" s="6"/>
      <c r="H387" s="6"/>
    </row>
    <row r="388" spans="1:18" hidden="1" outlineLevel="1" x14ac:dyDescent="0.25">
      <c r="A388" s="272"/>
      <c r="B388" s="394" t="s">
        <v>34</v>
      </c>
      <c r="C388" s="886">
        <v>0.05</v>
      </c>
      <c r="D388" s="854"/>
      <c r="E388" s="887">
        <f>SUM(E373:E387)*C388</f>
        <v>5.7550000000000004E-2</v>
      </c>
      <c r="F388" s="882"/>
      <c r="G388" s="7"/>
      <c r="H388" s="7"/>
      <c r="I388" s="8"/>
    </row>
    <row r="389" spans="1:18" s="19" customFormat="1" ht="15.75" collapsed="1" x14ac:dyDescent="0.25">
      <c r="A389" s="386"/>
      <c r="B389" s="862" t="s">
        <v>48</v>
      </c>
      <c r="C389" s="862"/>
      <c r="D389" s="862"/>
      <c r="E389" s="862"/>
      <c r="F389" s="862"/>
    </row>
    <row r="390" spans="1:18" s="19" customFormat="1" ht="15.75" x14ac:dyDescent="0.25">
      <c r="A390" s="386"/>
      <c r="B390" s="862" t="s">
        <v>49</v>
      </c>
      <c r="C390" s="862">
        <v>5.32</v>
      </c>
      <c r="D390" s="880"/>
      <c r="E390" s="862"/>
      <c r="F390" s="862"/>
    </row>
    <row r="391" spans="1:18" s="356" customFormat="1" ht="15.75" x14ac:dyDescent="0.25">
      <c r="A391" s="379"/>
      <c r="B391" s="862" t="s">
        <v>1106</v>
      </c>
      <c r="C391" s="862"/>
      <c r="D391" s="909">
        <f>D22+D23</f>
        <v>2200</v>
      </c>
      <c r="E391" s="862" t="s">
        <v>746</v>
      </c>
      <c r="F391" s="862"/>
    </row>
    <row r="392" spans="1:18" s="2" customFormat="1" ht="51" x14ac:dyDescent="0.25">
      <c r="A392" s="272"/>
      <c r="B392" s="394" t="s">
        <v>1109</v>
      </c>
      <c r="C392" s="394" t="s">
        <v>1107</v>
      </c>
      <c r="D392" s="394" t="s">
        <v>1108</v>
      </c>
      <c r="E392" s="854"/>
      <c r="F392" s="855">
        <f>(12.265+0.037*2200)*D393*D394*C413*1000</f>
        <v>240887.12247600002</v>
      </c>
      <c r="I392"/>
      <c r="J392"/>
      <c r="K392"/>
      <c r="Q392" s="17"/>
      <c r="R392" s="17"/>
    </row>
    <row r="393" spans="1:18" s="3" customFormat="1" x14ac:dyDescent="0.25">
      <c r="A393" s="276"/>
      <c r="B393" s="865" t="s">
        <v>4</v>
      </c>
      <c r="C393" s="865" t="s">
        <v>5</v>
      </c>
      <c r="D393" s="866">
        <v>0.4</v>
      </c>
      <c r="E393" s="866"/>
      <c r="F393" s="866"/>
      <c r="I393"/>
      <c r="J393"/>
      <c r="K393"/>
    </row>
    <row r="394" spans="1:18" s="2" customFormat="1" ht="76.5" x14ac:dyDescent="0.25">
      <c r="A394" s="272"/>
      <c r="B394" s="394" t="s">
        <v>15</v>
      </c>
      <c r="C394" s="394" t="s">
        <v>839</v>
      </c>
      <c r="D394" s="854">
        <f>E395/1</f>
        <v>1.20855</v>
      </c>
      <c r="E394" s="854"/>
      <c r="F394" s="854"/>
    </row>
    <row r="395" spans="1:18" x14ac:dyDescent="0.25">
      <c r="A395" s="272"/>
      <c r="B395" s="390" t="s">
        <v>6</v>
      </c>
      <c r="C395" s="869">
        <f>SUM(C396:C411)</f>
        <v>1</v>
      </c>
      <c r="D395" s="870"/>
      <c r="E395" s="871">
        <f>SUM(E396:E411)</f>
        <v>1.20855</v>
      </c>
      <c r="F395" s="872"/>
      <c r="G395" s="9"/>
      <c r="H395" s="9"/>
    </row>
    <row r="396" spans="1:18" hidden="1" outlineLevel="1" x14ac:dyDescent="0.25">
      <c r="A396" s="272"/>
      <c r="B396" s="394" t="s">
        <v>20</v>
      </c>
      <c r="C396" s="873">
        <v>0.02</v>
      </c>
      <c r="D396" s="879">
        <v>1</v>
      </c>
      <c r="E396" s="875">
        <f>C396*D396</f>
        <v>0.02</v>
      </c>
      <c r="F396" s="870"/>
      <c r="G396" s="6"/>
      <c r="H396" s="6"/>
    </row>
    <row r="397" spans="1:18" hidden="1" outlineLevel="1" x14ac:dyDescent="0.25">
      <c r="A397" s="272"/>
      <c r="B397" s="394" t="s">
        <v>265</v>
      </c>
      <c r="C397" s="873">
        <v>0.02</v>
      </c>
      <c r="D397" s="879" t="s">
        <v>16</v>
      </c>
      <c r="E397" s="875">
        <f>C397*(1+0.3)</f>
        <v>2.6000000000000002E-2</v>
      </c>
      <c r="F397" s="854"/>
    </row>
    <row r="398" spans="1:18" ht="38.25" hidden="1" outlineLevel="1" x14ac:dyDescent="0.25">
      <c r="A398" s="272"/>
      <c r="B398" s="394" t="s">
        <v>266</v>
      </c>
      <c r="C398" s="873"/>
      <c r="D398" s="879"/>
      <c r="E398" s="875"/>
      <c r="F398" s="854"/>
    </row>
    <row r="399" spans="1:18" hidden="1" outlineLevel="1" x14ac:dyDescent="0.25">
      <c r="A399" s="272"/>
      <c r="B399" s="877" t="s">
        <v>43</v>
      </c>
      <c r="C399" s="878">
        <v>0.245</v>
      </c>
      <c r="D399" s="879" t="s">
        <v>16</v>
      </c>
      <c r="E399" s="875">
        <f>C399*(1+0.3)</f>
        <v>0.31850000000000001</v>
      </c>
      <c r="F399" s="854"/>
    </row>
    <row r="400" spans="1:18" hidden="1" outlineLevel="1" x14ac:dyDescent="0.25">
      <c r="A400" s="272"/>
      <c r="B400" s="877" t="s">
        <v>267</v>
      </c>
      <c r="C400" s="875">
        <v>0.27500000000000002</v>
      </c>
      <c r="D400" s="879" t="s">
        <v>16</v>
      </c>
      <c r="E400" s="875">
        <f>C400*(1+0.3)</f>
        <v>0.35750000000000004</v>
      </c>
      <c r="F400" s="870"/>
      <c r="G400" s="6"/>
      <c r="H400" s="6"/>
    </row>
    <row r="401" spans="1:18" hidden="1" outlineLevel="1" x14ac:dyDescent="0.25">
      <c r="A401" s="272"/>
      <c r="B401" s="877" t="s">
        <v>268</v>
      </c>
      <c r="C401" s="878">
        <v>1.4999999999999999E-2</v>
      </c>
      <c r="D401" s="879">
        <v>1</v>
      </c>
      <c r="E401" s="875">
        <f>C401*D401</f>
        <v>1.4999999999999999E-2</v>
      </c>
      <c r="F401" s="870"/>
      <c r="G401" s="6"/>
      <c r="H401" s="6"/>
    </row>
    <row r="402" spans="1:18" hidden="1" outlineLevel="1" x14ac:dyDescent="0.25">
      <c r="A402" s="272"/>
      <c r="B402" s="877" t="s">
        <v>269</v>
      </c>
      <c r="C402" s="878">
        <v>2.5000000000000001E-2</v>
      </c>
      <c r="D402" s="879">
        <v>1</v>
      </c>
      <c r="E402" s="875">
        <f t="shared" ref="E402:E407" si="11">C402*D402</f>
        <v>2.5000000000000001E-2</v>
      </c>
      <c r="F402" s="870"/>
      <c r="G402" s="6"/>
      <c r="H402" s="6"/>
    </row>
    <row r="403" spans="1:18" hidden="1" outlineLevel="1" x14ac:dyDescent="0.25">
      <c r="A403" s="272"/>
      <c r="B403" s="877" t="s">
        <v>37</v>
      </c>
      <c r="C403" s="878">
        <v>0.1</v>
      </c>
      <c r="D403" s="879">
        <v>1</v>
      </c>
      <c r="E403" s="875">
        <f t="shared" si="11"/>
        <v>0.1</v>
      </c>
      <c r="F403" s="882"/>
      <c r="G403" s="7"/>
      <c r="H403" s="7"/>
      <c r="I403" s="8"/>
    </row>
    <row r="404" spans="1:18" hidden="1" outlineLevel="1" x14ac:dyDescent="0.25">
      <c r="A404" s="272"/>
      <c r="B404" s="877" t="s">
        <v>270</v>
      </c>
      <c r="C404" s="878">
        <v>2.5000000000000001E-2</v>
      </c>
      <c r="D404" s="879">
        <v>1</v>
      </c>
      <c r="E404" s="875">
        <f t="shared" si="11"/>
        <v>2.5000000000000001E-2</v>
      </c>
      <c r="F404" s="870"/>
      <c r="G404" s="6"/>
      <c r="H404" s="6"/>
    </row>
    <row r="405" spans="1:18" hidden="1" outlineLevel="1" x14ac:dyDescent="0.25">
      <c r="A405" s="272"/>
      <c r="B405" s="877" t="s">
        <v>271</v>
      </c>
      <c r="C405" s="878">
        <v>1.4999999999999999E-2</v>
      </c>
      <c r="D405" s="854">
        <v>1</v>
      </c>
      <c r="E405" s="875">
        <f t="shared" si="11"/>
        <v>1.4999999999999999E-2</v>
      </c>
      <c r="F405" s="854"/>
    </row>
    <row r="406" spans="1:18" hidden="1" outlineLevel="1" x14ac:dyDescent="0.25">
      <c r="A406" s="272"/>
      <c r="B406" s="394" t="s">
        <v>272</v>
      </c>
      <c r="C406" s="873">
        <v>0.06</v>
      </c>
      <c r="D406" s="876">
        <v>1</v>
      </c>
      <c r="E406" s="875">
        <f t="shared" si="11"/>
        <v>0.06</v>
      </c>
      <c r="F406" s="854"/>
    </row>
    <row r="407" spans="1:18" hidden="1" outlineLevel="1" x14ac:dyDescent="0.25">
      <c r="A407" s="272"/>
      <c r="B407" s="394" t="s">
        <v>30</v>
      </c>
      <c r="C407" s="873">
        <v>0.02</v>
      </c>
      <c r="D407" s="876">
        <v>1</v>
      </c>
      <c r="E407" s="875">
        <f t="shared" si="11"/>
        <v>0.02</v>
      </c>
      <c r="F407" s="854"/>
    </row>
    <row r="408" spans="1:18" hidden="1" outlineLevel="1" x14ac:dyDescent="0.25">
      <c r="A408" s="272"/>
      <c r="B408" s="394" t="s">
        <v>273</v>
      </c>
      <c r="C408" s="873">
        <v>0.01</v>
      </c>
      <c r="D408" s="879">
        <v>1</v>
      </c>
      <c r="E408" s="875">
        <f>C408*(1+0.3)</f>
        <v>1.3000000000000001E-2</v>
      </c>
      <c r="F408" s="870"/>
      <c r="G408" s="6"/>
      <c r="H408" s="6"/>
    </row>
    <row r="409" spans="1:18" hidden="1" outlineLevel="1" x14ac:dyDescent="0.25">
      <c r="A409" s="272"/>
      <c r="B409" s="394" t="s">
        <v>274</v>
      </c>
      <c r="C409" s="873">
        <v>0.09</v>
      </c>
      <c r="D409" s="879">
        <v>1</v>
      </c>
      <c r="E409" s="875">
        <f>C409*(1+0.3)</f>
        <v>0.11699999999999999</v>
      </c>
      <c r="F409" s="870"/>
      <c r="G409" s="6"/>
      <c r="H409" s="6"/>
    </row>
    <row r="410" spans="1:18" hidden="1" outlineLevel="1" x14ac:dyDescent="0.25">
      <c r="A410" s="272"/>
      <c r="B410" s="394" t="s">
        <v>32</v>
      </c>
      <c r="C410" s="873">
        <v>0.03</v>
      </c>
      <c r="D410" s="879">
        <v>1</v>
      </c>
      <c r="E410" s="875">
        <f>C410*(1+0.3)</f>
        <v>3.9E-2</v>
      </c>
      <c r="F410" s="870"/>
      <c r="G410" s="6"/>
      <c r="H410" s="6"/>
    </row>
    <row r="411" spans="1:18" hidden="1" outlineLevel="1" x14ac:dyDescent="0.25">
      <c r="A411" s="272"/>
      <c r="B411" s="394" t="s">
        <v>34</v>
      </c>
      <c r="C411" s="886">
        <v>0.05</v>
      </c>
      <c r="D411" s="854"/>
      <c r="E411" s="887">
        <f>SUM(E396:E410)*C411</f>
        <v>5.7550000000000004E-2</v>
      </c>
      <c r="F411" s="882"/>
      <c r="G411" s="7"/>
      <c r="H411" s="7"/>
      <c r="I411" s="8"/>
    </row>
    <row r="412" spans="1:18" s="19" customFormat="1" ht="15.75" collapsed="1" x14ac:dyDescent="0.25">
      <c r="A412" s="386"/>
      <c r="B412" s="862" t="s">
        <v>48</v>
      </c>
      <c r="C412" s="862"/>
      <c r="D412" s="862"/>
      <c r="E412" s="862"/>
      <c r="F412" s="862"/>
    </row>
    <row r="413" spans="1:18" s="19" customFormat="1" ht="15.75" x14ac:dyDescent="0.25">
      <c r="A413" s="386"/>
      <c r="B413" s="862" t="s">
        <v>49</v>
      </c>
      <c r="C413" s="862">
        <v>5.32</v>
      </c>
      <c r="D413" s="880"/>
      <c r="E413" s="862"/>
      <c r="F413" s="862"/>
    </row>
    <row r="414" spans="1:18" s="11" customFormat="1" x14ac:dyDescent="0.25">
      <c r="A414" s="379"/>
      <c r="B414" s="861" t="s">
        <v>689</v>
      </c>
      <c r="C414" s="862"/>
      <c r="D414" s="862">
        <f>D26</f>
        <v>50</v>
      </c>
      <c r="E414" s="862" t="s">
        <v>696</v>
      </c>
      <c r="F414" s="862"/>
      <c r="I414" s="13"/>
    </row>
    <row r="415" spans="1:18" s="2" customFormat="1" ht="51" x14ac:dyDescent="0.25">
      <c r="A415" s="272"/>
      <c r="B415" s="394" t="s">
        <v>841</v>
      </c>
      <c r="C415" s="394" t="s">
        <v>842</v>
      </c>
      <c r="D415" s="394" t="s">
        <v>1044</v>
      </c>
      <c r="E415" s="854"/>
      <c r="F415" s="855">
        <f>(25.98+4.623*50)*1*D416*D417*C437*1000</f>
        <v>637867.59942528</v>
      </c>
      <c r="I415"/>
      <c r="J415"/>
      <c r="K415"/>
      <c r="Q415" s="17"/>
      <c r="R415" s="17"/>
    </row>
    <row r="416" spans="1:18" s="3" customFormat="1" x14ac:dyDescent="0.25">
      <c r="A416" s="276"/>
      <c r="B416" s="865" t="s">
        <v>4</v>
      </c>
      <c r="C416" s="865" t="s">
        <v>844</v>
      </c>
      <c r="D416" s="866">
        <v>0.42</v>
      </c>
      <c r="E416" s="866"/>
      <c r="F416" s="866"/>
      <c r="I416"/>
      <c r="J416"/>
      <c r="K416"/>
    </row>
    <row r="417" spans="1:8" ht="76.5" x14ac:dyDescent="0.25">
      <c r="A417" s="272"/>
      <c r="B417" s="394" t="s">
        <v>15</v>
      </c>
      <c r="C417" s="394" t="s">
        <v>843</v>
      </c>
      <c r="D417" s="854">
        <f>E418/1</f>
        <v>1.1102400000000001</v>
      </c>
      <c r="E417" s="854"/>
      <c r="F417" s="854"/>
    </row>
    <row r="418" spans="1:8" x14ac:dyDescent="0.25">
      <c r="A418" s="272"/>
      <c r="B418" s="390" t="s">
        <v>6</v>
      </c>
      <c r="C418" s="869">
        <f>SUM(C419:C435)</f>
        <v>0.99999999999999989</v>
      </c>
      <c r="D418" s="870"/>
      <c r="E418" s="908">
        <f>SUM(E419:E435)</f>
        <v>1.1102400000000001</v>
      </c>
      <c r="F418" s="875"/>
      <c r="G418" s="4"/>
      <c r="H418" s="4"/>
    </row>
    <row r="419" spans="1:8" hidden="1" outlineLevel="1" x14ac:dyDescent="0.25">
      <c r="A419" s="272"/>
      <c r="B419" s="394" t="s">
        <v>20</v>
      </c>
      <c r="C419" s="873">
        <v>0.02</v>
      </c>
      <c r="D419" s="854">
        <v>1</v>
      </c>
      <c r="E419" s="875">
        <f>C419*D419</f>
        <v>0.02</v>
      </c>
      <c r="F419" s="854"/>
    </row>
    <row r="420" spans="1:8" hidden="1" outlineLevel="1" x14ac:dyDescent="0.25">
      <c r="A420" s="272"/>
      <c r="B420" s="394" t="s">
        <v>21</v>
      </c>
      <c r="C420" s="873">
        <v>0.02</v>
      </c>
      <c r="D420" s="854">
        <v>1</v>
      </c>
      <c r="E420" s="875">
        <f>C420*D420</f>
        <v>0.02</v>
      </c>
      <c r="F420" s="854"/>
    </row>
    <row r="421" spans="1:8" hidden="1" outlineLevel="1" x14ac:dyDescent="0.25">
      <c r="A421" s="272"/>
      <c r="B421" s="394" t="s">
        <v>22</v>
      </c>
      <c r="C421" s="873">
        <v>0.06</v>
      </c>
      <c r="D421" s="879" t="s">
        <v>16</v>
      </c>
      <c r="E421" s="875">
        <f>C421*(1+0.3)</f>
        <v>7.8E-2</v>
      </c>
      <c r="F421" s="854"/>
    </row>
    <row r="422" spans="1:8" hidden="1" outlineLevel="1" x14ac:dyDescent="0.25">
      <c r="A422" s="272"/>
      <c r="B422" s="394" t="s">
        <v>23</v>
      </c>
      <c r="C422" s="873">
        <v>0.12</v>
      </c>
      <c r="D422" s="879" t="s">
        <v>16</v>
      </c>
      <c r="E422" s="875">
        <f>C422*(1+0.3)</f>
        <v>0.156</v>
      </c>
      <c r="F422" s="854"/>
    </row>
    <row r="423" spans="1:8" ht="25.5" hidden="1" outlineLevel="1" x14ac:dyDescent="0.25">
      <c r="A423" s="272"/>
      <c r="B423" s="394" t="s">
        <v>343</v>
      </c>
      <c r="C423" s="873"/>
      <c r="D423" s="879"/>
      <c r="E423" s="875"/>
      <c r="F423" s="854"/>
    </row>
    <row r="424" spans="1:8" hidden="1" outlineLevel="1" x14ac:dyDescent="0.25">
      <c r="A424" s="272"/>
      <c r="B424" s="877" t="s">
        <v>37</v>
      </c>
      <c r="C424" s="873">
        <v>0.16</v>
      </c>
      <c r="D424" s="879" t="s">
        <v>16</v>
      </c>
      <c r="E424" s="875">
        <f>C424*(1+0.3)</f>
        <v>0.20800000000000002</v>
      </c>
      <c r="F424" s="854"/>
    </row>
    <row r="425" spans="1:8" hidden="1" outlineLevel="1" x14ac:dyDescent="0.25">
      <c r="A425" s="272"/>
      <c r="B425" s="877" t="s">
        <v>38</v>
      </c>
      <c r="C425" s="873">
        <v>0.02</v>
      </c>
      <c r="D425" s="854">
        <v>1</v>
      </c>
      <c r="E425" s="875">
        <f>C425*D425</f>
        <v>0.02</v>
      </c>
      <c r="F425" s="854"/>
    </row>
    <row r="426" spans="1:8" hidden="1" outlineLevel="1" x14ac:dyDescent="0.25">
      <c r="A426" s="272"/>
      <c r="B426" s="877" t="s">
        <v>39</v>
      </c>
      <c r="C426" s="873">
        <v>0.02</v>
      </c>
      <c r="D426" s="854">
        <v>1</v>
      </c>
      <c r="E426" s="875">
        <f t="shared" ref="E426:E427" si="12">C426*D426</f>
        <v>0.02</v>
      </c>
      <c r="F426" s="854"/>
    </row>
    <row r="427" spans="1:8" hidden="1" outlineLevel="1" x14ac:dyDescent="0.25">
      <c r="A427" s="272"/>
      <c r="B427" s="877" t="s">
        <v>40</v>
      </c>
      <c r="C427" s="873">
        <v>0.1</v>
      </c>
      <c r="D427" s="854">
        <v>1</v>
      </c>
      <c r="E427" s="875">
        <f t="shared" si="12"/>
        <v>0.1</v>
      </c>
      <c r="F427" s="854"/>
    </row>
    <row r="428" spans="1:8" hidden="1" outlineLevel="1" x14ac:dyDescent="0.25">
      <c r="A428" s="272"/>
      <c r="B428" s="877" t="s">
        <v>41</v>
      </c>
      <c r="C428" s="873">
        <v>0.02</v>
      </c>
      <c r="D428" s="879" t="s">
        <v>16</v>
      </c>
      <c r="E428" s="875">
        <f>C428*(1+0.3)</f>
        <v>2.6000000000000002E-2</v>
      </c>
      <c r="F428" s="854"/>
    </row>
    <row r="429" spans="1:8" hidden="1" outlineLevel="1" x14ac:dyDescent="0.25">
      <c r="A429" s="272"/>
      <c r="B429" s="877" t="s">
        <v>42</v>
      </c>
      <c r="C429" s="873">
        <v>0.01</v>
      </c>
      <c r="D429" s="854">
        <v>1</v>
      </c>
      <c r="E429" s="875">
        <f t="shared" ref="E429:E433" si="13">C429*D429</f>
        <v>0.01</v>
      </c>
      <c r="F429" s="854"/>
    </row>
    <row r="430" spans="1:8" hidden="1" outlineLevel="1" x14ac:dyDescent="0.25">
      <c r="A430" s="272"/>
      <c r="B430" s="877" t="s">
        <v>43</v>
      </c>
      <c r="C430" s="873">
        <v>0.18</v>
      </c>
      <c r="D430" s="854">
        <v>1</v>
      </c>
      <c r="E430" s="875">
        <f t="shared" si="13"/>
        <v>0.18</v>
      </c>
      <c r="F430" s="854"/>
    </row>
    <row r="431" spans="1:8" hidden="1" outlineLevel="1" x14ac:dyDescent="0.25">
      <c r="A431" s="272"/>
      <c r="B431" s="394" t="s">
        <v>30</v>
      </c>
      <c r="C431" s="873">
        <v>0.03</v>
      </c>
      <c r="D431" s="854">
        <v>1</v>
      </c>
      <c r="E431" s="875">
        <f t="shared" si="13"/>
        <v>0.03</v>
      </c>
      <c r="F431" s="854"/>
    </row>
    <row r="432" spans="1:8" hidden="1" outlineLevel="1" x14ac:dyDescent="0.25">
      <c r="A432" s="272"/>
      <c r="B432" s="394" t="s">
        <v>44</v>
      </c>
      <c r="C432" s="873">
        <v>0.09</v>
      </c>
      <c r="D432" s="854">
        <v>1</v>
      </c>
      <c r="E432" s="875">
        <f t="shared" si="13"/>
        <v>0.09</v>
      </c>
      <c r="F432" s="854"/>
    </row>
    <row r="433" spans="1:18" hidden="1" outlineLevel="1" x14ac:dyDescent="0.25">
      <c r="A433" s="272"/>
      <c r="B433" s="394" t="s">
        <v>32</v>
      </c>
      <c r="C433" s="873">
        <v>0.06</v>
      </c>
      <c r="D433" s="854">
        <v>1</v>
      </c>
      <c r="E433" s="875">
        <f t="shared" si="13"/>
        <v>0.06</v>
      </c>
      <c r="F433" s="854"/>
    </row>
    <row r="434" spans="1:18" hidden="1" outlineLevel="1" x14ac:dyDescent="0.25">
      <c r="A434" s="272"/>
      <c r="B434" s="394" t="s">
        <v>45</v>
      </c>
      <c r="C434" s="873">
        <v>0.01</v>
      </c>
      <c r="D434" s="854">
        <v>1</v>
      </c>
      <c r="E434" s="875">
        <f>C434*D434</f>
        <v>0.01</v>
      </c>
      <c r="F434" s="854"/>
    </row>
    <row r="435" spans="1:18" hidden="1" outlineLevel="1" x14ac:dyDescent="0.25">
      <c r="A435" s="272"/>
      <c r="B435" s="394" t="s">
        <v>34</v>
      </c>
      <c r="C435" s="873">
        <v>0.08</v>
      </c>
      <c r="D435" s="879"/>
      <c r="E435" s="890">
        <f>SUM(E419:E434)*C435</f>
        <v>8.2240000000000008E-2</v>
      </c>
      <c r="F435" s="890"/>
      <c r="G435" s="14"/>
      <c r="H435" s="14"/>
    </row>
    <row r="436" spans="1:18" s="19" customFormat="1" ht="15.75" collapsed="1" x14ac:dyDescent="0.25">
      <c r="A436" s="386"/>
      <c r="B436" s="862" t="s">
        <v>48</v>
      </c>
      <c r="C436" s="862"/>
      <c r="D436" s="862"/>
      <c r="E436" s="862"/>
      <c r="F436" s="862"/>
    </row>
    <row r="437" spans="1:18" s="19" customFormat="1" ht="15.75" x14ac:dyDescent="0.25">
      <c r="A437" s="386"/>
      <c r="B437" s="862" t="s">
        <v>49</v>
      </c>
      <c r="C437" s="862">
        <v>5.32</v>
      </c>
      <c r="D437" s="880"/>
      <c r="E437" s="862"/>
      <c r="F437" s="862"/>
    </row>
    <row r="438" spans="1:18" s="11" customFormat="1" x14ac:dyDescent="0.25">
      <c r="A438" s="379"/>
      <c r="B438" s="861" t="s">
        <v>848</v>
      </c>
      <c r="C438" s="862"/>
      <c r="D438" s="862">
        <f>30</f>
        <v>30</v>
      </c>
      <c r="E438" s="862" t="s">
        <v>892</v>
      </c>
      <c r="F438" s="862"/>
      <c r="I438" s="13"/>
    </row>
    <row r="439" spans="1:18" s="2" customFormat="1" ht="51" x14ac:dyDescent="0.25">
      <c r="A439" s="272"/>
      <c r="B439" s="394" t="s">
        <v>1046</v>
      </c>
      <c r="C439" s="394" t="s">
        <v>1047</v>
      </c>
      <c r="D439" s="394" t="s">
        <v>1045</v>
      </c>
      <c r="E439" s="854"/>
      <c r="F439" s="855">
        <f>(36.61+4.57*30)*1*D440*D441*C461*1000</f>
        <v>513007.04246400017</v>
      </c>
      <c r="I439"/>
      <c r="J439"/>
      <c r="K439"/>
      <c r="Q439" s="17"/>
      <c r="R439" s="17"/>
    </row>
    <row r="440" spans="1:18" s="3" customFormat="1" x14ac:dyDescent="0.25">
      <c r="A440" s="276"/>
      <c r="B440" s="865" t="s">
        <v>4</v>
      </c>
      <c r="C440" s="865" t="s">
        <v>852</v>
      </c>
      <c r="D440" s="866">
        <v>0.5</v>
      </c>
      <c r="E440" s="866"/>
      <c r="F440" s="866"/>
      <c r="I440"/>
      <c r="J440"/>
      <c r="K440"/>
    </row>
    <row r="441" spans="1:18" ht="76.5" x14ac:dyDescent="0.25">
      <c r="A441" s="272"/>
      <c r="B441" s="394" t="s">
        <v>15</v>
      </c>
      <c r="C441" s="394" t="s">
        <v>843</v>
      </c>
      <c r="D441" s="854">
        <f>E442/1</f>
        <v>1.1102400000000001</v>
      </c>
      <c r="E441" s="854"/>
      <c r="F441" s="854"/>
    </row>
    <row r="442" spans="1:18" x14ac:dyDescent="0.25">
      <c r="A442" s="272"/>
      <c r="B442" s="390" t="s">
        <v>6</v>
      </c>
      <c r="C442" s="869">
        <f>SUM(C443:C459)</f>
        <v>0.99999999999999989</v>
      </c>
      <c r="D442" s="870"/>
      <c r="E442" s="908">
        <f>SUM(E443:E459)</f>
        <v>1.1102400000000001</v>
      </c>
      <c r="F442" s="875"/>
      <c r="G442" s="4"/>
      <c r="H442" s="4"/>
    </row>
    <row r="443" spans="1:18" hidden="1" outlineLevel="1" x14ac:dyDescent="0.25">
      <c r="A443" s="272"/>
      <c r="B443" s="394" t="s">
        <v>20</v>
      </c>
      <c r="C443" s="873">
        <v>0.02</v>
      </c>
      <c r="D443" s="854">
        <v>1</v>
      </c>
      <c r="E443" s="875">
        <f>C443*D443</f>
        <v>0.02</v>
      </c>
      <c r="F443" s="854"/>
    </row>
    <row r="444" spans="1:18" hidden="1" outlineLevel="1" x14ac:dyDescent="0.25">
      <c r="A444" s="272"/>
      <c r="B444" s="394" t="s">
        <v>21</v>
      </c>
      <c r="C444" s="873">
        <v>0.02</v>
      </c>
      <c r="D444" s="854">
        <v>1</v>
      </c>
      <c r="E444" s="875">
        <f>C444*D444</f>
        <v>0.02</v>
      </c>
      <c r="F444" s="854"/>
    </row>
    <row r="445" spans="1:18" hidden="1" outlineLevel="1" x14ac:dyDescent="0.25">
      <c r="A445" s="272"/>
      <c r="B445" s="394" t="s">
        <v>22</v>
      </c>
      <c r="C445" s="873">
        <v>0.06</v>
      </c>
      <c r="D445" s="879" t="s">
        <v>16</v>
      </c>
      <c r="E445" s="875">
        <f>C445*(1+0.3)</f>
        <v>7.8E-2</v>
      </c>
      <c r="F445" s="854"/>
    </row>
    <row r="446" spans="1:18" hidden="1" outlineLevel="1" x14ac:dyDescent="0.25">
      <c r="A446" s="272"/>
      <c r="B446" s="394" t="s">
        <v>23</v>
      </c>
      <c r="C446" s="873">
        <v>0.12</v>
      </c>
      <c r="D446" s="879" t="s">
        <v>16</v>
      </c>
      <c r="E446" s="875">
        <f>C446*(1+0.3)</f>
        <v>0.156</v>
      </c>
      <c r="F446" s="854"/>
    </row>
    <row r="447" spans="1:18" ht="25.5" hidden="1" outlineLevel="1" x14ac:dyDescent="0.25">
      <c r="A447" s="272"/>
      <c r="B447" s="394" t="s">
        <v>343</v>
      </c>
      <c r="C447" s="873"/>
      <c r="D447" s="879"/>
      <c r="E447" s="875"/>
      <c r="F447" s="854"/>
    </row>
    <row r="448" spans="1:18" hidden="1" outlineLevel="1" x14ac:dyDescent="0.25">
      <c r="A448" s="272"/>
      <c r="B448" s="877" t="s">
        <v>37</v>
      </c>
      <c r="C448" s="873">
        <v>0.16</v>
      </c>
      <c r="D448" s="879" t="s">
        <v>16</v>
      </c>
      <c r="E448" s="875">
        <f>C448*(1+0.3)</f>
        <v>0.20800000000000002</v>
      </c>
      <c r="F448" s="854"/>
    </row>
    <row r="449" spans="1:18" hidden="1" outlineLevel="1" x14ac:dyDescent="0.25">
      <c r="A449" s="272"/>
      <c r="B449" s="877" t="s">
        <v>38</v>
      </c>
      <c r="C449" s="873">
        <v>0.02</v>
      </c>
      <c r="D449" s="854">
        <v>1</v>
      </c>
      <c r="E449" s="875">
        <f>C449*D449</f>
        <v>0.02</v>
      </c>
      <c r="F449" s="854"/>
    </row>
    <row r="450" spans="1:18" hidden="1" outlineLevel="1" x14ac:dyDescent="0.25">
      <c r="A450" s="272"/>
      <c r="B450" s="877" t="s">
        <v>39</v>
      </c>
      <c r="C450" s="873">
        <v>0.02</v>
      </c>
      <c r="D450" s="854">
        <v>1</v>
      </c>
      <c r="E450" s="875">
        <f t="shared" ref="E450:E451" si="14">C450*D450</f>
        <v>0.02</v>
      </c>
      <c r="F450" s="854"/>
    </row>
    <row r="451" spans="1:18" hidden="1" outlineLevel="1" x14ac:dyDescent="0.25">
      <c r="A451" s="272"/>
      <c r="B451" s="877" t="s">
        <v>40</v>
      </c>
      <c r="C451" s="873">
        <v>0.1</v>
      </c>
      <c r="D451" s="854">
        <v>1</v>
      </c>
      <c r="E451" s="875">
        <f t="shared" si="14"/>
        <v>0.1</v>
      </c>
      <c r="F451" s="854"/>
    </row>
    <row r="452" spans="1:18" hidden="1" outlineLevel="1" x14ac:dyDescent="0.25">
      <c r="A452" s="272"/>
      <c r="B452" s="877" t="s">
        <v>41</v>
      </c>
      <c r="C452" s="873">
        <v>0.02</v>
      </c>
      <c r="D452" s="879" t="s">
        <v>16</v>
      </c>
      <c r="E452" s="875">
        <f>C452*(1+0.3)</f>
        <v>2.6000000000000002E-2</v>
      </c>
      <c r="F452" s="854"/>
    </row>
    <row r="453" spans="1:18" hidden="1" outlineLevel="1" x14ac:dyDescent="0.25">
      <c r="A453" s="272"/>
      <c r="B453" s="877" t="s">
        <v>42</v>
      </c>
      <c r="C453" s="873">
        <v>0.01</v>
      </c>
      <c r="D453" s="854">
        <v>1</v>
      </c>
      <c r="E453" s="875">
        <f t="shared" ref="E453:E457" si="15">C453*D453</f>
        <v>0.01</v>
      </c>
      <c r="F453" s="854"/>
    </row>
    <row r="454" spans="1:18" hidden="1" outlineLevel="1" x14ac:dyDescent="0.25">
      <c r="A454" s="272"/>
      <c r="B454" s="877" t="s">
        <v>43</v>
      </c>
      <c r="C454" s="873">
        <v>0.18</v>
      </c>
      <c r="D454" s="854">
        <v>1</v>
      </c>
      <c r="E454" s="875">
        <f t="shared" si="15"/>
        <v>0.18</v>
      </c>
      <c r="F454" s="854"/>
    </row>
    <row r="455" spans="1:18" hidden="1" outlineLevel="1" x14ac:dyDescent="0.25">
      <c r="A455" s="272"/>
      <c r="B455" s="394" t="s">
        <v>30</v>
      </c>
      <c r="C455" s="873">
        <v>0.03</v>
      </c>
      <c r="D455" s="854">
        <v>1</v>
      </c>
      <c r="E455" s="875">
        <f t="shared" si="15"/>
        <v>0.03</v>
      </c>
      <c r="F455" s="854"/>
    </row>
    <row r="456" spans="1:18" hidden="1" outlineLevel="1" x14ac:dyDescent="0.25">
      <c r="A456" s="272"/>
      <c r="B456" s="394" t="s">
        <v>44</v>
      </c>
      <c r="C456" s="873">
        <v>0.09</v>
      </c>
      <c r="D456" s="854">
        <v>1</v>
      </c>
      <c r="E456" s="875">
        <f t="shared" si="15"/>
        <v>0.09</v>
      </c>
      <c r="F456" s="854"/>
    </row>
    <row r="457" spans="1:18" hidden="1" outlineLevel="1" x14ac:dyDescent="0.25">
      <c r="A457" s="272"/>
      <c r="B457" s="394" t="s">
        <v>32</v>
      </c>
      <c r="C457" s="873">
        <v>0.06</v>
      </c>
      <c r="D457" s="854">
        <v>1</v>
      </c>
      <c r="E457" s="875">
        <f t="shared" si="15"/>
        <v>0.06</v>
      </c>
      <c r="F457" s="854"/>
    </row>
    <row r="458" spans="1:18" hidden="1" outlineLevel="1" x14ac:dyDescent="0.25">
      <c r="A458" s="272"/>
      <c r="B458" s="394" t="s">
        <v>45</v>
      </c>
      <c r="C458" s="873">
        <v>0.01</v>
      </c>
      <c r="D458" s="854">
        <v>1</v>
      </c>
      <c r="E458" s="875">
        <f>C458*D458</f>
        <v>0.01</v>
      </c>
      <c r="F458" s="854"/>
    </row>
    <row r="459" spans="1:18" hidden="1" outlineLevel="1" x14ac:dyDescent="0.25">
      <c r="A459" s="272"/>
      <c r="B459" s="394" t="s">
        <v>34</v>
      </c>
      <c r="C459" s="873">
        <v>0.08</v>
      </c>
      <c r="D459" s="879"/>
      <c r="E459" s="890">
        <f>SUM(E443:E458)*C459</f>
        <v>8.2240000000000008E-2</v>
      </c>
      <c r="F459" s="890"/>
      <c r="G459" s="14"/>
      <c r="H459" s="14"/>
    </row>
    <row r="460" spans="1:18" s="19" customFormat="1" ht="15.75" collapsed="1" x14ac:dyDescent="0.25">
      <c r="A460" s="386"/>
      <c r="B460" s="862" t="s">
        <v>48</v>
      </c>
      <c r="C460" s="862"/>
      <c r="D460" s="862"/>
      <c r="E460" s="862"/>
      <c r="F460" s="862"/>
    </row>
    <row r="461" spans="1:18" s="19" customFormat="1" ht="15.75" x14ac:dyDescent="0.25">
      <c r="A461" s="386"/>
      <c r="B461" s="862" t="s">
        <v>49</v>
      </c>
      <c r="C461" s="862">
        <v>5.32</v>
      </c>
      <c r="D461" s="880"/>
      <c r="E461" s="862"/>
      <c r="F461" s="862"/>
    </row>
    <row r="462" spans="1:18" s="11" customFormat="1" x14ac:dyDescent="0.25">
      <c r="A462" s="379"/>
      <c r="B462" s="861" t="s">
        <v>859</v>
      </c>
      <c r="C462" s="862"/>
      <c r="D462" s="862">
        <v>1</v>
      </c>
      <c r="E462" s="862" t="s">
        <v>862</v>
      </c>
      <c r="F462" s="862"/>
      <c r="I462" s="13"/>
    </row>
    <row r="463" spans="1:18" s="2" customFormat="1" ht="38.25" x14ac:dyDescent="0.25">
      <c r="A463" s="272"/>
      <c r="B463" s="394" t="s">
        <v>860</v>
      </c>
      <c r="C463" s="394" t="s">
        <v>861</v>
      </c>
      <c r="D463" s="394" t="s">
        <v>865</v>
      </c>
      <c r="E463" s="854"/>
      <c r="F463" s="855">
        <f>39.55*D462*D465*D464*D466*C486*1000</f>
        <v>23360.115744000006</v>
      </c>
      <c r="I463"/>
      <c r="J463"/>
      <c r="K463"/>
      <c r="Q463" s="17"/>
      <c r="R463" s="17"/>
    </row>
    <row r="464" spans="1:18" s="3" customFormat="1" x14ac:dyDescent="0.25">
      <c r="A464" s="276"/>
      <c r="B464" s="865" t="s">
        <v>4</v>
      </c>
      <c r="C464" s="865" t="s">
        <v>852</v>
      </c>
      <c r="D464" s="866">
        <v>0.5</v>
      </c>
      <c r="E464" s="866"/>
      <c r="F464" s="866"/>
      <c r="I464"/>
      <c r="J464"/>
      <c r="K464"/>
    </row>
    <row r="465" spans="1:11" s="3" customFormat="1" x14ac:dyDescent="0.25">
      <c r="A465" s="276"/>
      <c r="B465" s="865" t="s">
        <v>863</v>
      </c>
      <c r="C465" s="865" t="s">
        <v>864</v>
      </c>
      <c r="D465" s="866">
        <v>0.2</v>
      </c>
      <c r="E465" s="866"/>
      <c r="F465" s="866"/>
      <c r="I465"/>
      <c r="J465"/>
      <c r="K465"/>
    </row>
    <row r="466" spans="1:11" ht="76.5" x14ac:dyDescent="0.25">
      <c r="A466" s="272"/>
      <c r="B466" s="394" t="s">
        <v>15</v>
      </c>
      <c r="C466" s="394" t="s">
        <v>843</v>
      </c>
      <c r="D466" s="854">
        <f>E467/1</f>
        <v>1.1102400000000001</v>
      </c>
      <c r="E466" s="854"/>
      <c r="F466" s="854"/>
    </row>
    <row r="467" spans="1:11" x14ac:dyDescent="0.25">
      <c r="A467" s="272"/>
      <c r="B467" s="390" t="s">
        <v>6</v>
      </c>
      <c r="C467" s="869">
        <f>SUM(C468:C484)</f>
        <v>0.99999999999999989</v>
      </c>
      <c r="D467" s="870"/>
      <c r="E467" s="908">
        <f>SUM(E468:E484)</f>
        <v>1.1102400000000001</v>
      </c>
      <c r="F467" s="875"/>
      <c r="G467" s="4"/>
      <c r="H467" s="4"/>
    </row>
    <row r="468" spans="1:11" hidden="1" outlineLevel="1" x14ac:dyDescent="0.25">
      <c r="A468" s="272"/>
      <c r="B468" s="394" t="s">
        <v>20</v>
      </c>
      <c r="C468" s="873">
        <v>0.02</v>
      </c>
      <c r="D468" s="854">
        <v>1</v>
      </c>
      <c r="E468" s="875">
        <f>C468*D468</f>
        <v>0.02</v>
      </c>
      <c r="F468" s="854"/>
    </row>
    <row r="469" spans="1:11" hidden="1" outlineLevel="1" x14ac:dyDescent="0.25">
      <c r="A469" s="272"/>
      <c r="B469" s="394" t="s">
        <v>21</v>
      </c>
      <c r="C469" s="873">
        <v>0.02</v>
      </c>
      <c r="D469" s="854">
        <v>1</v>
      </c>
      <c r="E469" s="875">
        <f>C469*D469</f>
        <v>0.02</v>
      </c>
      <c r="F469" s="854"/>
    </row>
    <row r="470" spans="1:11" hidden="1" outlineLevel="1" x14ac:dyDescent="0.25">
      <c r="A470" s="272"/>
      <c r="B470" s="394" t="s">
        <v>22</v>
      </c>
      <c r="C470" s="873">
        <v>0.06</v>
      </c>
      <c r="D470" s="879" t="s">
        <v>16</v>
      </c>
      <c r="E470" s="875">
        <f>C470*(1+0.3)</f>
        <v>7.8E-2</v>
      </c>
      <c r="F470" s="854"/>
    </row>
    <row r="471" spans="1:11" hidden="1" outlineLevel="1" x14ac:dyDescent="0.25">
      <c r="A471" s="272"/>
      <c r="B471" s="394" t="s">
        <v>23</v>
      </c>
      <c r="C471" s="873">
        <v>0.12</v>
      </c>
      <c r="D471" s="879" t="s">
        <v>16</v>
      </c>
      <c r="E471" s="875">
        <f>C471*(1+0.3)</f>
        <v>0.156</v>
      </c>
      <c r="F471" s="854"/>
    </row>
    <row r="472" spans="1:11" ht="25.5" hidden="1" outlineLevel="1" x14ac:dyDescent="0.25">
      <c r="A472" s="272"/>
      <c r="B472" s="394" t="s">
        <v>343</v>
      </c>
      <c r="C472" s="873"/>
      <c r="D472" s="879"/>
      <c r="E472" s="875"/>
      <c r="F472" s="854"/>
    </row>
    <row r="473" spans="1:11" hidden="1" outlineLevel="1" x14ac:dyDescent="0.25">
      <c r="A473" s="272"/>
      <c r="B473" s="877" t="s">
        <v>37</v>
      </c>
      <c r="C473" s="873">
        <v>0.16</v>
      </c>
      <c r="D473" s="879" t="s">
        <v>16</v>
      </c>
      <c r="E473" s="875">
        <f>C473*(1+0.3)</f>
        <v>0.20800000000000002</v>
      </c>
      <c r="F473" s="854"/>
    </row>
    <row r="474" spans="1:11" hidden="1" outlineLevel="1" x14ac:dyDescent="0.25">
      <c r="A474" s="272"/>
      <c r="B474" s="877" t="s">
        <v>38</v>
      </c>
      <c r="C474" s="873">
        <v>0.02</v>
      </c>
      <c r="D474" s="854">
        <v>1</v>
      </c>
      <c r="E474" s="875">
        <f>C474*D474</f>
        <v>0.02</v>
      </c>
      <c r="F474" s="854"/>
    </row>
    <row r="475" spans="1:11" hidden="1" outlineLevel="1" x14ac:dyDescent="0.25">
      <c r="A475" s="272"/>
      <c r="B475" s="877" t="s">
        <v>39</v>
      </c>
      <c r="C475" s="873">
        <v>0.02</v>
      </c>
      <c r="D475" s="854">
        <v>1</v>
      </c>
      <c r="E475" s="875">
        <f t="shared" ref="E475:E476" si="16">C475*D475</f>
        <v>0.02</v>
      </c>
      <c r="F475" s="854"/>
    </row>
    <row r="476" spans="1:11" hidden="1" outlineLevel="1" x14ac:dyDescent="0.25">
      <c r="A476" s="272"/>
      <c r="B476" s="877" t="s">
        <v>40</v>
      </c>
      <c r="C476" s="873">
        <v>0.1</v>
      </c>
      <c r="D476" s="854">
        <v>1</v>
      </c>
      <c r="E476" s="875">
        <f t="shared" si="16"/>
        <v>0.1</v>
      </c>
      <c r="F476" s="854"/>
    </row>
    <row r="477" spans="1:11" hidden="1" outlineLevel="1" x14ac:dyDescent="0.25">
      <c r="A477" s="272"/>
      <c r="B477" s="877" t="s">
        <v>41</v>
      </c>
      <c r="C477" s="873">
        <v>0.02</v>
      </c>
      <c r="D477" s="879" t="s">
        <v>16</v>
      </c>
      <c r="E477" s="875">
        <f>C477*(1+0.3)</f>
        <v>2.6000000000000002E-2</v>
      </c>
      <c r="F477" s="854"/>
    </row>
    <row r="478" spans="1:11" hidden="1" outlineLevel="1" x14ac:dyDescent="0.25">
      <c r="A478" s="272"/>
      <c r="B478" s="877" t="s">
        <v>42</v>
      </c>
      <c r="C478" s="873">
        <v>0.01</v>
      </c>
      <c r="D478" s="854">
        <v>1</v>
      </c>
      <c r="E478" s="875">
        <f t="shared" ref="E478:E482" si="17">C478*D478</f>
        <v>0.01</v>
      </c>
      <c r="F478" s="854"/>
    </row>
    <row r="479" spans="1:11" hidden="1" outlineLevel="1" x14ac:dyDescent="0.25">
      <c r="A479" s="272"/>
      <c r="B479" s="877" t="s">
        <v>43</v>
      </c>
      <c r="C479" s="873">
        <v>0.18</v>
      </c>
      <c r="D479" s="854">
        <v>1</v>
      </c>
      <c r="E479" s="875">
        <f t="shared" si="17"/>
        <v>0.18</v>
      </c>
      <c r="F479" s="854"/>
    </row>
    <row r="480" spans="1:11" hidden="1" outlineLevel="1" x14ac:dyDescent="0.25">
      <c r="A480" s="272"/>
      <c r="B480" s="394" t="s">
        <v>30</v>
      </c>
      <c r="C480" s="873">
        <v>0.03</v>
      </c>
      <c r="D480" s="854">
        <v>1</v>
      </c>
      <c r="E480" s="875">
        <f t="shared" si="17"/>
        <v>0.03</v>
      </c>
      <c r="F480" s="854"/>
    </row>
    <row r="481" spans="1:18" hidden="1" outlineLevel="1" x14ac:dyDescent="0.25">
      <c r="A481" s="272"/>
      <c r="B481" s="394" t="s">
        <v>44</v>
      </c>
      <c r="C481" s="873">
        <v>0.09</v>
      </c>
      <c r="D481" s="854">
        <v>1</v>
      </c>
      <c r="E481" s="875">
        <f t="shared" si="17"/>
        <v>0.09</v>
      </c>
      <c r="F481" s="854"/>
    </row>
    <row r="482" spans="1:18" hidden="1" outlineLevel="1" x14ac:dyDescent="0.25">
      <c r="A482" s="272"/>
      <c r="B482" s="394" t="s">
        <v>32</v>
      </c>
      <c r="C482" s="873">
        <v>0.06</v>
      </c>
      <c r="D482" s="854">
        <v>1</v>
      </c>
      <c r="E482" s="875">
        <f t="shared" si="17"/>
        <v>0.06</v>
      </c>
      <c r="F482" s="854"/>
    </row>
    <row r="483" spans="1:18" hidden="1" outlineLevel="1" x14ac:dyDescent="0.25">
      <c r="A483" s="272"/>
      <c r="B483" s="394" t="s">
        <v>45</v>
      </c>
      <c r="C483" s="873">
        <v>0.01</v>
      </c>
      <c r="D483" s="854">
        <v>1</v>
      </c>
      <c r="E483" s="875">
        <f>C483*D483</f>
        <v>0.01</v>
      </c>
      <c r="F483" s="854"/>
    </row>
    <row r="484" spans="1:18" hidden="1" outlineLevel="1" x14ac:dyDescent="0.25">
      <c r="A484" s="272"/>
      <c r="B484" s="394" t="s">
        <v>34</v>
      </c>
      <c r="C484" s="873">
        <v>0.08</v>
      </c>
      <c r="D484" s="879"/>
      <c r="E484" s="890">
        <f>SUM(E468:E483)*C484</f>
        <v>8.2240000000000008E-2</v>
      </c>
      <c r="F484" s="890"/>
      <c r="G484" s="14"/>
      <c r="H484" s="14"/>
    </row>
    <row r="485" spans="1:18" s="19" customFormat="1" ht="15.75" collapsed="1" x14ac:dyDescent="0.25">
      <c r="A485" s="386"/>
      <c r="B485" s="862" t="s">
        <v>48</v>
      </c>
      <c r="C485" s="862"/>
      <c r="D485" s="862"/>
      <c r="E485" s="862"/>
      <c r="F485" s="862"/>
    </row>
    <row r="486" spans="1:18" s="19" customFormat="1" ht="15.75" x14ac:dyDescent="0.25">
      <c r="A486" s="386"/>
      <c r="B486" s="862" t="s">
        <v>49</v>
      </c>
      <c r="C486" s="862">
        <v>5.32</v>
      </c>
      <c r="D486" s="880"/>
      <c r="E486" s="862"/>
      <c r="F486" s="862"/>
    </row>
    <row r="487" spans="1:18" s="11" customFormat="1" x14ac:dyDescent="0.25">
      <c r="A487" s="379"/>
      <c r="B487" s="861" t="s">
        <v>854</v>
      </c>
      <c r="C487" s="862"/>
      <c r="D487" s="862">
        <v>1</v>
      </c>
      <c r="E487" s="862" t="s">
        <v>855</v>
      </c>
      <c r="F487" s="862"/>
      <c r="I487" s="13"/>
    </row>
    <row r="488" spans="1:18" s="2" customFormat="1" ht="76.5" x14ac:dyDescent="0.25">
      <c r="A488" s="272"/>
      <c r="B488" s="394" t="s">
        <v>856</v>
      </c>
      <c r="C488" s="394" t="s">
        <v>1048</v>
      </c>
      <c r="D488" s="394" t="s">
        <v>858</v>
      </c>
      <c r="E488" s="854"/>
      <c r="F488" s="855">
        <f>2.4*D487*D489*D490*C510*1000</f>
        <v>7087.7721600000013</v>
      </c>
      <c r="I488"/>
      <c r="J488"/>
      <c r="K488"/>
      <c r="Q488" s="17"/>
      <c r="R488" s="17"/>
    </row>
    <row r="489" spans="1:18" s="3" customFormat="1" x14ac:dyDescent="0.25">
      <c r="A489" s="276"/>
      <c r="B489" s="865" t="s">
        <v>4</v>
      </c>
      <c r="C489" s="865" t="s">
        <v>852</v>
      </c>
      <c r="D489" s="866">
        <v>0.5</v>
      </c>
      <c r="E489" s="866"/>
      <c r="F489" s="866"/>
      <c r="I489"/>
      <c r="J489"/>
      <c r="K489"/>
    </row>
    <row r="490" spans="1:18" ht="76.5" x14ac:dyDescent="0.25">
      <c r="A490" s="272"/>
      <c r="B490" s="394" t="s">
        <v>15</v>
      </c>
      <c r="C490" s="394" t="s">
        <v>843</v>
      </c>
      <c r="D490" s="854">
        <f>E491/1</f>
        <v>1.1102400000000001</v>
      </c>
      <c r="E490" s="854"/>
      <c r="F490" s="854"/>
    </row>
    <row r="491" spans="1:18" x14ac:dyDescent="0.25">
      <c r="A491" s="272"/>
      <c r="B491" s="390" t="s">
        <v>6</v>
      </c>
      <c r="C491" s="869">
        <f>SUM(C492:C508)</f>
        <v>0.99999999999999989</v>
      </c>
      <c r="D491" s="870"/>
      <c r="E491" s="908">
        <f>SUM(E492:E508)</f>
        <v>1.1102400000000001</v>
      </c>
      <c r="F491" s="875"/>
      <c r="G491" s="4"/>
      <c r="H491" s="4"/>
    </row>
    <row r="492" spans="1:18" hidden="1" outlineLevel="1" x14ac:dyDescent="0.25">
      <c r="A492" s="272"/>
      <c r="B492" s="394" t="s">
        <v>20</v>
      </c>
      <c r="C492" s="873">
        <v>0.02</v>
      </c>
      <c r="D492" s="854">
        <v>1</v>
      </c>
      <c r="E492" s="875">
        <f>C492*D492</f>
        <v>0.02</v>
      </c>
      <c r="F492" s="854"/>
    </row>
    <row r="493" spans="1:18" hidden="1" outlineLevel="1" x14ac:dyDescent="0.25">
      <c r="A493" s="272"/>
      <c r="B493" s="394" t="s">
        <v>21</v>
      </c>
      <c r="C493" s="873">
        <v>0.02</v>
      </c>
      <c r="D493" s="854">
        <v>1</v>
      </c>
      <c r="E493" s="875">
        <f>C493*D493</f>
        <v>0.02</v>
      </c>
      <c r="F493" s="854"/>
    </row>
    <row r="494" spans="1:18" hidden="1" outlineLevel="1" x14ac:dyDescent="0.25">
      <c r="A494" s="272"/>
      <c r="B494" s="394" t="s">
        <v>22</v>
      </c>
      <c r="C494" s="873">
        <v>0.06</v>
      </c>
      <c r="D494" s="879" t="s">
        <v>16</v>
      </c>
      <c r="E494" s="875">
        <f>C494*(1+0.3)</f>
        <v>7.8E-2</v>
      </c>
      <c r="F494" s="854"/>
    </row>
    <row r="495" spans="1:18" hidden="1" outlineLevel="1" x14ac:dyDescent="0.25">
      <c r="A495" s="272"/>
      <c r="B495" s="394" t="s">
        <v>23</v>
      </c>
      <c r="C495" s="873">
        <v>0.12</v>
      </c>
      <c r="D495" s="879" t="s">
        <v>16</v>
      </c>
      <c r="E495" s="875">
        <f>C495*(1+0.3)</f>
        <v>0.156</v>
      </c>
      <c r="F495" s="854"/>
    </row>
    <row r="496" spans="1:18" ht="25.5" hidden="1" outlineLevel="1" x14ac:dyDescent="0.25">
      <c r="A496" s="272"/>
      <c r="B496" s="394" t="s">
        <v>343</v>
      </c>
      <c r="C496" s="873"/>
      <c r="D496" s="879"/>
      <c r="E496" s="875"/>
      <c r="F496" s="854"/>
    </row>
    <row r="497" spans="1:18" hidden="1" outlineLevel="1" x14ac:dyDescent="0.25">
      <c r="A497" s="272"/>
      <c r="B497" s="877" t="s">
        <v>37</v>
      </c>
      <c r="C497" s="873">
        <v>0.16</v>
      </c>
      <c r="D497" s="879" t="s">
        <v>16</v>
      </c>
      <c r="E497" s="875">
        <f>C497*(1+0.3)</f>
        <v>0.20800000000000002</v>
      </c>
      <c r="F497" s="854"/>
    </row>
    <row r="498" spans="1:18" hidden="1" outlineLevel="1" x14ac:dyDescent="0.25">
      <c r="A498" s="272"/>
      <c r="B498" s="877" t="s">
        <v>38</v>
      </c>
      <c r="C498" s="873">
        <v>0.02</v>
      </c>
      <c r="D498" s="854">
        <v>1</v>
      </c>
      <c r="E498" s="875">
        <f>C498*D498</f>
        <v>0.02</v>
      </c>
      <c r="F498" s="854"/>
    </row>
    <row r="499" spans="1:18" hidden="1" outlineLevel="1" x14ac:dyDescent="0.25">
      <c r="A499" s="272"/>
      <c r="B499" s="877" t="s">
        <v>39</v>
      </c>
      <c r="C499" s="873">
        <v>0.02</v>
      </c>
      <c r="D499" s="854">
        <v>1</v>
      </c>
      <c r="E499" s="875">
        <f t="shared" ref="E499:E500" si="18">C499*D499</f>
        <v>0.02</v>
      </c>
      <c r="F499" s="854"/>
    </row>
    <row r="500" spans="1:18" hidden="1" outlineLevel="1" x14ac:dyDescent="0.25">
      <c r="A500" s="272"/>
      <c r="B500" s="877" t="s">
        <v>40</v>
      </c>
      <c r="C500" s="873">
        <v>0.1</v>
      </c>
      <c r="D500" s="854">
        <v>1</v>
      </c>
      <c r="E500" s="875">
        <f t="shared" si="18"/>
        <v>0.1</v>
      </c>
      <c r="F500" s="854"/>
    </row>
    <row r="501" spans="1:18" hidden="1" outlineLevel="1" x14ac:dyDescent="0.25">
      <c r="A501" s="272"/>
      <c r="B501" s="877" t="s">
        <v>41</v>
      </c>
      <c r="C501" s="873">
        <v>0.02</v>
      </c>
      <c r="D501" s="879" t="s">
        <v>16</v>
      </c>
      <c r="E501" s="875">
        <f>C501*(1+0.3)</f>
        <v>2.6000000000000002E-2</v>
      </c>
      <c r="F501" s="854"/>
    </row>
    <row r="502" spans="1:18" hidden="1" outlineLevel="1" x14ac:dyDescent="0.25">
      <c r="A502" s="272"/>
      <c r="B502" s="877" t="s">
        <v>42</v>
      </c>
      <c r="C502" s="873">
        <v>0.01</v>
      </c>
      <c r="D502" s="854">
        <v>1</v>
      </c>
      <c r="E502" s="875">
        <f t="shared" ref="E502:E506" si="19">C502*D502</f>
        <v>0.01</v>
      </c>
      <c r="F502" s="854"/>
    </row>
    <row r="503" spans="1:18" hidden="1" outlineLevel="1" x14ac:dyDescent="0.25">
      <c r="A503" s="272"/>
      <c r="B503" s="877" t="s">
        <v>43</v>
      </c>
      <c r="C503" s="873">
        <v>0.18</v>
      </c>
      <c r="D503" s="854">
        <v>1</v>
      </c>
      <c r="E503" s="875">
        <f t="shared" si="19"/>
        <v>0.18</v>
      </c>
      <c r="F503" s="854"/>
    </row>
    <row r="504" spans="1:18" hidden="1" outlineLevel="1" x14ac:dyDescent="0.25">
      <c r="A504" s="272"/>
      <c r="B504" s="394" t="s">
        <v>30</v>
      </c>
      <c r="C504" s="873">
        <v>0.03</v>
      </c>
      <c r="D504" s="854">
        <v>1</v>
      </c>
      <c r="E504" s="875">
        <f t="shared" si="19"/>
        <v>0.03</v>
      </c>
      <c r="F504" s="854"/>
    </row>
    <row r="505" spans="1:18" hidden="1" outlineLevel="1" x14ac:dyDescent="0.25">
      <c r="A505" s="272"/>
      <c r="B505" s="394" t="s">
        <v>44</v>
      </c>
      <c r="C505" s="873">
        <v>0.09</v>
      </c>
      <c r="D505" s="854">
        <v>1</v>
      </c>
      <c r="E505" s="875">
        <f t="shared" si="19"/>
        <v>0.09</v>
      </c>
      <c r="F505" s="854"/>
    </row>
    <row r="506" spans="1:18" hidden="1" outlineLevel="1" x14ac:dyDescent="0.25">
      <c r="A506" s="272"/>
      <c r="B506" s="394" t="s">
        <v>32</v>
      </c>
      <c r="C506" s="873">
        <v>0.06</v>
      </c>
      <c r="D506" s="854">
        <v>1</v>
      </c>
      <c r="E506" s="875">
        <f t="shared" si="19"/>
        <v>0.06</v>
      </c>
      <c r="F506" s="854"/>
    </row>
    <row r="507" spans="1:18" hidden="1" outlineLevel="1" x14ac:dyDescent="0.25">
      <c r="A507" s="272"/>
      <c r="B507" s="394" t="s">
        <v>45</v>
      </c>
      <c r="C507" s="873">
        <v>0.01</v>
      </c>
      <c r="D507" s="854">
        <v>1</v>
      </c>
      <c r="E507" s="875">
        <f>C507*D507</f>
        <v>0.01</v>
      </c>
      <c r="F507" s="854"/>
    </row>
    <row r="508" spans="1:18" hidden="1" outlineLevel="1" x14ac:dyDescent="0.25">
      <c r="A508" s="272"/>
      <c r="B508" s="394" t="s">
        <v>34</v>
      </c>
      <c r="C508" s="873">
        <v>0.08</v>
      </c>
      <c r="D508" s="879"/>
      <c r="E508" s="890">
        <f>SUM(E492:E507)*C508</f>
        <v>8.2240000000000008E-2</v>
      </c>
      <c r="F508" s="890"/>
      <c r="G508" s="14"/>
      <c r="H508" s="14"/>
    </row>
    <row r="509" spans="1:18" s="19" customFormat="1" ht="15.75" collapsed="1" x14ac:dyDescent="0.25">
      <c r="A509" s="386"/>
      <c r="B509" s="862" t="s">
        <v>48</v>
      </c>
      <c r="C509" s="862"/>
      <c r="D509" s="862"/>
      <c r="E509" s="862"/>
      <c r="F509" s="862"/>
    </row>
    <row r="510" spans="1:18" s="19" customFormat="1" ht="15.75" x14ac:dyDescent="0.25">
      <c r="A510" s="386"/>
      <c r="B510" s="862" t="s">
        <v>49</v>
      </c>
      <c r="C510" s="862">
        <v>5.32</v>
      </c>
      <c r="D510" s="880"/>
      <c r="E510" s="862"/>
      <c r="F510" s="862"/>
    </row>
    <row r="511" spans="1:18" s="11" customFormat="1" x14ac:dyDescent="0.25">
      <c r="A511" s="379"/>
      <c r="B511" s="861" t="s">
        <v>698</v>
      </c>
      <c r="C511" s="862"/>
      <c r="D511" s="862">
        <v>1</v>
      </c>
      <c r="E511" s="862" t="s">
        <v>866</v>
      </c>
      <c r="F511" s="862"/>
      <c r="I511" s="13"/>
    </row>
    <row r="512" spans="1:18" s="2" customFormat="1" ht="38.25" x14ac:dyDescent="0.25">
      <c r="A512" s="272"/>
      <c r="B512" s="394" t="s">
        <v>860</v>
      </c>
      <c r="C512" s="394" t="s">
        <v>861</v>
      </c>
      <c r="D512" s="394" t="s">
        <v>865</v>
      </c>
      <c r="E512" s="854"/>
      <c r="F512" s="855">
        <f>39.55*D511*D514*D513*D515*C535*1000</f>
        <v>23360.115744000006</v>
      </c>
      <c r="I512"/>
      <c r="J512"/>
      <c r="K512"/>
      <c r="Q512" s="17"/>
      <c r="R512" s="17"/>
    </row>
    <row r="513" spans="1:11" s="3" customFormat="1" x14ac:dyDescent="0.25">
      <c r="A513" s="276"/>
      <c r="B513" s="865" t="s">
        <v>4</v>
      </c>
      <c r="C513" s="865" t="s">
        <v>852</v>
      </c>
      <c r="D513" s="866">
        <v>0.5</v>
      </c>
      <c r="E513" s="866"/>
      <c r="F513" s="866"/>
      <c r="I513"/>
      <c r="J513"/>
      <c r="K513"/>
    </row>
    <row r="514" spans="1:11" s="3" customFormat="1" x14ac:dyDescent="0.25">
      <c r="A514" s="276"/>
      <c r="B514" s="865" t="s">
        <v>863</v>
      </c>
      <c r="C514" s="865" t="s">
        <v>864</v>
      </c>
      <c r="D514" s="866">
        <v>0.2</v>
      </c>
      <c r="E514" s="866"/>
      <c r="F514" s="866"/>
      <c r="I514"/>
      <c r="J514"/>
      <c r="K514"/>
    </row>
    <row r="515" spans="1:11" ht="76.5" x14ac:dyDescent="0.25">
      <c r="A515" s="272"/>
      <c r="B515" s="394" t="s">
        <v>15</v>
      </c>
      <c r="C515" s="394" t="s">
        <v>843</v>
      </c>
      <c r="D515" s="854">
        <f>E516/1</f>
        <v>1.1102400000000001</v>
      </c>
      <c r="E515" s="854"/>
      <c r="F515" s="854"/>
    </row>
    <row r="516" spans="1:11" x14ac:dyDescent="0.25">
      <c r="A516" s="272"/>
      <c r="B516" s="390" t="s">
        <v>6</v>
      </c>
      <c r="C516" s="869">
        <f>SUM(C517:C533)</f>
        <v>0.99999999999999989</v>
      </c>
      <c r="D516" s="870"/>
      <c r="E516" s="908">
        <f>SUM(E517:E533)</f>
        <v>1.1102400000000001</v>
      </c>
      <c r="F516" s="875"/>
      <c r="G516" s="4"/>
      <c r="H516" s="4"/>
    </row>
    <row r="517" spans="1:11" hidden="1" outlineLevel="1" x14ac:dyDescent="0.25">
      <c r="A517" s="272"/>
      <c r="B517" s="394" t="s">
        <v>20</v>
      </c>
      <c r="C517" s="873">
        <v>0.02</v>
      </c>
      <c r="D517" s="854">
        <v>1</v>
      </c>
      <c r="E517" s="875">
        <f>C517*D517</f>
        <v>0.02</v>
      </c>
      <c r="F517" s="854"/>
    </row>
    <row r="518" spans="1:11" hidden="1" outlineLevel="1" x14ac:dyDescent="0.25">
      <c r="A518" s="272"/>
      <c r="B518" s="394" t="s">
        <v>21</v>
      </c>
      <c r="C518" s="873">
        <v>0.02</v>
      </c>
      <c r="D518" s="854">
        <v>1</v>
      </c>
      <c r="E518" s="875">
        <f>C518*D518</f>
        <v>0.02</v>
      </c>
      <c r="F518" s="854"/>
    </row>
    <row r="519" spans="1:11" hidden="1" outlineLevel="1" x14ac:dyDescent="0.25">
      <c r="A519" s="272"/>
      <c r="B519" s="394" t="s">
        <v>22</v>
      </c>
      <c r="C519" s="873">
        <v>0.06</v>
      </c>
      <c r="D519" s="879" t="s">
        <v>16</v>
      </c>
      <c r="E519" s="875">
        <f>C519*(1+0.3)</f>
        <v>7.8E-2</v>
      </c>
      <c r="F519" s="854"/>
    </row>
    <row r="520" spans="1:11" hidden="1" outlineLevel="1" x14ac:dyDescent="0.25">
      <c r="A520" s="272"/>
      <c r="B520" s="394" t="s">
        <v>23</v>
      </c>
      <c r="C520" s="873">
        <v>0.12</v>
      </c>
      <c r="D520" s="879" t="s">
        <v>16</v>
      </c>
      <c r="E520" s="875">
        <f>C520*(1+0.3)</f>
        <v>0.156</v>
      </c>
      <c r="F520" s="854"/>
    </row>
    <row r="521" spans="1:11" ht="25.5" hidden="1" outlineLevel="1" x14ac:dyDescent="0.25">
      <c r="A521" s="272"/>
      <c r="B521" s="394" t="s">
        <v>343</v>
      </c>
      <c r="C521" s="873"/>
      <c r="D521" s="879"/>
      <c r="E521" s="875"/>
      <c r="F521" s="854"/>
    </row>
    <row r="522" spans="1:11" hidden="1" outlineLevel="1" x14ac:dyDescent="0.25">
      <c r="A522" s="272"/>
      <c r="B522" s="877" t="s">
        <v>37</v>
      </c>
      <c r="C522" s="873">
        <v>0.16</v>
      </c>
      <c r="D522" s="879" t="s">
        <v>16</v>
      </c>
      <c r="E522" s="875">
        <f>C522*(1+0.3)</f>
        <v>0.20800000000000002</v>
      </c>
      <c r="F522" s="854"/>
    </row>
    <row r="523" spans="1:11" hidden="1" outlineLevel="1" x14ac:dyDescent="0.25">
      <c r="A523" s="272"/>
      <c r="B523" s="877" t="s">
        <v>38</v>
      </c>
      <c r="C523" s="873">
        <v>0.02</v>
      </c>
      <c r="D523" s="854">
        <v>1</v>
      </c>
      <c r="E523" s="875">
        <f>C523*D523</f>
        <v>0.02</v>
      </c>
      <c r="F523" s="854"/>
    </row>
    <row r="524" spans="1:11" hidden="1" outlineLevel="1" x14ac:dyDescent="0.25">
      <c r="A524" s="272"/>
      <c r="B524" s="877" t="s">
        <v>39</v>
      </c>
      <c r="C524" s="873">
        <v>0.02</v>
      </c>
      <c r="D524" s="854">
        <v>1</v>
      </c>
      <c r="E524" s="875">
        <f t="shared" ref="E524:E525" si="20">C524*D524</f>
        <v>0.02</v>
      </c>
      <c r="F524" s="854"/>
    </row>
    <row r="525" spans="1:11" hidden="1" outlineLevel="1" x14ac:dyDescent="0.25">
      <c r="A525" s="272"/>
      <c r="B525" s="877" t="s">
        <v>40</v>
      </c>
      <c r="C525" s="873">
        <v>0.1</v>
      </c>
      <c r="D525" s="854">
        <v>1</v>
      </c>
      <c r="E525" s="875">
        <f t="shared" si="20"/>
        <v>0.1</v>
      </c>
      <c r="F525" s="854"/>
    </row>
    <row r="526" spans="1:11" hidden="1" outlineLevel="1" x14ac:dyDescent="0.25">
      <c r="A526" s="272"/>
      <c r="B526" s="877" t="s">
        <v>41</v>
      </c>
      <c r="C526" s="873">
        <v>0.02</v>
      </c>
      <c r="D526" s="879" t="s">
        <v>16</v>
      </c>
      <c r="E526" s="875">
        <f>C526*(1+0.3)</f>
        <v>2.6000000000000002E-2</v>
      </c>
      <c r="F526" s="854"/>
    </row>
    <row r="527" spans="1:11" hidden="1" outlineLevel="1" x14ac:dyDescent="0.25">
      <c r="A527" s="272"/>
      <c r="B527" s="877" t="s">
        <v>42</v>
      </c>
      <c r="C527" s="873">
        <v>0.01</v>
      </c>
      <c r="D527" s="854">
        <v>1</v>
      </c>
      <c r="E527" s="875">
        <f t="shared" ref="E527:E531" si="21">C527*D527</f>
        <v>0.01</v>
      </c>
      <c r="F527" s="854"/>
    </row>
    <row r="528" spans="1:11" hidden="1" outlineLevel="1" x14ac:dyDescent="0.25">
      <c r="A528" s="272"/>
      <c r="B528" s="877" t="s">
        <v>43</v>
      </c>
      <c r="C528" s="873">
        <v>0.18</v>
      </c>
      <c r="D528" s="854">
        <v>1</v>
      </c>
      <c r="E528" s="875">
        <f t="shared" si="21"/>
        <v>0.18</v>
      </c>
      <c r="F528" s="854"/>
    </row>
    <row r="529" spans="1:18" hidden="1" outlineLevel="1" x14ac:dyDescent="0.25">
      <c r="A529" s="272"/>
      <c r="B529" s="394" t="s">
        <v>30</v>
      </c>
      <c r="C529" s="873">
        <v>0.03</v>
      </c>
      <c r="D529" s="854">
        <v>1</v>
      </c>
      <c r="E529" s="875">
        <f t="shared" si="21"/>
        <v>0.03</v>
      </c>
      <c r="F529" s="854"/>
    </row>
    <row r="530" spans="1:18" hidden="1" outlineLevel="1" x14ac:dyDescent="0.25">
      <c r="A530" s="272"/>
      <c r="B530" s="394" t="s">
        <v>44</v>
      </c>
      <c r="C530" s="873">
        <v>0.09</v>
      </c>
      <c r="D530" s="854">
        <v>1</v>
      </c>
      <c r="E530" s="875">
        <f t="shared" si="21"/>
        <v>0.09</v>
      </c>
      <c r="F530" s="854"/>
    </row>
    <row r="531" spans="1:18" hidden="1" outlineLevel="1" x14ac:dyDescent="0.25">
      <c r="A531" s="272"/>
      <c r="B531" s="394" t="s">
        <v>32</v>
      </c>
      <c r="C531" s="873">
        <v>0.06</v>
      </c>
      <c r="D531" s="854">
        <v>1</v>
      </c>
      <c r="E531" s="875">
        <f t="shared" si="21"/>
        <v>0.06</v>
      </c>
      <c r="F531" s="854"/>
    </row>
    <row r="532" spans="1:18" hidden="1" outlineLevel="1" x14ac:dyDescent="0.25">
      <c r="A532" s="272"/>
      <c r="B532" s="394" t="s">
        <v>45</v>
      </c>
      <c r="C532" s="873">
        <v>0.01</v>
      </c>
      <c r="D532" s="854">
        <v>1</v>
      </c>
      <c r="E532" s="875">
        <f>C532*D532</f>
        <v>0.01</v>
      </c>
      <c r="F532" s="854"/>
    </row>
    <row r="533" spans="1:18" hidden="1" outlineLevel="1" x14ac:dyDescent="0.25">
      <c r="A533" s="272"/>
      <c r="B533" s="394" t="s">
        <v>34</v>
      </c>
      <c r="C533" s="873">
        <v>0.08</v>
      </c>
      <c r="D533" s="879"/>
      <c r="E533" s="890">
        <f>SUM(E517:E532)*C533</f>
        <v>8.2240000000000008E-2</v>
      </c>
      <c r="F533" s="890"/>
      <c r="G533" s="14"/>
      <c r="H533" s="14"/>
    </row>
    <row r="534" spans="1:18" s="19" customFormat="1" ht="15.75" collapsed="1" x14ac:dyDescent="0.25">
      <c r="A534" s="386"/>
      <c r="B534" s="862" t="s">
        <v>48</v>
      </c>
      <c r="C534" s="862"/>
      <c r="D534" s="862"/>
      <c r="E534" s="862"/>
      <c r="F534" s="862"/>
    </row>
    <row r="535" spans="1:18" s="19" customFormat="1" ht="15.75" x14ac:dyDescent="0.25">
      <c r="A535" s="386"/>
      <c r="B535" s="862" t="s">
        <v>49</v>
      </c>
      <c r="C535" s="862">
        <v>5.32</v>
      </c>
      <c r="D535" s="880"/>
      <c r="E535" s="862"/>
      <c r="F535" s="862"/>
    </row>
    <row r="536" spans="1:18" s="11" customFormat="1" x14ac:dyDescent="0.25">
      <c r="A536" s="379"/>
      <c r="B536" s="861" t="s">
        <v>695</v>
      </c>
      <c r="C536" s="862"/>
      <c r="D536" s="862">
        <f>D191</f>
        <v>0</v>
      </c>
      <c r="E536" s="862" t="s">
        <v>893</v>
      </c>
      <c r="F536" s="862"/>
      <c r="I536" s="13"/>
    </row>
    <row r="537" spans="1:18" s="2" customFormat="1" ht="51" x14ac:dyDescent="0.25">
      <c r="A537" s="272"/>
      <c r="B537" s="394" t="s">
        <v>841</v>
      </c>
      <c r="C537" s="394" t="s">
        <v>842</v>
      </c>
      <c r="D537" s="394" t="s">
        <v>911</v>
      </c>
      <c r="E537" s="854"/>
      <c r="F537" s="855">
        <f>(25.98+4.623*20)*1*D538*D539*C559*1000</f>
        <v>293816.50712064002</v>
      </c>
      <c r="I537"/>
      <c r="J537"/>
      <c r="K537"/>
      <c r="Q537" s="17"/>
      <c r="R537" s="17"/>
    </row>
    <row r="538" spans="1:18" s="3" customFormat="1" x14ac:dyDescent="0.25">
      <c r="A538" s="276"/>
      <c r="B538" s="865" t="s">
        <v>4</v>
      </c>
      <c r="C538" s="865" t="s">
        <v>844</v>
      </c>
      <c r="D538" s="866">
        <v>0.42</v>
      </c>
      <c r="E538" s="866"/>
      <c r="F538" s="866"/>
      <c r="I538"/>
      <c r="J538"/>
      <c r="K538"/>
    </row>
    <row r="539" spans="1:18" ht="76.5" x14ac:dyDescent="0.25">
      <c r="A539" s="272"/>
      <c r="B539" s="394" t="s">
        <v>15</v>
      </c>
      <c r="C539" s="394" t="s">
        <v>843</v>
      </c>
      <c r="D539" s="854">
        <f>E540/1</f>
        <v>1.1102400000000001</v>
      </c>
      <c r="E539" s="854"/>
      <c r="F539" s="854"/>
    </row>
    <row r="540" spans="1:18" x14ac:dyDescent="0.25">
      <c r="A540" s="272"/>
      <c r="B540" s="390" t="s">
        <v>6</v>
      </c>
      <c r="C540" s="869">
        <f>SUM(C541:C557)</f>
        <v>0.99999999999999989</v>
      </c>
      <c r="D540" s="870"/>
      <c r="E540" s="908">
        <f>SUM(E541:E557)</f>
        <v>1.1102400000000001</v>
      </c>
      <c r="F540" s="875"/>
      <c r="G540" s="4"/>
      <c r="H540" s="4"/>
    </row>
    <row r="541" spans="1:18" hidden="1" outlineLevel="1" x14ac:dyDescent="0.25">
      <c r="A541" s="272"/>
      <c r="B541" s="394" t="s">
        <v>20</v>
      </c>
      <c r="C541" s="873">
        <v>0.02</v>
      </c>
      <c r="D541" s="854">
        <v>1</v>
      </c>
      <c r="E541" s="875">
        <f>C541*D541</f>
        <v>0.02</v>
      </c>
      <c r="F541" s="854"/>
    </row>
    <row r="542" spans="1:18" hidden="1" outlineLevel="1" x14ac:dyDescent="0.25">
      <c r="A542" s="272"/>
      <c r="B542" s="394" t="s">
        <v>21</v>
      </c>
      <c r="C542" s="873">
        <v>0.02</v>
      </c>
      <c r="D542" s="854">
        <v>1</v>
      </c>
      <c r="E542" s="875">
        <f>C542*D542</f>
        <v>0.02</v>
      </c>
      <c r="F542" s="854"/>
    </row>
    <row r="543" spans="1:18" hidden="1" outlineLevel="1" x14ac:dyDescent="0.25">
      <c r="A543" s="272"/>
      <c r="B543" s="394" t="s">
        <v>22</v>
      </c>
      <c r="C543" s="873">
        <v>0.06</v>
      </c>
      <c r="D543" s="879" t="s">
        <v>16</v>
      </c>
      <c r="E543" s="875">
        <f>C543*(1+0.3)</f>
        <v>7.8E-2</v>
      </c>
      <c r="F543" s="854"/>
    </row>
    <row r="544" spans="1:18" hidden="1" outlineLevel="1" x14ac:dyDescent="0.25">
      <c r="A544" s="272"/>
      <c r="B544" s="394" t="s">
        <v>23</v>
      </c>
      <c r="C544" s="873">
        <v>0.12</v>
      </c>
      <c r="D544" s="879" t="s">
        <v>16</v>
      </c>
      <c r="E544" s="875">
        <f>C544*(1+0.3)</f>
        <v>0.156</v>
      </c>
      <c r="F544" s="854"/>
    </row>
    <row r="545" spans="1:9" ht="25.5" hidden="1" outlineLevel="1" x14ac:dyDescent="0.25">
      <c r="A545" s="272"/>
      <c r="B545" s="394" t="s">
        <v>343</v>
      </c>
      <c r="C545" s="873"/>
      <c r="D545" s="879"/>
      <c r="E545" s="875"/>
      <c r="F545" s="854"/>
    </row>
    <row r="546" spans="1:9" hidden="1" outlineLevel="1" x14ac:dyDescent="0.25">
      <c r="A546" s="272"/>
      <c r="B546" s="877" t="s">
        <v>37</v>
      </c>
      <c r="C546" s="873">
        <v>0.16</v>
      </c>
      <c r="D546" s="879" t="s">
        <v>16</v>
      </c>
      <c r="E546" s="875">
        <f>C546*(1+0.3)</f>
        <v>0.20800000000000002</v>
      </c>
      <c r="F546" s="854"/>
    </row>
    <row r="547" spans="1:9" hidden="1" outlineLevel="1" x14ac:dyDescent="0.25">
      <c r="A547" s="272"/>
      <c r="B547" s="877" t="s">
        <v>38</v>
      </c>
      <c r="C547" s="873">
        <v>0.02</v>
      </c>
      <c r="D547" s="854">
        <v>1</v>
      </c>
      <c r="E547" s="875">
        <f>C547*D547</f>
        <v>0.02</v>
      </c>
      <c r="F547" s="854"/>
    </row>
    <row r="548" spans="1:9" hidden="1" outlineLevel="1" x14ac:dyDescent="0.25">
      <c r="A548" s="272"/>
      <c r="B548" s="877" t="s">
        <v>39</v>
      </c>
      <c r="C548" s="873">
        <v>0.02</v>
      </c>
      <c r="D548" s="854">
        <v>1</v>
      </c>
      <c r="E548" s="875">
        <f t="shared" ref="E548:E549" si="22">C548*D548</f>
        <v>0.02</v>
      </c>
      <c r="F548" s="854"/>
    </row>
    <row r="549" spans="1:9" hidden="1" outlineLevel="1" x14ac:dyDescent="0.25">
      <c r="A549" s="272"/>
      <c r="B549" s="877" t="s">
        <v>40</v>
      </c>
      <c r="C549" s="873">
        <v>0.1</v>
      </c>
      <c r="D549" s="854">
        <v>1</v>
      </c>
      <c r="E549" s="875">
        <f t="shared" si="22"/>
        <v>0.1</v>
      </c>
      <c r="F549" s="854"/>
    </row>
    <row r="550" spans="1:9" hidden="1" outlineLevel="1" x14ac:dyDescent="0.25">
      <c r="A550" s="272"/>
      <c r="B550" s="877" t="s">
        <v>41</v>
      </c>
      <c r="C550" s="873">
        <v>0.02</v>
      </c>
      <c r="D550" s="879" t="s">
        <v>16</v>
      </c>
      <c r="E550" s="875">
        <f>C550*(1+0.3)</f>
        <v>2.6000000000000002E-2</v>
      </c>
      <c r="F550" s="854"/>
    </row>
    <row r="551" spans="1:9" hidden="1" outlineLevel="1" x14ac:dyDescent="0.25">
      <c r="A551" s="272"/>
      <c r="B551" s="877" t="s">
        <v>42</v>
      </c>
      <c r="C551" s="873">
        <v>0.01</v>
      </c>
      <c r="D551" s="854">
        <v>1</v>
      </c>
      <c r="E551" s="875">
        <f t="shared" ref="E551:E555" si="23">C551*D551</f>
        <v>0.01</v>
      </c>
      <c r="F551" s="854"/>
    </row>
    <row r="552" spans="1:9" hidden="1" outlineLevel="1" x14ac:dyDescent="0.25">
      <c r="A552" s="272"/>
      <c r="B552" s="877" t="s">
        <v>43</v>
      </c>
      <c r="C552" s="873">
        <v>0.18</v>
      </c>
      <c r="D552" s="854">
        <v>1</v>
      </c>
      <c r="E552" s="875">
        <f t="shared" si="23"/>
        <v>0.18</v>
      </c>
      <c r="F552" s="854"/>
    </row>
    <row r="553" spans="1:9" hidden="1" outlineLevel="1" x14ac:dyDescent="0.25">
      <c r="A553" s="272"/>
      <c r="B553" s="394" t="s">
        <v>30</v>
      </c>
      <c r="C553" s="873">
        <v>0.03</v>
      </c>
      <c r="D553" s="854">
        <v>1</v>
      </c>
      <c r="E553" s="875">
        <f t="shared" si="23"/>
        <v>0.03</v>
      </c>
      <c r="F553" s="854"/>
    </row>
    <row r="554" spans="1:9" hidden="1" outlineLevel="1" x14ac:dyDescent="0.25">
      <c r="A554" s="272"/>
      <c r="B554" s="394" t="s">
        <v>44</v>
      </c>
      <c r="C554" s="873">
        <v>0.09</v>
      </c>
      <c r="D554" s="854">
        <v>1</v>
      </c>
      <c r="E554" s="875">
        <f t="shared" si="23"/>
        <v>0.09</v>
      </c>
      <c r="F554" s="854"/>
    </row>
    <row r="555" spans="1:9" hidden="1" outlineLevel="1" x14ac:dyDescent="0.25">
      <c r="A555" s="272"/>
      <c r="B555" s="394" t="s">
        <v>32</v>
      </c>
      <c r="C555" s="873">
        <v>0.06</v>
      </c>
      <c r="D555" s="854">
        <v>1</v>
      </c>
      <c r="E555" s="875">
        <f t="shared" si="23"/>
        <v>0.06</v>
      </c>
      <c r="F555" s="854"/>
    </row>
    <row r="556" spans="1:9" hidden="1" outlineLevel="1" x14ac:dyDescent="0.25">
      <c r="A556" s="272"/>
      <c r="B556" s="394" t="s">
        <v>45</v>
      </c>
      <c r="C556" s="873">
        <v>0.01</v>
      </c>
      <c r="D556" s="854">
        <v>1</v>
      </c>
      <c r="E556" s="875">
        <f>C556*D556</f>
        <v>0.01</v>
      </c>
      <c r="F556" s="854"/>
    </row>
    <row r="557" spans="1:9" hidden="1" outlineLevel="1" x14ac:dyDescent="0.25">
      <c r="A557" s="272"/>
      <c r="B557" s="394" t="s">
        <v>34</v>
      </c>
      <c r="C557" s="873">
        <v>0.08</v>
      </c>
      <c r="D557" s="879"/>
      <c r="E557" s="890">
        <f>SUM(E541:E556)*C557</f>
        <v>8.2240000000000008E-2</v>
      </c>
      <c r="F557" s="890"/>
      <c r="G557" s="14"/>
      <c r="H557" s="14"/>
    </row>
    <row r="558" spans="1:9" s="19" customFormat="1" ht="15.75" collapsed="1" x14ac:dyDescent="0.25">
      <c r="A558" s="386"/>
      <c r="B558" s="862" t="s">
        <v>48</v>
      </c>
      <c r="C558" s="862"/>
      <c r="D558" s="862"/>
      <c r="E558" s="862"/>
      <c r="F558" s="862"/>
    </row>
    <row r="559" spans="1:9" s="19" customFormat="1" ht="15.75" x14ac:dyDescent="0.25">
      <c r="A559" s="386"/>
      <c r="B559" s="862" t="s">
        <v>49</v>
      </c>
      <c r="C559" s="862">
        <v>5.32</v>
      </c>
      <c r="D559" s="880"/>
      <c r="E559" s="862"/>
      <c r="F559" s="862"/>
    </row>
    <row r="560" spans="1:9" s="11" customFormat="1" x14ac:dyDescent="0.25">
      <c r="A560" s="379"/>
      <c r="B560" s="861" t="s">
        <v>1049</v>
      </c>
      <c r="C560" s="862"/>
      <c r="D560" s="862">
        <f>D28</f>
        <v>30</v>
      </c>
      <c r="E560" s="862" t="s">
        <v>895</v>
      </c>
      <c r="F560" s="862"/>
      <c r="I560" s="13"/>
    </row>
    <row r="561" spans="1:18" s="2" customFormat="1" ht="38.25" x14ac:dyDescent="0.25">
      <c r="A561" s="272"/>
      <c r="B561" s="394" t="s">
        <v>1051</v>
      </c>
      <c r="C561" s="394" t="s">
        <v>896</v>
      </c>
      <c r="D561" s="394" t="s">
        <v>1050</v>
      </c>
      <c r="E561" s="854"/>
      <c r="F561" s="855">
        <f>(1.65+0.076*30)*1*D562*D563*C583*1000</f>
        <v>11141.97783552</v>
      </c>
      <c r="I561"/>
      <c r="J561"/>
      <c r="K561"/>
      <c r="Q561" s="17"/>
      <c r="R561" s="17"/>
    </row>
    <row r="562" spans="1:18" s="3" customFormat="1" x14ac:dyDescent="0.25">
      <c r="A562" s="276"/>
      <c r="B562" s="865" t="s">
        <v>4</v>
      </c>
      <c r="C562" s="865" t="s">
        <v>346</v>
      </c>
      <c r="D562" s="866">
        <v>0.48</v>
      </c>
      <c r="E562" s="866"/>
      <c r="F562" s="866"/>
      <c r="I562"/>
      <c r="J562"/>
      <c r="K562"/>
    </row>
    <row r="563" spans="1:18" ht="76.5" x14ac:dyDescent="0.25">
      <c r="A563" s="272"/>
      <c r="B563" s="394" t="s">
        <v>15</v>
      </c>
      <c r="C563" s="394" t="s">
        <v>843</v>
      </c>
      <c r="D563" s="854">
        <f>E564/1</f>
        <v>1.1102400000000001</v>
      </c>
      <c r="E563" s="854"/>
      <c r="F563" s="854"/>
    </row>
    <row r="564" spans="1:18" x14ac:dyDescent="0.25">
      <c r="A564" s="272"/>
      <c r="B564" s="390" t="s">
        <v>6</v>
      </c>
      <c r="C564" s="869">
        <f>SUM(C565:C581)</f>
        <v>0.99999999999999989</v>
      </c>
      <c r="D564" s="870"/>
      <c r="E564" s="908">
        <f>SUM(E565:E581)</f>
        <v>1.1102400000000001</v>
      </c>
      <c r="F564" s="875"/>
      <c r="G564" s="4"/>
      <c r="H564" s="4"/>
    </row>
    <row r="565" spans="1:18" hidden="1" outlineLevel="1" x14ac:dyDescent="0.25">
      <c r="A565" s="272"/>
      <c r="B565" s="394" t="s">
        <v>20</v>
      </c>
      <c r="C565" s="873">
        <v>0.02</v>
      </c>
      <c r="D565" s="854">
        <v>1</v>
      </c>
      <c r="E565" s="875">
        <f>C565*D565</f>
        <v>0.02</v>
      </c>
      <c r="F565" s="854"/>
    </row>
    <row r="566" spans="1:18" hidden="1" outlineLevel="1" x14ac:dyDescent="0.25">
      <c r="A566" s="272"/>
      <c r="B566" s="394" t="s">
        <v>21</v>
      </c>
      <c r="C566" s="873">
        <v>0.02</v>
      </c>
      <c r="D566" s="854">
        <v>1</v>
      </c>
      <c r="E566" s="875">
        <f>C566*D566</f>
        <v>0.02</v>
      </c>
      <c r="F566" s="854"/>
    </row>
    <row r="567" spans="1:18" hidden="1" outlineLevel="1" x14ac:dyDescent="0.25">
      <c r="A567" s="272"/>
      <c r="B567" s="394" t="s">
        <v>22</v>
      </c>
      <c r="C567" s="873">
        <v>0.06</v>
      </c>
      <c r="D567" s="879" t="s">
        <v>16</v>
      </c>
      <c r="E567" s="875">
        <f>C567*(1+0.3)</f>
        <v>7.8E-2</v>
      </c>
      <c r="F567" s="854"/>
    </row>
    <row r="568" spans="1:18" hidden="1" outlineLevel="1" x14ac:dyDescent="0.25">
      <c r="A568" s="272"/>
      <c r="B568" s="394" t="s">
        <v>23</v>
      </c>
      <c r="C568" s="873">
        <v>0.12</v>
      </c>
      <c r="D568" s="879" t="s">
        <v>16</v>
      </c>
      <c r="E568" s="875">
        <f>C568*(1+0.3)</f>
        <v>0.156</v>
      </c>
      <c r="F568" s="854"/>
    </row>
    <row r="569" spans="1:18" ht="25.5" hidden="1" outlineLevel="1" x14ac:dyDescent="0.25">
      <c r="A569" s="272"/>
      <c r="B569" s="394" t="s">
        <v>343</v>
      </c>
      <c r="C569" s="873"/>
      <c r="D569" s="879"/>
      <c r="E569" s="875"/>
      <c r="F569" s="854"/>
    </row>
    <row r="570" spans="1:18" hidden="1" outlineLevel="1" x14ac:dyDescent="0.25">
      <c r="A570" s="272"/>
      <c r="B570" s="877" t="s">
        <v>37</v>
      </c>
      <c r="C570" s="873">
        <v>0.16</v>
      </c>
      <c r="D570" s="879" t="s">
        <v>16</v>
      </c>
      <c r="E570" s="875">
        <f>C570*(1+0.3)</f>
        <v>0.20800000000000002</v>
      </c>
      <c r="F570" s="854"/>
    </row>
    <row r="571" spans="1:18" hidden="1" outlineLevel="1" x14ac:dyDescent="0.25">
      <c r="A571" s="272"/>
      <c r="B571" s="877" t="s">
        <v>38</v>
      </c>
      <c r="C571" s="873">
        <v>0.02</v>
      </c>
      <c r="D571" s="854">
        <v>1</v>
      </c>
      <c r="E571" s="875">
        <f>C571*D571</f>
        <v>0.02</v>
      </c>
      <c r="F571" s="854"/>
    </row>
    <row r="572" spans="1:18" hidden="1" outlineLevel="1" x14ac:dyDescent="0.25">
      <c r="A572" s="272"/>
      <c r="B572" s="877" t="s">
        <v>39</v>
      </c>
      <c r="C572" s="873">
        <v>0.02</v>
      </c>
      <c r="D572" s="854">
        <v>1</v>
      </c>
      <c r="E572" s="875">
        <f t="shared" ref="E572:E573" si="24">C572*D572</f>
        <v>0.02</v>
      </c>
      <c r="F572" s="854"/>
    </row>
    <row r="573" spans="1:18" hidden="1" outlineLevel="1" x14ac:dyDescent="0.25">
      <c r="A573" s="272"/>
      <c r="B573" s="877" t="s">
        <v>40</v>
      </c>
      <c r="C573" s="873">
        <v>0.1</v>
      </c>
      <c r="D573" s="854">
        <v>1</v>
      </c>
      <c r="E573" s="875">
        <f t="shared" si="24"/>
        <v>0.1</v>
      </c>
      <c r="F573" s="854"/>
    </row>
    <row r="574" spans="1:18" hidden="1" outlineLevel="1" x14ac:dyDescent="0.25">
      <c r="A574" s="272"/>
      <c r="B574" s="877" t="s">
        <v>41</v>
      </c>
      <c r="C574" s="873">
        <v>0.02</v>
      </c>
      <c r="D574" s="879" t="s">
        <v>16</v>
      </c>
      <c r="E574" s="875">
        <f>C574*(1+0.3)</f>
        <v>2.6000000000000002E-2</v>
      </c>
      <c r="F574" s="854"/>
    </row>
    <row r="575" spans="1:18" hidden="1" outlineLevel="1" x14ac:dyDescent="0.25">
      <c r="A575" s="272"/>
      <c r="B575" s="877" t="s">
        <v>42</v>
      </c>
      <c r="C575" s="873">
        <v>0.01</v>
      </c>
      <c r="D575" s="854">
        <v>1</v>
      </c>
      <c r="E575" s="875">
        <f t="shared" ref="E575:E579" si="25">C575*D575</f>
        <v>0.01</v>
      </c>
      <c r="F575" s="854"/>
    </row>
    <row r="576" spans="1:18" hidden="1" outlineLevel="1" x14ac:dyDescent="0.25">
      <c r="A576" s="272"/>
      <c r="B576" s="877" t="s">
        <v>43</v>
      </c>
      <c r="C576" s="873">
        <v>0.18</v>
      </c>
      <c r="D576" s="854">
        <v>1</v>
      </c>
      <c r="E576" s="875">
        <f t="shared" si="25"/>
        <v>0.18</v>
      </c>
      <c r="F576" s="854"/>
    </row>
    <row r="577" spans="1:10" hidden="1" outlineLevel="1" x14ac:dyDescent="0.25">
      <c r="A577" s="272"/>
      <c r="B577" s="394" t="s">
        <v>30</v>
      </c>
      <c r="C577" s="873">
        <v>0.03</v>
      </c>
      <c r="D577" s="854">
        <v>1</v>
      </c>
      <c r="E577" s="875">
        <f t="shared" si="25"/>
        <v>0.03</v>
      </c>
      <c r="F577" s="854"/>
    </row>
    <row r="578" spans="1:10" hidden="1" outlineLevel="1" x14ac:dyDescent="0.25">
      <c r="A578" s="272"/>
      <c r="B578" s="394" t="s">
        <v>44</v>
      </c>
      <c r="C578" s="873">
        <v>0.09</v>
      </c>
      <c r="D578" s="854">
        <v>1</v>
      </c>
      <c r="E578" s="875">
        <f t="shared" si="25"/>
        <v>0.09</v>
      </c>
      <c r="F578" s="854"/>
    </row>
    <row r="579" spans="1:10" hidden="1" outlineLevel="1" x14ac:dyDescent="0.25">
      <c r="A579" s="272"/>
      <c r="B579" s="394" t="s">
        <v>32</v>
      </c>
      <c r="C579" s="873">
        <v>0.06</v>
      </c>
      <c r="D579" s="854">
        <v>1</v>
      </c>
      <c r="E579" s="875">
        <f t="shared" si="25"/>
        <v>0.06</v>
      </c>
      <c r="F579" s="854"/>
    </row>
    <row r="580" spans="1:10" hidden="1" outlineLevel="1" x14ac:dyDescent="0.25">
      <c r="A580" s="272"/>
      <c r="B580" s="394" t="s">
        <v>45</v>
      </c>
      <c r="C580" s="873">
        <v>0.01</v>
      </c>
      <c r="D580" s="854">
        <v>1</v>
      </c>
      <c r="E580" s="875">
        <f>C580*D580</f>
        <v>0.01</v>
      </c>
      <c r="F580" s="854"/>
    </row>
    <row r="581" spans="1:10" hidden="1" outlineLevel="1" x14ac:dyDescent="0.25">
      <c r="A581" s="272"/>
      <c r="B581" s="394" t="s">
        <v>34</v>
      </c>
      <c r="C581" s="873">
        <v>0.08</v>
      </c>
      <c r="D581" s="879"/>
      <c r="E581" s="890">
        <f>SUM(E565:E580)*C581</f>
        <v>8.2240000000000008E-2</v>
      </c>
      <c r="F581" s="890"/>
      <c r="G581" s="14"/>
      <c r="H581" s="14"/>
    </row>
    <row r="582" spans="1:10" s="19" customFormat="1" ht="15.75" collapsed="1" x14ac:dyDescent="0.25">
      <c r="A582" s="386"/>
      <c r="B582" s="862" t="s">
        <v>48</v>
      </c>
      <c r="C582" s="862"/>
      <c r="D582" s="862"/>
      <c r="E582" s="862"/>
      <c r="F582" s="862"/>
    </row>
    <row r="583" spans="1:10" s="19" customFormat="1" ht="15.75" x14ac:dyDescent="0.25">
      <c r="A583" s="386"/>
      <c r="B583" s="862" t="s">
        <v>49</v>
      </c>
      <c r="C583" s="862">
        <v>5.32</v>
      </c>
      <c r="D583" s="880"/>
      <c r="E583" s="862"/>
      <c r="F583" s="862"/>
    </row>
    <row r="584" spans="1:10" s="36" customFormat="1" ht="38.25" x14ac:dyDescent="0.2">
      <c r="A584" s="389"/>
      <c r="B584" s="891" t="s">
        <v>930</v>
      </c>
      <c r="C584" s="892">
        <v>0.04</v>
      </c>
      <c r="D584" s="893"/>
      <c r="E584" s="894"/>
      <c r="F584" s="855">
        <f>(SUM(F46:F561)-F187-F200)*C584</f>
        <v>177171.3888639255</v>
      </c>
      <c r="G584" s="34"/>
      <c r="H584" s="34"/>
      <c r="I584" s="33"/>
      <c r="J584" s="35"/>
    </row>
    <row r="585" spans="1:10" ht="15.75" x14ac:dyDescent="0.25">
      <c r="A585" s="272"/>
      <c r="B585" s="390" t="s">
        <v>50</v>
      </c>
      <c r="C585" s="854"/>
      <c r="D585" s="854"/>
      <c r="E585" s="854"/>
      <c r="F585" s="859">
        <f>SUM(F46:F584)</f>
        <v>6015093.8479340626</v>
      </c>
    </row>
    <row r="586" spans="1:10" x14ac:dyDescent="0.25">
      <c r="A586" s="272"/>
      <c r="B586" s="390" t="s">
        <v>51</v>
      </c>
      <c r="C586" s="854"/>
      <c r="D586" s="854"/>
      <c r="E586" s="854"/>
      <c r="F586" s="906">
        <f>F585*0.2</f>
        <v>1203018.7695868125</v>
      </c>
    </row>
    <row r="587" spans="1:10" ht="15.75" x14ac:dyDescent="0.25">
      <c r="A587" s="272"/>
      <c r="B587" s="390" t="s">
        <v>52</v>
      </c>
      <c r="C587" s="854"/>
      <c r="D587" s="854"/>
      <c r="E587" s="854"/>
      <c r="F587" s="859">
        <f>SUM(F585:F586)</f>
        <v>7218112.6175208753</v>
      </c>
    </row>
    <row r="588" spans="1:10" x14ac:dyDescent="0.25">
      <c r="B588" s="374"/>
      <c r="C588" s="374"/>
      <c r="D588" s="374"/>
      <c r="E588" s="374"/>
      <c r="F588" s="374"/>
    </row>
  </sheetData>
  <mergeCells count="8">
    <mergeCell ref="A40:B40"/>
    <mergeCell ref="A42:B42"/>
    <mergeCell ref="B1:E1"/>
    <mergeCell ref="A32:C32"/>
    <mergeCell ref="A35:F35"/>
    <mergeCell ref="A36:F36"/>
    <mergeCell ref="A38:B38"/>
    <mergeCell ref="C38:F38"/>
  </mergeCells>
  <pageMargins left="0.7" right="0.7" top="0.75" bottom="0.75" header="0.3" footer="0.3"/>
  <pageSetup paperSize="9" scale="4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4"/>
  <sheetViews>
    <sheetView view="pageBreakPreview" topLeftCell="A20" zoomScaleNormal="100" zoomScaleSheetLayoutView="100" workbookViewId="0">
      <selection activeCell="G26" sqref="G26"/>
    </sheetView>
  </sheetViews>
  <sheetFormatPr defaultRowHeight="15" outlineLevelRow="1" x14ac:dyDescent="0.25"/>
  <cols>
    <col min="1" max="1" width="9.140625" customWidth="1"/>
    <col min="2" max="2" width="49.28515625" customWidth="1"/>
    <col min="3" max="3" width="40.7109375" customWidth="1"/>
    <col min="4" max="4" width="24.7109375" customWidth="1"/>
    <col min="5" max="5" width="12.28515625" customWidth="1"/>
    <col min="6" max="6" width="16.7109375" customWidth="1"/>
    <col min="7" max="7" width="25" customWidth="1"/>
  </cols>
  <sheetData>
    <row r="1" spans="1:9" ht="15.75" hidden="1" x14ac:dyDescent="0.25">
      <c r="A1" s="307"/>
      <c r="B1" s="1251" t="s">
        <v>196</v>
      </c>
      <c r="C1" s="1251"/>
      <c r="D1" s="1251"/>
      <c r="E1" s="1252"/>
      <c r="F1" s="308"/>
    </row>
    <row r="2" spans="1:9" ht="16.5" hidden="1" thickBot="1" x14ac:dyDescent="0.3">
      <c r="A2" s="344" t="s">
        <v>197</v>
      </c>
      <c r="B2" s="302" t="s">
        <v>65</v>
      </c>
      <c r="C2" s="345" t="s">
        <v>0</v>
      </c>
      <c r="D2" s="346">
        <v>2.7</v>
      </c>
      <c r="E2" s="347"/>
      <c r="F2" s="40"/>
    </row>
    <row r="3" spans="1:9" ht="48" hidden="1" thickBot="1" x14ac:dyDescent="0.3">
      <c r="A3" s="344" t="s">
        <v>198</v>
      </c>
      <c r="B3" s="302" t="s">
        <v>73</v>
      </c>
      <c r="C3" s="345" t="s">
        <v>620</v>
      </c>
      <c r="D3" s="346">
        <v>800</v>
      </c>
      <c r="E3" s="305" t="s">
        <v>641</v>
      </c>
      <c r="F3" s="40" t="s">
        <v>262</v>
      </c>
      <c r="G3" t="s">
        <v>981</v>
      </c>
    </row>
    <row r="4" spans="1:9" ht="21" hidden="1" customHeight="1" thickBot="1" x14ac:dyDescent="0.3">
      <c r="A4" s="344" t="s">
        <v>199</v>
      </c>
      <c r="B4" s="302" t="s">
        <v>127</v>
      </c>
      <c r="C4" s="345" t="s">
        <v>0</v>
      </c>
      <c r="D4" s="346">
        <v>2</v>
      </c>
      <c r="E4" s="305" t="s">
        <v>662</v>
      </c>
      <c r="F4" s="40" t="s">
        <v>291</v>
      </c>
    </row>
    <row r="5" spans="1:9" ht="48" hidden="1" thickBot="1" x14ac:dyDescent="0.3">
      <c r="A5" s="344" t="s">
        <v>200</v>
      </c>
      <c r="B5" s="302" t="s">
        <v>201</v>
      </c>
      <c r="C5" s="345" t="s">
        <v>660</v>
      </c>
      <c r="D5" s="346">
        <v>900</v>
      </c>
      <c r="E5" s="305" t="s">
        <v>639</v>
      </c>
      <c r="F5" s="40" t="s">
        <v>290</v>
      </c>
    </row>
    <row r="6" spans="1:9" ht="39" hidden="1" customHeight="1" thickBot="1" x14ac:dyDescent="0.3">
      <c r="A6" s="344" t="s">
        <v>202</v>
      </c>
      <c r="B6" s="302" t="s">
        <v>71</v>
      </c>
      <c r="C6" s="345"/>
      <c r="D6" s="346"/>
      <c r="E6" s="305" t="s">
        <v>625</v>
      </c>
      <c r="F6" s="40" t="s">
        <v>256</v>
      </c>
      <c r="G6" t="s">
        <v>626</v>
      </c>
    </row>
    <row r="7" spans="1:9" ht="15.75" hidden="1" customHeight="1" thickBot="1" x14ac:dyDescent="0.3">
      <c r="A7" s="344" t="s">
        <v>1054</v>
      </c>
      <c r="B7" s="302" t="s">
        <v>628</v>
      </c>
      <c r="C7" s="345" t="s">
        <v>211</v>
      </c>
      <c r="D7" s="346">
        <v>2</v>
      </c>
      <c r="E7" s="305"/>
      <c r="F7" s="40"/>
    </row>
    <row r="8" spans="1:9" ht="32.25" hidden="1" thickBot="1" x14ac:dyDescent="0.3">
      <c r="A8" s="307" t="s">
        <v>1055</v>
      </c>
      <c r="B8" s="310" t="s">
        <v>630</v>
      </c>
      <c r="C8" s="311" t="s">
        <v>211</v>
      </c>
      <c r="D8" s="312"/>
      <c r="E8" s="305"/>
      <c r="F8" s="40"/>
    </row>
    <row r="9" spans="1:9" ht="16.5" hidden="1" thickBot="1" x14ac:dyDescent="0.3">
      <c r="A9" s="344" t="s">
        <v>1056</v>
      </c>
      <c r="B9" s="302" t="s">
        <v>632</v>
      </c>
      <c r="C9" s="345" t="s">
        <v>211</v>
      </c>
      <c r="D9" s="346">
        <v>4</v>
      </c>
      <c r="E9" s="305"/>
      <c r="F9" s="40"/>
    </row>
    <row r="10" spans="1:9" ht="16.5" hidden="1" thickBot="1" x14ac:dyDescent="0.3">
      <c r="A10" s="307" t="s">
        <v>1057</v>
      </c>
      <c r="B10" s="310" t="s">
        <v>634</v>
      </c>
      <c r="C10" s="311" t="s">
        <v>211</v>
      </c>
      <c r="D10" s="312"/>
      <c r="E10" s="305"/>
      <c r="F10" s="40"/>
    </row>
    <row r="11" spans="1:9" ht="16.5" hidden="1" thickBot="1" x14ac:dyDescent="0.3">
      <c r="A11" s="344" t="s">
        <v>203</v>
      </c>
      <c r="B11" s="302" t="s">
        <v>79</v>
      </c>
      <c r="C11" s="345" t="s">
        <v>211</v>
      </c>
      <c r="D11" s="346">
        <v>5</v>
      </c>
      <c r="E11" s="305" t="s">
        <v>635</v>
      </c>
      <c r="F11" s="40" t="s">
        <v>254</v>
      </c>
    </row>
    <row r="12" spans="1:9" ht="16.5" hidden="1" thickBot="1" x14ac:dyDescent="0.3">
      <c r="A12" s="320" t="s">
        <v>204</v>
      </c>
      <c r="B12" s="321" t="s">
        <v>205</v>
      </c>
      <c r="C12" s="337" t="s">
        <v>636</v>
      </c>
      <c r="D12" s="366" t="s">
        <v>1058</v>
      </c>
      <c r="E12" s="340" t="s">
        <v>635</v>
      </c>
      <c r="F12" s="40" t="s">
        <v>254</v>
      </c>
      <c r="G12" t="s">
        <v>638</v>
      </c>
    </row>
    <row r="13" spans="1:9" ht="129" hidden="1" customHeight="1" thickBot="1" x14ac:dyDescent="0.3">
      <c r="A13" s="344" t="s">
        <v>206</v>
      </c>
      <c r="B13" s="302" t="s">
        <v>193</v>
      </c>
      <c r="C13" s="345" t="s">
        <v>622</v>
      </c>
      <c r="D13" s="346">
        <v>1</v>
      </c>
      <c r="E13" s="340" t="s">
        <v>639</v>
      </c>
      <c r="F13" s="375" t="s">
        <v>649</v>
      </c>
      <c r="G13" t="s">
        <v>650</v>
      </c>
    </row>
    <row r="14" spans="1:9" ht="16.5" hidden="1" customHeight="1" x14ac:dyDescent="0.25">
      <c r="A14" s="28"/>
      <c r="B14" s="29"/>
      <c r="C14" s="30"/>
      <c r="D14" s="31"/>
      <c r="E14" s="32"/>
    </row>
    <row r="15" spans="1:9" s="828" customFormat="1" ht="27" customHeight="1" x14ac:dyDescent="0.25">
      <c r="A15" s="1254" t="s">
        <v>2397</v>
      </c>
      <c r="B15" s="1254"/>
      <c r="C15" s="1254"/>
      <c r="E15" s="835"/>
      <c r="F15" s="835" t="s">
        <v>2398</v>
      </c>
      <c r="G15" s="835"/>
      <c r="H15" s="835"/>
      <c r="I15" s="835"/>
    </row>
    <row r="16" spans="1:9" s="831" customFormat="1" x14ac:dyDescent="0.25">
      <c r="A16" s="829"/>
      <c r="B16" s="829"/>
      <c r="C16" s="829"/>
      <c r="D16" s="830"/>
      <c r="E16" s="830"/>
      <c r="F16" s="830"/>
      <c r="G16" s="830"/>
      <c r="H16" s="830"/>
      <c r="I16" s="830"/>
    </row>
    <row r="17" spans="1:11" s="831" customFormat="1" x14ac:dyDescent="0.25">
      <c r="A17" s="829"/>
      <c r="B17" s="829"/>
      <c r="C17" s="829"/>
      <c r="D17" s="830"/>
      <c r="E17" s="830"/>
      <c r="F17" s="830"/>
      <c r="G17" s="830"/>
      <c r="H17" s="830"/>
      <c r="I17" s="830"/>
    </row>
    <row r="18" spans="1:11" s="828" customFormat="1" ht="28.5" customHeight="1" x14ac:dyDescent="0.25">
      <c r="A18" s="1255" t="s">
        <v>2421</v>
      </c>
      <c r="B18" s="1255"/>
      <c r="C18" s="1255"/>
      <c r="D18" s="1255"/>
      <c r="E18" s="1255"/>
      <c r="F18" s="1255"/>
      <c r="G18" s="836"/>
      <c r="H18" s="836"/>
      <c r="I18" s="836"/>
    </row>
    <row r="19" spans="1:11" s="839" customFormat="1" ht="15.75" x14ac:dyDescent="0.25">
      <c r="A19" s="1256" t="s">
        <v>1112</v>
      </c>
      <c r="B19" s="1256"/>
      <c r="C19" s="1256"/>
      <c r="D19" s="1256"/>
      <c r="E19" s="1256"/>
      <c r="F19" s="1256"/>
      <c r="G19" s="838"/>
      <c r="H19" s="838"/>
      <c r="I19" s="838"/>
    </row>
    <row r="20" spans="1:11" s="828" customFormat="1" ht="15.75" x14ac:dyDescent="0.25">
      <c r="A20" s="840"/>
      <c r="B20" s="840"/>
      <c r="C20" s="840"/>
      <c r="D20" s="841"/>
      <c r="E20" s="841"/>
      <c r="F20" s="841"/>
      <c r="G20" s="829"/>
      <c r="H20" s="832"/>
      <c r="I20" s="832"/>
    </row>
    <row r="21" spans="1:11" s="828" customFormat="1" ht="81" customHeight="1" x14ac:dyDescent="0.25">
      <c r="A21" s="1258" t="s">
        <v>2399</v>
      </c>
      <c r="B21" s="1258"/>
      <c r="C21" s="1257" t="s">
        <v>2422</v>
      </c>
      <c r="D21" s="1257"/>
      <c r="E21" s="1257"/>
      <c r="F21" s="1257"/>
      <c r="G21" s="837"/>
      <c r="H21" s="837"/>
      <c r="I21" s="837"/>
    </row>
    <row r="22" spans="1:11" s="828" customFormat="1" ht="15.75" x14ac:dyDescent="0.25">
      <c r="A22" s="842"/>
      <c r="B22" s="842"/>
      <c r="C22" s="842"/>
      <c r="D22" s="840"/>
      <c r="E22" s="840"/>
      <c r="F22" s="840"/>
      <c r="G22" s="832"/>
      <c r="H22" s="832"/>
      <c r="I22" s="832"/>
    </row>
    <row r="23" spans="1:11" s="828" customFormat="1" ht="41.25" customHeight="1" x14ac:dyDescent="0.25">
      <c r="A23" s="1253" t="s">
        <v>1203</v>
      </c>
      <c r="B23" s="1253"/>
      <c r="C23" s="843"/>
      <c r="D23" s="843"/>
      <c r="E23" s="843"/>
      <c r="F23" s="843"/>
      <c r="G23" s="833"/>
      <c r="H23" s="833"/>
      <c r="I23" s="833"/>
    </row>
    <row r="24" spans="1:11" s="828" customFormat="1" ht="15.75" x14ac:dyDescent="0.25">
      <c r="A24" s="840"/>
      <c r="B24" s="840"/>
      <c r="C24" s="840"/>
      <c r="D24" s="840"/>
      <c r="E24" s="840"/>
      <c r="F24" s="840"/>
      <c r="G24" s="832"/>
      <c r="H24" s="832"/>
      <c r="I24" s="832"/>
    </row>
    <row r="25" spans="1:11" s="828" customFormat="1" ht="30" customHeight="1" x14ac:dyDescent="0.25">
      <c r="A25" s="1253" t="s">
        <v>2400</v>
      </c>
      <c r="B25" s="1253"/>
      <c r="C25" s="843" t="s">
        <v>2403</v>
      </c>
      <c r="D25" s="843"/>
      <c r="E25" s="843"/>
      <c r="F25" s="843"/>
      <c r="G25" s="833"/>
      <c r="H25" s="833"/>
      <c r="I25" s="833"/>
    </row>
    <row r="26" spans="1:11" ht="15.75" x14ac:dyDescent="0.25">
      <c r="A26" s="28"/>
      <c r="B26" s="29"/>
      <c r="C26" s="30"/>
      <c r="D26" s="31"/>
      <c r="E26" s="32"/>
    </row>
    <row r="27" spans="1:11" s="392" customFormat="1" ht="15.75" x14ac:dyDescent="0.25">
      <c r="A27" s="391"/>
      <c r="B27" s="1262" t="s">
        <v>213</v>
      </c>
      <c r="C27" s="1262"/>
      <c r="D27" s="1262"/>
      <c r="E27" s="1262"/>
      <c r="F27" s="1262"/>
    </row>
    <row r="28" spans="1:11" s="294" customFormat="1" ht="38.25" x14ac:dyDescent="0.25">
      <c r="A28" s="298" t="s">
        <v>529</v>
      </c>
      <c r="B28" s="298" t="s">
        <v>528</v>
      </c>
      <c r="C28" s="298" t="s">
        <v>527</v>
      </c>
      <c r="D28" s="271" t="s">
        <v>526</v>
      </c>
      <c r="E28" s="377"/>
      <c r="F28" s="298" t="s">
        <v>525</v>
      </c>
    </row>
    <row r="29" spans="1:11" s="268" customFormat="1" ht="12.75" x14ac:dyDescent="0.2">
      <c r="A29" s="298">
        <v>1</v>
      </c>
      <c r="B29" s="298">
        <v>2</v>
      </c>
      <c r="C29" s="298">
        <v>3</v>
      </c>
      <c r="D29" s="298">
        <v>4</v>
      </c>
      <c r="E29" s="298"/>
      <c r="F29" s="298">
        <v>5</v>
      </c>
      <c r="G29" s="295"/>
    </row>
    <row r="30" spans="1:11" x14ac:dyDescent="0.25">
      <c r="A30" s="272"/>
      <c r="B30" s="861" t="s">
        <v>73</v>
      </c>
      <c r="C30" s="862">
        <f>D3</f>
        <v>800</v>
      </c>
      <c r="D30" s="862" t="s">
        <v>1060</v>
      </c>
      <c r="E30" s="854"/>
      <c r="F30" s="854"/>
    </row>
    <row r="31" spans="1:11" s="2" customFormat="1" ht="63.75" x14ac:dyDescent="0.25">
      <c r="A31" s="272"/>
      <c r="B31" s="863" t="s">
        <v>1059</v>
      </c>
      <c r="C31" s="863" t="s">
        <v>1061</v>
      </c>
      <c r="D31" s="864" t="s">
        <v>1062</v>
      </c>
      <c r="E31" s="854"/>
      <c r="F31" s="855">
        <f>(25.97+0.063*800)*1*D32*D33*D34*D35*C54*1000</f>
        <v>393234.48067312507</v>
      </c>
      <c r="I31"/>
      <c r="J31"/>
      <c r="K31"/>
    </row>
    <row r="32" spans="1:11" s="3" customFormat="1" x14ac:dyDescent="0.25">
      <c r="A32" s="276"/>
      <c r="B32" s="865" t="s">
        <v>4</v>
      </c>
      <c r="C32" s="865" t="s">
        <v>852</v>
      </c>
      <c r="D32" s="866">
        <v>0.5</v>
      </c>
      <c r="E32" s="866"/>
      <c r="F32" s="866"/>
      <c r="I32"/>
      <c r="J32"/>
      <c r="K32"/>
    </row>
    <row r="33" spans="1:8" ht="63.75" x14ac:dyDescent="0.25">
      <c r="A33" s="272"/>
      <c r="B33" s="394" t="s">
        <v>276</v>
      </c>
      <c r="C33" s="854" t="s">
        <v>277</v>
      </c>
      <c r="D33" s="867">
        <v>1.3</v>
      </c>
      <c r="E33" s="854"/>
      <c r="F33" s="854"/>
    </row>
    <row r="34" spans="1:8" ht="63.75" x14ac:dyDescent="0.25">
      <c r="A34" s="272"/>
      <c r="B34" s="394" t="s">
        <v>278</v>
      </c>
      <c r="C34" s="854" t="s">
        <v>279</v>
      </c>
      <c r="D34" s="868">
        <v>1.25</v>
      </c>
      <c r="E34" s="854"/>
      <c r="F34" s="854"/>
    </row>
    <row r="35" spans="1:8" ht="89.25" x14ac:dyDescent="0.25">
      <c r="A35" s="272"/>
      <c r="B35" s="394" t="s">
        <v>15</v>
      </c>
      <c r="C35" s="394" t="s">
        <v>275</v>
      </c>
      <c r="D35" s="854">
        <f>E36/1</f>
        <v>1.191225</v>
      </c>
      <c r="E35" s="854"/>
      <c r="F35" s="854"/>
    </row>
    <row r="36" spans="1:8" x14ac:dyDescent="0.25">
      <c r="A36" s="272"/>
      <c r="B36" s="390" t="s">
        <v>6</v>
      </c>
      <c r="C36" s="869">
        <f>SUM(C37:C52)</f>
        <v>1</v>
      </c>
      <c r="D36" s="870"/>
      <c r="E36" s="871">
        <f>SUM(E37:E52)</f>
        <v>1.191225</v>
      </c>
      <c r="F36" s="872"/>
      <c r="G36" s="9"/>
      <c r="H36" s="9"/>
    </row>
    <row r="37" spans="1:8" hidden="1" outlineLevel="1" x14ac:dyDescent="0.25">
      <c r="A37" s="272"/>
      <c r="B37" s="394" t="s">
        <v>20</v>
      </c>
      <c r="C37" s="873">
        <v>0.02</v>
      </c>
      <c r="D37" s="874">
        <v>1</v>
      </c>
      <c r="E37" s="875">
        <f>C37*D37</f>
        <v>0.02</v>
      </c>
      <c r="F37" s="854"/>
    </row>
    <row r="38" spans="1:8" hidden="1" outlineLevel="1" x14ac:dyDescent="0.25">
      <c r="A38" s="272"/>
      <c r="B38" s="394" t="s">
        <v>265</v>
      </c>
      <c r="C38" s="873">
        <v>0.02</v>
      </c>
      <c r="D38" s="874" t="s">
        <v>16</v>
      </c>
      <c r="E38" s="875">
        <f>C38*(1+0.3)</f>
        <v>2.6000000000000002E-2</v>
      </c>
      <c r="F38" s="854"/>
    </row>
    <row r="39" spans="1:8" ht="38.25" hidden="1" outlineLevel="1" x14ac:dyDescent="0.25">
      <c r="A39" s="272"/>
      <c r="B39" s="394" t="s">
        <v>266</v>
      </c>
      <c r="C39" s="873"/>
      <c r="D39" s="876"/>
      <c r="E39" s="873"/>
      <c r="F39" s="854"/>
    </row>
    <row r="40" spans="1:8" hidden="1" outlineLevel="1" x14ac:dyDescent="0.25">
      <c r="A40" s="272"/>
      <c r="B40" s="877" t="s">
        <v>43</v>
      </c>
      <c r="C40" s="878">
        <v>0.245</v>
      </c>
      <c r="D40" s="874" t="s">
        <v>16</v>
      </c>
      <c r="E40" s="875">
        <f>C40*(1+0.3)</f>
        <v>0.31850000000000001</v>
      </c>
      <c r="F40" s="854"/>
    </row>
    <row r="41" spans="1:8" hidden="1" outlineLevel="1" x14ac:dyDescent="0.25">
      <c r="A41" s="272"/>
      <c r="B41" s="877" t="s">
        <v>267</v>
      </c>
      <c r="C41" s="878">
        <v>0.27500000000000002</v>
      </c>
      <c r="D41" s="874" t="s">
        <v>16</v>
      </c>
      <c r="E41" s="875">
        <f>C41*(1+0.3)</f>
        <v>0.35750000000000004</v>
      </c>
      <c r="F41" s="854"/>
    </row>
    <row r="42" spans="1:8" hidden="1" outlineLevel="1" x14ac:dyDescent="0.25">
      <c r="A42" s="272"/>
      <c r="B42" s="877" t="s">
        <v>268</v>
      </c>
      <c r="C42" s="878">
        <v>1.4999999999999999E-2</v>
      </c>
      <c r="D42" s="874" t="s">
        <v>16</v>
      </c>
      <c r="E42" s="875">
        <f>C42*(1+0.3)</f>
        <v>1.95E-2</v>
      </c>
      <c r="F42" s="854"/>
    </row>
    <row r="43" spans="1:8" hidden="1" outlineLevel="1" x14ac:dyDescent="0.25">
      <c r="A43" s="272"/>
      <c r="B43" s="877" t="s">
        <v>269</v>
      </c>
      <c r="C43" s="878">
        <v>2.5000000000000001E-2</v>
      </c>
      <c r="D43" s="879">
        <v>1</v>
      </c>
      <c r="E43" s="878">
        <f>C43*D43</f>
        <v>2.5000000000000001E-2</v>
      </c>
      <c r="F43" s="854"/>
    </row>
    <row r="44" spans="1:8" hidden="1" outlineLevel="1" x14ac:dyDescent="0.25">
      <c r="A44" s="272"/>
      <c r="B44" s="877" t="s">
        <v>37</v>
      </c>
      <c r="C44" s="878">
        <v>0.1</v>
      </c>
      <c r="D44" s="876">
        <v>1</v>
      </c>
      <c r="E44" s="878">
        <f>C44*D44</f>
        <v>0.1</v>
      </c>
      <c r="F44" s="854"/>
    </row>
    <row r="45" spans="1:8" hidden="1" outlineLevel="1" x14ac:dyDescent="0.25">
      <c r="A45" s="272"/>
      <c r="B45" s="877" t="s">
        <v>270</v>
      </c>
      <c r="C45" s="878">
        <v>2.5000000000000001E-2</v>
      </c>
      <c r="D45" s="879">
        <v>1</v>
      </c>
      <c r="E45" s="878">
        <f>C45*D45</f>
        <v>2.5000000000000001E-2</v>
      </c>
      <c r="F45" s="854"/>
    </row>
    <row r="46" spans="1:8" hidden="1" outlineLevel="1" x14ac:dyDescent="0.25">
      <c r="A46" s="272"/>
      <c r="B46" s="877" t="s">
        <v>271</v>
      </c>
      <c r="C46" s="878">
        <v>1.4999999999999999E-2</v>
      </c>
      <c r="D46" s="879">
        <v>1</v>
      </c>
      <c r="E46" s="878">
        <f>C46*D46</f>
        <v>1.4999999999999999E-2</v>
      </c>
      <c r="F46" s="854"/>
    </row>
    <row r="47" spans="1:8" ht="25.5" hidden="1" outlineLevel="1" x14ac:dyDescent="0.25">
      <c r="A47" s="272"/>
      <c r="B47" s="394" t="s">
        <v>272</v>
      </c>
      <c r="C47" s="878">
        <v>0.06</v>
      </c>
      <c r="D47" s="874" t="s">
        <v>16</v>
      </c>
      <c r="E47" s="878">
        <f>C47*(1+0.3)</f>
        <v>7.8E-2</v>
      </c>
      <c r="F47" s="854"/>
    </row>
    <row r="48" spans="1:8" hidden="1" outlineLevel="1" x14ac:dyDescent="0.25">
      <c r="A48" s="272"/>
      <c r="B48" s="394" t="s">
        <v>30</v>
      </c>
      <c r="C48" s="878">
        <v>0.02</v>
      </c>
      <c r="D48" s="879">
        <v>1</v>
      </c>
      <c r="E48" s="878">
        <f>C48*D48</f>
        <v>0.02</v>
      </c>
      <c r="F48" s="854"/>
    </row>
    <row r="49" spans="1:11" hidden="1" outlineLevel="1" x14ac:dyDescent="0.25">
      <c r="A49" s="272"/>
      <c r="B49" s="394" t="s">
        <v>273</v>
      </c>
      <c r="C49" s="878">
        <v>0.01</v>
      </c>
      <c r="D49" s="876">
        <v>1</v>
      </c>
      <c r="E49" s="878">
        <f>C49*D49</f>
        <v>0.01</v>
      </c>
      <c r="F49" s="854"/>
    </row>
    <row r="50" spans="1:11" hidden="1" outlineLevel="1" x14ac:dyDescent="0.25">
      <c r="A50" s="272"/>
      <c r="B50" s="394" t="s">
        <v>274</v>
      </c>
      <c r="C50" s="878">
        <v>0.09</v>
      </c>
      <c r="D50" s="879">
        <v>1</v>
      </c>
      <c r="E50" s="878">
        <f>C50*D50</f>
        <v>0.09</v>
      </c>
      <c r="F50" s="854"/>
    </row>
    <row r="51" spans="1:11" hidden="1" outlineLevel="1" x14ac:dyDescent="0.25">
      <c r="A51" s="272"/>
      <c r="B51" s="394" t="s">
        <v>32</v>
      </c>
      <c r="C51" s="878">
        <v>0.03</v>
      </c>
      <c r="D51" s="879">
        <v>1</v>
      </c>
      <c r="E51" s="878">
        <f>C51*D51</f>
        <v>0.03</v>
      </c>
      <c r="F51" s="854"/>
    </row>
    <row r="52" spans="1:11" hidden="1" outlineLevel="1" x14ac:dyDescent="0.25">
      <c r="A52" s="272"/>
      <c r="B52" s="394" t="s">
        <v>212</v>
      </c>
      <c r="C52" s="878">
        <v>0.05</v>
      </c>
      <c r="D52" s="876"/>
      <c r="E52" s="875">
        <f>SUM(E37:E51)*C52</f>
        <v>5.6725000000000005E-2</v>
      </c>
      <c r="F52" s="854"/>
    </row>
    <row r="53" spans="1:11" s="19" customFormat="1" ht="15.75" collapsed="1" x14ac:dyDescent="0.25">
      <c r="A53" s="386"/>
      <c r="B53" s="862" t="s">
        <v>48</v>
      </c>
      <c r="C53" s="862"/>
      <c r="D53" s="862"/>
      <c r="E53" s="862"/>
      <c r="F53" s="862"/>
    </row>
    <row r="54" spans="1:11" s="19" customFormat="1" ht="15.75" x14ac:dyDescent="0.25">
      <c r="A54" s="386"/>
      <c r="B54" s="862" t="s">
        <v>49</v>
      </c>
      <c r="C54" s="862">
        <v>5.32</v>
      </c>
      <c r="D54" s="880"/>
      <c r="E54" s="862"/>
      <c r="F54" s="862"/>
    </row>
    <row r="55" spans="1:11" x14ac:dyDescent="0.25">
      <c r="A55" s="272"/>
      <c r="B55" s="861" t="s">
        <v>127</v>
      </c>
      <c r="C55" s="862">
        <v>2</v>
      </c>
      <c r="D55" s="862" t="s">
        <v>0</v>
      </c>
      <c r="E55" s="854"/>
      <c r="F55" s="854"/>
    </row>
    <row r="56" spans="1:11" s="2" customFormat="1" ht="114.75" x14ac:dyDescent="0.25">
      <c r="A56" s="272"/>
      <c r="B56" s="394" t="s">
        <v>535</v>
      </c>
      <c r="C56" s="394" t="s">
        <v>1063</v>
      </c>
      <c r="D56" s="864" t="s">
        <v>1073</v>
      </c>
      <c r="E56" s="854"/>
      <c r="F56" s="855">
        <f>(21.43+2.55*C55)*D57*D58*D59*C70*1000</f>
        <v>68096.695472960026</v>
      </c>
      <c r="I56"/>
      <c r="J56"/>
      <c r="K56"/>
    </row>
    <row r="57" spans="1:11" s="3" customFormat="1" x14ac:dyDescent="0.25">
      <c r="A57" s="276"/>
      <c r="B57" s="865" t="s">
        <v>4</v>
      </c>
      <c r="C57" s="865" t="s">
        <v>5</v>
      </c>
      <c r="D57" s="866">
        <v>0.4</v>
      </c>
      <c r="E57" s="866"/>
      <c r="F57" s="866"/>
      <c r="I57"/>
      <c r="J57"/>
      <c r="K57"/>
    </row>
    <row r="58" spans="1:11" ht="38.25" x14ac:dyDescent="0.25">
      <c r="A58" s="272"/>
      <c r="B58" s="394" t="s">
        <v>17</v>
      </c>
      <c r="C58" s="854" t="s">
        <v>18</v>
      </c>
      <c r="D58" s="867">
        <v>1.1000000000000001</v>
      </c>
      <c r="E58" s="854"/>
      <c r="F58" s="854"/>
    </row>
    <row r="59" spans="1:11" ht="89.25" x14ac:dyDescent="0.25">
      <c r="A59" s="272"/>
      <c r="B59" s="394" t="s">
        <v>15</v>
      </c>
      <c r="C59" s="394" t="s">
        <v>1072</v>
      </c>
      <c r="D59" s="854">
        <f>E60/1</f>
        <v>1.0965400000000001</v>
      </c>
      <c r="E59" s="854"/>
      <c r="F59" s="854"/>
    </row>
    <row r="60" spans="1:11" x14ac:dyDescent="0.25">
      <c r="A60" s="272"/>
      <c r="B60" s="390" t="s">
        <v>6</v>
      </c>
      <c r="C60" s="869">
        <f>SUM(C61:C68)</f>
        <v>1.0000000000000002</v>
      </c>
      <c r="D60" s="870"/>
      <c r="E60" s="871">
        <f>SUM(E61:E68)</f>
        <v>1.0965400000000001</v>
      </c>
      <c r="F60" s="872"/>
      <c r="G60" s="9"/>
      <c r="H60" s="9"/>
    </row>
    <row r="61" spans="1:11" hidden="1" outlineLevel="1" x14ac:dyDescent="0.25">
      <c r="A61" s="272"/>
      <c r="B61" s="854" t="s">
        <v>7</v>
      </c>
      <c r="C61" s="873">
        <v>0.23</v>
      </c>
      <c r="D61" s="879">
        <v>1</v>
      </c>
      <c r="E61" s="875">
        <f>C61*1</f>
        <v>0.23</v>
      </c>
      <c r="F61" s="870"/>
      <c r="G61" s="6"/>
      <c r="H61" s="6"/>
    </row>
    <row r="62" spans="1:11" hidden="1" outlineLevel="1" x14ac:dyDescent="0.25">
      <c r="A62" s="272"/>
      <c r="B62" s="854" t="s">
        <v>14</v>
      </c>
      <c r="C62" s="873">
        <v>0.09</v>
      </c>
      <c r="D62" s="854">
        <v>1</v>
      </c>
      <c r="E62" s="875">
        <f>C62*D62</f>
        <v>0.09</v>
      </c>
      <c r="F62" s="854"/>
    </row>
    <row r="63" spans="1:11" hidden="1" outlineLevel="1" x14ac:dyDescent="0.25">
      <c r="A63" s="272"/>
      <c r="B63" s="854" t="s">
        <v>8</v>
      </c>
      <c r="C63" s="873">
        <v>0.13</v>
      </c>
      <c r="D63" s="876">
        <v>1</v>
      </c>
      <c r="E63" s="875">
        <f>C63*D63</f>
        <v>0.13</v>
      </c>
      <c r="F63" s="854"/>
    </row>
    <row r="64" spans="1:11" hidden="1" outlineLevel="1" x14ac:dyDescent="0.25">
      <c r="A64" s="272"/>
      <c r="B64" s="854" t="s">
        <v>9</v>
      </c>
      <c r="C64" s="873">
        <v>0.14000000000000001</v>
      </c>
      <c r="D64" s="876">
        <v>1</v>
      </c>
      <c r="E64" s="875">
        <f>C64*D64</f>
        <v>0.14000000000000001</v>
      </c>
      <c r="F64" s="854"/>
    </row>
    <row r="65" spans="1:11" hidden="1" outlineLevel="1" x14ac:dyDescent="0.25">
      <c r="A65" s="272"/>
      <c r="B65" s="854" t="s">
        <v>10</v>
      </c>
      <c r="C65" s="873">
        <v>0.16</v>
      </c>
      <c r="D65" s="879" t="s">
        <v>16</v>
      </c>
      <c r="E65" s="875">
        <f>C65*(1+0.3)</f>
        <v>0.20800000000000002</v>
      </c>
      <c r="F65" s="870"/>
      <c r="G65" s="6"/>
      <c r="H65" s="6"/>
    </row>
    <row r="66" spans="1:11" hidden="1" outlineLevel="1" x14ac:dyDescent="0.25">
      <c r="A66" s="272"/>
      <c r="B66" s="854" t="s">
        <v>11</v>
      </c>
      <c r="C66" s="873">
        <v>0.09</v>
      </c>
      <c r="D66" s="879" t="s">
        <v>16</v>
      </c>
      <c r="E66" s="875">
        <f>C66*(1+0.3)</f>
        <v>0.11699999999999999</v>
      </c>
      <c r="F66" s="870"/>
      <c r="G66" s="6"/>
      <c r="H66" s="6"/>
    </row>
    <row r="67" spans="1:11" hidden="1" outlineLevel="1" x14ac:dyDescent="0.25">
      <c r="A67" s="272"/>
      <c r="B67" s="854" t="s">
        <v>12</v>
      </c>
      <c r="C67" s="873">
        <v>7.0000000000000007E-2</v>
      </c>
      <c r="D67" s="879" t="s">
        <v>16</v>
      </c>
      <c r="E67" s="875">
        <f>C67*(1+0.3)</f>
        <v>9.1000000000000011E-2</v>
      </c>
      <c r="F67" s="870"/>
      <c r="G67" s="6"/>
      <c r="H67" s="6"/>
    </row>
    <row r="68" spans="1:11" hidden="1" outlineLevel="1" x14ac:dyDescent="0.25">
      <c r="A68" s="272"/>
      <c r="B68" s="854" t="s">
        <v>13</v>
      </c>
      <c r="C68" s="873">
        <v>0.09</v>
      </c>
      <c r="D68" s="854"/>
      <c r="E68" s="881">
        <f>SUM(E61:E67)*C68</f>
        <v>9.0539999999999995E-2</v>
      </c>
      <c r="F68" s="882"/>
      <c r="G68" s="7"/>
      <c r="H68" s="7"/>
      <c r="I68" s="8"/>
    </row>
    <row r="69" spans="1:11" s="19" customFormat="1" ht="15.75" collapsed="1" x14ac:dyDescent="0.25">
      <c r="A69" s="386"/>
      <c r="B69" s="862" t="s">
        <v>48</v>
      </c>
      <c r="C69" s="862"/>
      <c r="D69" s="862"/>
      <c r="E69" s="862"/>
      <c r="F69" s="862"/>
    </row>
    <row r="70" spans="1:11" s="19" customFormat="1" ht="15.75" x14ac:dyDescent="0.25">
      <c r="A70" s="386"/>
      <c r="B70" s="862" t="s">
        <v>49</v>
      </c>
      <c r="C70" s="862">
        <v>5.32</v>
      </c>
      <c r="D70" s="880"/>
      <c r="E70" s="862"/>
      <c r="F70" s="862"/>
    </row>
    <row r="71" spans="1:11" x14ac:dyDescent="0.25">
      <c r="A71" s="272"/>
      <c r="B71" s="861" t="s">
        <v>122</v>
      </c>
      <c r="C71" s="862">
        <v>1</v>
      </c>
      <c r="D71" s="862" t="s">
        <v>304</v>
      </c>
      <c r="E71" s="854"/>
      <c r="F71" s="854"/>
    </row>
    <row r="72" spans="1:11" s="2" customFormat="1" ht="51" x14ac:dyDescent="0.25">
      <c r="A72" s="272"/>
      <c r="B72" s="854" t="s">
        <v>931</v>
      </c>
      <c r="C72" s="394" t="s">
        <v>303</v>
      </c>
      <c r="D72" s="864" t="s">
        <v>305</v>
      </c>
      <c r="E72" s="854"/>
      <c r="F72" s="855">
        <f>42.32*1*D74*D73*D75*C95*1000</f>
        <v>27173.787110400015</v>
      </c>
      <c r="G72" s="37"/>
      <c r="H72" s="37"/>
      <c r="I72"/>
      <c r="J72"/>
      <c r="K72"/>
    </row>
    <row r="73" spans="1:11" s="3" customFormat="1" x14ac:dyDescent="0.25">
      <c r="A73" s="276"/>
      <c r="B73" s="865" t="s">
        <v>4</v>
      </c>
      <c r="C73" s="865" t="s">
        <v>5</v>
      </c>
      <c r="D73" s="866">
        <v>0.4</v>
      </c>
      <c r="E73" s="866"/>
      <c r="F73" s="866"/>
      <c r="I73"/>
      <c r="J73"/>
      <c r="K73"/>
    </row>
    <row r="74" spans="1:11" ht="114.75" x14ac:dyDescent="0.25">
      <c r="A74" s="272"/>
      <c r="B74" s="394" t="s">
        <v>310</v>
      </c>
      <c r="C74" s="394" t="s">
        <v>311</v>
      </c>
      <c r="D74" s="854">
        <v>0.25</v>
      </c>
      <c r="E74" s="854"/>
      <c r="F74" s="854"/>
    </row>
    <row r="75" spans="1:11" ht="89.25" x14ac:dyDescent="0.25">
      <c r="A75" s="272"/>
      <c r="B75" s="394" t="s">
        <v>15</v>
      </c>
      <c r="C75" s="394" t="s">
        <v>215</v>
      </c>
      <c r="D75" s="854">
        <f>E76/1</f>
        <v>1.2069600000000005</v>
      </c>
      <c r="E75" s="854"/>
      <c r="F75" s="854"/>
    </row>
    <row r="76" spans="1:11" x14ac:dyDescent="0.25">
      <c r="A76" s="272"/>
      <c r="B76" s="390" t="s">
        <v>6</v>
      </c>
      <c r="C76" s="869">
        <f>SUM(C77:C93)</f>
        <v>1.0000000000000002</v>
      </c>
      <c r="D76" s="870"/>
      <c r="E76" s="871">
        <f>SUM(E77:E93)</f>
        <v>1.2069600000000005</v>
      </c>
      <c r="F76" s="872"/>
      <c r="G76" s="9"/>
      <c r="H76" s="9"/>
    </row>
    <row r="77" spans="1:11" hidden="1" outlineLevel="1" x14ac:dyDescent="0.25">
      <c r="A77" s="272"/>
      <c r="B77" s="394" t="s">
        <v>20</v>
      </c>
      <c r="C77" s="873">
        <v>0.02</v>
      </c>
      <c r="D77" s="879">
        <v>1</v>
      </c>
      <c r="E77" s="875">
        <f>C77*D77</f>
        <v>0.02</v>
      </c>
      <c r="F77" s="870"/>
      <c r="G77" s="6"/>
      <c r="H77" s="6"/>
    </row>
    <row r="78" spans="1:11" ht="25.5" hidden="1" outlineLevel="1" x14ac:dyDescent="0.25">
      <c r="A78" s="272"/>
      <c r="B78" s="394" t="s">
        <v>21</v>
      </c>
      <c r="C78" s="873">
        <v>0.04</v>
      </c>
      <c r="D78" s="854">
        <v>1</v>
      </c>
      <c r="E78" s="875">
        <f>C78*D78</f>
        <v>0.04</v>
      </c>
      <c r="F78" s="854"/>
    </row>
    <row r="79" spans="1:11" hidden="1" outlineLevel="1" x14ac:dyDescent="0.25">
      <c r="A79" s="272"/>
      <c r="B79" s="394" t="s">
        <v>22</v>
      </c>
      <c r="C79" s="873">
        <v>0.14000000000000001</v>
      </c>
      <c r="D79" s="879" t="s">
        <v>16</v>
      </c>
      <c r="E79" s="875">
        <f>C79*(1+0.3)</f>
        <v>0.18200000000000002</v>
      </c>
      <c r="F79" s="854"/>
    </row>
    <row r="80" spans="1:11" hidden="1" outlineLevel="1" x14ac:dyDescent="0.25">
      <c r="A80" s="272"/>
      <c r="B80" s="394" t="s">
        <v>23</v>
      </c>
      <c r="C80" s="873">
        <v>0.15</v>
      </c>
      <c r="D80" s="879" t="s">
        <v>16</v>
      </c>
      <c r="E80" s="875">
        <f>C80*(1+0.3)</f>
        <v>0.19500000000000001</v>
      </c>
      <c r="F80" s="854"/>
    </row>
    <row r="81" spans="1:9" ht="25.5" hidden="1" outlineLevel="1" x14ac:dyDescent="0.25">
      <c r="A81" s="272"/>
      <c r="B81" s="394" t="s">
        <v>36</v>
      </c>
      <c r="C81" s="873"/>
      <c r="D81" s="879"/>
      <c r="E81" s="875">
        <f>C81*(1+0.3)</f>
        <v>0</v>
      </c>
      <c r="F81" s="870"/>
      <c r="G81" s="6"/>
      <c r="H81" s="6"/>
    </row>
    <row r="82" spans="1:9" hidden="1" outlineLevel="1" x14ac:dyDescent="0.25">
      <c r="A82" s="272"/>
      <c r="B82" s="877" t="s">
        <v>37</v>
      </c>
      <c r="C82" s="873">
        <v>7.0000000000000007E-2</v>
      </c>
      <c r="D82" s="879" t="s">
        <v>16</v>
      </c>
      <c r="E82" s="875">
        <f>C82*(1+0.3)</f>
        <v>9.1000000000000011E-2</v>
      </c>
      <c r="F82" s="870"/>
      <c r="G82" s="6"/>
      <c r="H82" s="6"/>
    </row>
    <row r="83" spans="1:9" hidden="1" outlineLevel="1" x14ac:dyDescent="0.25">
      <c r="A83" s="272"/>
      <c r="B83" s="877" t="s">
        <v>38</v>
      </c>
      <c r="C83" s="873">
        <v>0.04</v>
      </c>
      <c r="D83" s="879" t="s">
        <v>16</v>
      </c>
      <c r="E83" s="875">
        <f t="shared" ref="E83:E88" si="0">C83*(1+0.3)</f>
        <v>5.2000000000000005E-2</v>
      </c>
      <c r="F83" s="870"/>
      <c r="G83" s="6"/>
      <c r="H83" s="6"/>
    </row>
    <row r="84" spans="1:9" hidden="1" outlineLevel="1" x14ac:dyDescent="0.25">
      <c r="A84" s="272"/>
      <c r="B84" s="877" t="s">
        <v>39</v>
      </c>
      <c r="C84" s="873">
        <v>0.04</v>
      </c>
      <c r="D84" s="879" t="s">
        <v>16</v>
      </c>
      <c r="E84" s="875">
        <f t="shared" si="0"/>
        <v>5.2000000000000005E-2</v>
      </c>
      <c r="F84" s="882"/>
      <c r="G84" s="7"/>
      <c r="H84" s="7"/>
      <c r="I84" s="8"/>
    </row>
    <row r="85" spans="1:9" hidden="1" outlineLevel="1" x14ac:dyDescent="0.25">
      <c r="A85" s="272"/>
      <c r="B85" s="877" t="s">
        <v>40</v>
      </c>
      <c r="C85" s="873">
        <v>0.12</v>
      </c>
      <c r="D85" s="879" t="s">
        <v>16</v>
      </c>
      <c r="E85" s="875">
        <f t="shared" si="0"/>
        <v>0.156</v>
      </c>
      <c r="F85" s="870"/>
      <c r="G85" s="6"/>
      <c r="H85" s="6"/>
    </row>
    <row r="86" spans="1:9" hidden="1" outlineLevel="1" x14ac:dyDescent="0.25">
      <c r="A86" s="272"/>
      <c r="B86" s="877" t="s">
        <v>41</v>
      </c>
      <c r="C86" s="873">
        <v>0.03</v>
      </c>
      <c r="D86" s="879" t="s">
        <v>16</v>
      </c>
      <c r="E86" s="875">
        <f t="shared" si="0"/>
        <v>3.9E-2</v>
      </c>
      <c r="F86" s="854"/>
    </row>
    <row r="87" spans="1:9" hidden="1" outlineLevel="1" x14ac:dyDescent="0.25">
      <c r="A87" s="272"/>
      <c r="B87" s="877" t="s">
        <v>42</v>
      </c>
      <c r="C87" s="873">
        <v>0.02</v>
      </c>
      <c r="D87" s="879" t="s">
        <v>16</v>
      </c>
      <c r="E87" s="875">
        <f t="shared" si="0"/>
        <v>2.6000000000000002E-2</v>
      </c>
      <c r="F87" s="854"/>
    </row>
    <row r="88" spans="1:9" hidden="1" outlineLevel="1" x14ac:dyDescent="0.25">
      <c r="A88" s="272"/>
      <c r="B88" s="877" t="s">
        <v>43</v>
      </c>
      <c r="C88" s="873">
        <v>0.05</v>
      </c>
      <c r="D88" s="879" t="s">
        <v>16</v>
      </c>
      <c r="E88" s="875">
        <f t="shared" si="0"/>
        <v>6.5000000000000002E-2</v>
      </c>
      <c r="F88" s="854"/>
    </row>
    <row r="89" spans="1:9" hidden="1" outlineLevel="1" x14ac:dyDescent="0.25">
      <c r="A89" s="272"/>
      <c r="B89" s="394" t="s">
        <v>30</v>
      </c>
      <c r="C89" s="873">
        <v>0.06</v>
      </c>
      <c r="D89" s="879">
        <v>1</v>
      </c>
      <c r="E89" s="875">
        <f>C89*D89</f>
        <v>0.06</v>
      </c>
      <c r="F89" s="870"/>
      <c r="G89" s="6"/>
      <c r="H89" s="6"/>
    </row>
    <row r="90" spans="1:9" hidden="1" outlineLevel="1" x14ac:dyDescent="0.25">
      <c r="A90" s="272"/>
      <c r="B90" s="394" t="s">
        <v>44</v>
      </c>
      <c r="C90" s="873">
        <v>7.0000000000000007E-2</v>
      </c>
      <c r="D90" s="879">
        <v>1</v>
      </c>
      <c r="E90" s="875">
        <f>C90*D90</f>
        <v>7.0000000000000007E-2</v>
      </c>
      <c r="F90" s="882"/>
      <c r="G90" s="7"/>
      <c r="H90" s="7"/>
      <c r="I90" s="8"/>
    </row>
    <row r="91" spans="1:9" hidden="1" outlineLevel="1" x14ac:dyDescent="0.25">
      <c r="A91" s="272"/>
      <c r="B91" s="394" t="s">
        <v>32</v>
      </c>
      <c r="C91" s="873">
        <v>0.06</v>
      </c>
      <c r="D91" s="879">
        <v>1</v>
      </c>
      <c r="E91" s="875">
        <f>C91*D91</f>
        <v>0.06</v>
      </c>
      <c r="F91" s="870"/>
      <c r="G91" s="6"/>
      <c r="H91" s="6"/>
    </row>
    <row r="92" spans="1:9" hidden="1" outlineLevel="1" x14ac:dyDescent="0.25">
      <c r="A92" s="272"/>
      <c r="B92" s="394" t="s">
        <v>45</v>
      </c>
      <c r="C92" s="873">
        <v>0.02</v>
      </c>
      <c r="D92" s="879">
        <v>1</v>
      </c>
      <c r="E92" s="875">
        <f>C92*D92</f>
        <v>0.02</v>
      </c>
      <c r="F92" s="854"/>
    </row>
    <row r="93" spans="1:9" hidden="1" outlineLevel="1" x14ac:dyDescent="0.25">
      <c r="A93" s="272"/>
      <c r="B93" s="854" t="s">
        <v>13</v>
      </c>
      <c r="C93" s="873">
        <v>7.0000000000000007E-2</v>
      </c>
      <c r="D93" s="854"/>
      <c r="E93" s="881">
        <f>SUM(E77:E92)*C93</f>
        <v>7.896000000000003E-2</v>
      </c>
      <c r="F93" s="882"/>
      <c r="G93" s="7"/>
      <c r="H93" s="7"/>
      <c r="I93" s="8"/>
    </row>
    <row r="94" spans="1:9" s="19" customFormat="1" ht="15.75" collapsed="1" x14ac:dyDescent="0.25">
      <c r="A94" s="386"/>
      <c r="B94" s="862" t="s">
        <v>48</v>
      </c>
      <c r="C94" s="862"/>
      <c r="D94" s="862"/>
      <c r="E94" s="862"/>
      <c r="F94" s="862"/>
    </row>
    <row r="95" spans="1:9" s="19" customFormat="1" ht="15.75" x14ac:dyDescent="0.25">
      <c r="A95" s="386"/>
      <c r="B95" s="862" t="s">
        <v>49</v>
      </c>
      <c r="C95" s="862">
        <v>5.32</v>
      </c>
      <c r="D95" s="880"/>
      <c r="E95" s="862"/>
      <c r="F95" s="862"/>
    </row>
    <row r="96" spans="1:9" s="10" customFormat="1" x14ac:dyDescent="0.25">
      <c r="A96" s="378"/>
      <c r="B96" s="861" t="s">
        <v>71</v>
      </c>
      <c r="C96" s="861">
        <f>D7+D9</f>
        <v>6</v>
      </c>
      <c r="D96" s="883" t="s">
        <v>211</v>
      </c>
      <c r="E96" s="861"/>
      <c r="F96" s="884"/>
      <c r="G96" s="15"/>
      <c r="H96" s="15"/>
      <c r="I96" s="16"/>
    </row>
    <row r="97" spans="1:16" s="2" customFormat="1" ht="76.5" x14ac:dyDescent="0.25">
      <c r="A97" s="272"/>
      <c r="B97" s="394" t="s">
        <v>1064</v>
      </c>
      <c r="C97" s="394" t="s">
        <v>1065</v>
      </c>
      <c r="D97" s="394" t="s">
        <v>1066</v>
      </c>
      <c r="E97" s="854"/>
      <c r="F97" s="855">
        <f>19.082*D98*D99*D100*C120*1000</f>
        <v>93849.73355520003</v>
      </c>
      <c r="I97"/>
      <c r="J97"/>
      <c r="K97"/>
      <c r="O97" s="17"/>
      <c r="P97" s="17"/>
    </row>
    <row r="98" spans="1:16" s="3" customFormat="1" x14ac:dyDescent="0.25">
      <c r="A98" s="276"/>
      <c r="B98" s="865" t="s">
        <v>4</v>
      </c>
      <c r="C98" s="865" t="s">
        <v>5</v>
      </c>
      <c r="D98" s="866">
        <v>0.4</v>
      </c>
      <c r="E98" s="866"/>
      <c r="F98" s="866"/>
      <c r="I98"/>
      <c r="J98"/>
      <c r="K98"/>
    </row>
    <row r="99" spans="1:16" s="3" customFormat="1" ht="89.25" x14ac:dyDescent="0.25">
      <c r="A99" s="276"/>
      <c r="B99" s="394" t="s">
        <v>46</v>
      </c>
      <c r="C99" s="865" t="s">
        <v>973</v>
      </c>
      <c r="D99" s="885">
        <f>1+(C96-1)*0.2</f>
        <v>2</v>
      </c>
      <c r="E99" s="866"/>
      <c r="F99" s="866"/>
      <c r="I99"/>
      <c r="J99"/>
      <c r="K99"/>
    </row>
    <row r="100" spans="1:16" s="2" customFormat="1" ht="89.25" x14ac:dyDescent="0.25">
      <c r="A100" s="272"/>
      <c r="B100" s="394" t="s">
        <v>15</v>
      </c>
      <c r="C100" s="394" t="s">
        <v>209</v>
      </c>
      <c r="D100" s="854">
        <f>E101/1</f>
        <v>1.1556000000000004</v>
      </c>
      <c r="E100" s="854"/>
      <c r="F100" s="854"/>
    </row>
    <row r="101" spans="1:16" x14ac:dyDescent="0.25">
      <c r="A101" s="272"/>
      <c r="B101" s="390" t="s">
        <v>6</v>
      </c>
      <c r="C101" s="869">
        <f>SUM(C102:C118)</f>
        <v>1.0000000000000002</v>
      </c>
      <c r="D101" s="870"/>
      <c r="E101" s="871">
        <f>SUM(E102:E118)</f>
        <v>1.1556000000000004</v>
      </c>
      <c r="F101" s="872"/>
      <c r="G101" s="9"/>
      <c r="H101" s="9"/>
    </row>
    <row r="102" spans="1:16" hidden="1" outlineLevel="1" x14ac:dyDescent="0.25">
      <c r="A102" s="272"/>
      <c r="B102" s="394" t="s">
        <v>20</v>
      </c>
      <c r="C102" s="873">
        <v>0.02</v>
      </c>
      <c r="D102" s="879">
        <v>1</v>
      </c>
      <c r="E102" s="875">
        <f>C102*D102</f>
        <v>0.02</v>
      </c>
      <c r="F102" s="870"/>
      <c r="G102" s="6"/>
      <c r="H102" s="6"/>
    </row>
    <row r="103" spans="1:16" ht="25.5" hidden="1" outlineLevel="1" x14ac:dyDescent="0.25">
      <c r="A103" s="272"/>
      <c r="B103" s="394" t="s">
        <v>21</v>
      </c>
      <c r="C103" s="873">
        <v>0.04</v>
      </c>
      <c r="D103" s="854">
        <v>1</v>
      </c>
      <c r="E103" s="875">
        <f>C103*D103</f>
        <v>0.04</v>
      </c>
      <c r="F103" s="854"/>
    </row>
    <row r="104" spans="1:16" hidden="1" outlineLevel="1" x14ac:dyDescent="0.25">
      <c r="A104" s="272"/>
      <c r="B104" s="394" t="s">
        <v>22</v>
      </c>
      <c r="C104" s="873">
        <v>0.14000000000000001</v>
      </c>
      <c r="D104" s="879" t="s">
        <v>16</v>
      </c>
      <c r="E104" s="875">
        <f>C104*(1+0.3)</f>
        <v>0.18200000000000002</v>
      </c>
      <c r="F104" s="854"/>
    </row>
    <row r="105" spans="1:16" hidden="1" outlineLevel="1" x14ac:dyDescent="0.25">
      <c r="A105" s="272"/>
      <c r="B105" s="394" t="s">
        <v>23</v>
      </c>
      <c r="C105" s="873">
        <v>0.15</v>
      </c>
      <c r="D105" s="879" t="s">
        <v>16</v>
      </c>
      <c r="E105" s="875">
        <f>C105*(1+0.3)</f>
        <v>0.19500000000000001</v>
      </c>
      <c r="F105" s="854"/>
    </row>
    <row r="106" spans="1:16" ht="25.5" hidden="1" outlineLevel="1" x14ac:dyDescent="0.25">
      <c r="A106" s="272"/>
      <c r="B106" s="394" t="s">
        <v>36</v>
      </c>
      <c r="C106" s="873"/>
      <c r="D106" s="879"/>
      <c r="E106" s="875"/>
      <c r="F106" s="870"/>
      <c r="G106" s="6"/>
      <c r="H106" s="6"/>
    </row>
    <row r="107" spans="1:16" hidden="1" outlineLevel="1" x14ac:dyDescent="0.25">
      <c r="A107" s="272"/>
      <c r="B107" s="877" t="s">
        <v>37</v>
      </c>
      <c r="C107" s="873">
        <v>7.0000000000000007E-2</v>
      </c>
      <c r="D107" s="879">
        <v>1</v>
      </c>
      <c r="E107" s="875">
        <f>C107*D107</f>
        <v>7.0000000000000007E-2</v>
      </c>
      <c r="F107" s="870"/>
      <c r="G107" s="6"/>
      <c r="H107" s="6"/>
    </row>
    <row r="108" spans="1:16" hidden="1" outlineLevel="1" x14ac:dyDescent="0.25">
      <c r="A108" s="272"/>
      <c r="B108" s="877" t="s">
        <v>38</v>
      </c>
      <c r="C108" s="873">
        <v>0.04</v>
      </c>
      <c r="D108" s="879">
        <v>1</v>
      </c>
      <c r="E108" s="875">
        <f t="shared" ref="E108:E113" si="1">C108*D108</f>
        <v>0.04</v>
      </c>
      <c r="F108" s="870"/>
      <c r="G108" s="6"/>
      <c r="H108" s="6"/>
    </row>
    <row r="109" spans="1:16" hidden="1" outlineLevel="1" x14ac:dyDescent="0.25">
      <c r="A109" s="272"/>
      <c r="B109" s="877" t="s">
        <v>39</v>
      </c>
      <c r="C109" s="873">
        <v>0.04</v>
      </c>
      <c r="D109" s="879">
        <v>1</v>
      </c>
      <c r="E109" s="875">
        <f t="shared" si="1"/>
        <v>0.04</v>
      </c>
      <c r="F109" s="882"/>
      <c r="G109" s="7"/>
      <c r="H109" s="7"/>
      <c r="I109" s="8"/>
    </row>
    <row r="110" spans="1:16" hidden="1" outlineLevel="1" x14ac:dyDescent="0.25">
      <c r="A110" s="272"/>
      <c r="B110" s="877" t="s">
        <v>40</v>
      </c>
      <c r="C110" s="873">
        <v>0.12</v>
      </c>
      <c r="D110" s="879">
        <v>1</v>
      </c>
      <c r="E110" s="875">
        <f t="shared" si="1"/>
        <v>0.12</v>
      </c>
      <c r="F110" s="870"/>
      <c r="G110" s="6"/>
      <c r="H110" s="6"/>
    </row>
    <row r="111" spans="1:16" hidden="1" outlineLevel="1" x14ac:dyDescent="0.25">
      <c r="A111" s="272"/>
      <c r="B111" s="877" t="s">
        <v>41</v>
      </c>
      <c r="C111" s="873">
        <v>0.03</v>
      </c>
      <c r="D111" s="854">
        <v>1</v>
      </c>
      <c r="E111" s="875">
        <f t="shared" si="1"/>
        <v>0.03</v>
      </c>
      <c r="F111" s="854"/>
    </row>
    <row r="112" spans="1:16" hidden="1" outlineLevel="1" x14ac:dyDescent="0.25">
      <c r="A112" s="272"/>
      <c r="B112" s="877" t="s">
        <v>42</v>
      </c>
      <c r="C112" s="873">
        <v>0.02</v>
      </c>
      <c r="D112" s="876">
        <v>1</v>
      </c>
      <c r="E112" s="875">
        <f t="shared" si="1"/>
        <v>0.02</v>
      </c>
      <c r="F112" s="854"/>
    </row>
    <row r="113" spans="1:18" hidden="1" outlineLevel="1" x14ac:dyDescent="0.25">
      <c r="A113" s="272"/>
      <c r="B113" s="877" t="s">
        <v>43</v>
      </c>
      <c r="C113" s="873">
        <v>0.05</v>
      </c>
      <c r="D113" s="876">
        <v>1</v>
      </c>
      <c r="E113" s="875">
        <f t="shared" si="1"/>
        <v>0.05</v>
      </c>
      <c r="F113" s="854"/>
    </row>
    <row r="114" spans="1:18" hidden="1" outlineLevel="1" x14ac:dyDescent="0.25">
      <c r="A114" s="272"/>
      <c r="B114" s="394" t="s">
        <v>30</v>
      </c>
      <c r="C114" s="873">
        <v>0.06</v>
      </c>
      <c r="D114" s="879">
        <v>1</v>
      </c>
      <c r="E114" s="875">
        <f>C114*(1+0.3)</f>
        <v>7.8E-2</v>
      </c>
      <c r="F114" s="870"/>
      <c r="G114" s="6"/>
      <c r="H114" s="6"/>
    </row>
    <row r="115" spans="1:18" hidden="1" outlineLevel="1" x14ac:dyDescent="0.25">
      <c r="A115" s="272"/>
      <c r="B115" s="394" t="s">
        <v>44</v>
      </c>
      <c r="C115" s="873">
        <v>7.0000000000000007E-2</v>
      </c>
      <c r="D115" s="879">
        <v>1</v>
      </c>
      <c r="E115" s="875">
        <f>C115*(1+0.3)</f>
        <v>9.1000000000000011E-2</v>
      </c>
      <c r="F115" s="870"/>
      <c r="G115" s="6"/>
      <c r="H115" s="6"/>
    </row>
    <row r="116" spans="1:18" hidden="1" outlineLevel="1" x14ac:dyDescent="0.25">
      <c r="A116" s="272"/>
      <c r="B116" s="394" t="s">
        <v>32</v>
      </c>
      <c r="C116" s="873">
        <v>0.06</v>
      </c>
      <c r="D116" s="879">
        <v>1</v>
      </c>
      <c r="E116" s="875">
        <f>C116*(1+0.3)</f>
        <v>7.8E-2</v>
      </c>
      <c r="F116" s="870"/>
      <c r="G116" s="6"/>
      <c r="H116" s="6"/>
    </row>
    <row r="117" spans="1:18" hidden="1" outlineLevel="1" x14ac:dyDescent="0.25">
      <c r="A117" s="272"/>
      <c r="B117" s="394" t="s">
        <v>45</v>
      </c>
      <c r="C117" s="873">
        <v>0.02</v>
      </c>
      <c r="D117" s="879">
        <v>1</v>
      </c>
      <c r="E117" s="875">
        <f>C117*(1+0.3)</f>
        <v>2.6000000000000002E-2</v>
      </c>
      <c r="F117" s="870"/>
      <c r="G117" s="6"/>
      <c r="H117" s="6"/>
    </row>
    <row r="118" spans="1:18" hidden="1" outlineLevel="1" x14ac:dyDescent="0.25">
      <c r="A118" s="272"/>
      <c r="B118" s="394" t="s">
        <v>34</v>
      </c>
      <c r="C118" s="886">
        <v>7.0000000000000007E-2</v>
      </c>
      <c r="D118" s="854"/>
      <c r="E118" s="887">
        <f>SUM(E102:E117)*C118</f>
        <v>7.5600000000000028E-2</v>
      </c>
      <c r="F118" s="882"/>
      <c r="G118" s="7"/>
      <c r="H118" s="7"/>
      <c r="I118" s="8"/>
    </row>
    <row r="119" spans="1:18" s="19" customFormat="1" ht="15.75" collapsed="1" x14ac:dyDescent="0.25">
      <c r="A119" s="386"/>
      <c r="B119" s="862" t="s">
        <v>48</v>
      </c>
      <c r="C119" s="862"/>
      <c r="D119" s="862"/>
      <c r="E119" s="862"/>
      <c r="F119" s="862"/>
    </row>
    <row r="120" spans="1:18" s="19" customFormat="1" ht="15.75" x14ac:dyDescent="0.25">
      <c r="A120" s="386"/>
      <c r="B120" s="862" t="s">
        <v>49</v>
      </c>
      <c r="C120" s="862">
        <v>5.32</v>
      </c>
      <c r="D120" s="880"/>
      <c r="E120" s="862"/>
      <c r="F120" s="862"/>
    </row>
    <row r="121" spans="1:18" s="10" customFormat="1" x14ac:dyDescent="0.25">
      <c r="A121" s="378"/>
      <c r="B121" s="861" t="s">
        <v>53</v>
      </c>
      <c r="C121" s="861"/>
      <c r="D121" s="861">
        <f>D11</f>
        <v>5</v>
      </c>
      <c r="E121" s="861" t="s">
        <v>54</v>
      </c>
      <c r="F121" s="861"/>
    </row>
    <row r="122" spans="1:18" ht="140.25" x14ac:dyDescent="0.25">
      <c r="A122" s="272"/>
      <c r="B122" s="394" t="s">
        <v>340</v>
      </c>
      <c r="C122" s="394" t="s">
        <v>1067</v>
      </c>
      <c r="D122" s="394" t="s">
        <v>1052</v>
      </c>
      <c r="E122" s="854"/>
      <c r="F122" s="888">
        <f>21*D124*1*D123*C126*1000</f>
        <v>201096.00000000003</v>
      </c>
    </row>
    <row r="123" spans="1:18" s="3" customFormat="1" x14ac:dyDescent="0.25">
      <c r="A123" s="276"/>
      <c r="B123" s="865" t="s">
        <v>338</v>
      </c>
      <c r="C123" s="865" t="s">
        <v>337</v>
      </c>
      <c r="D123" s="866">
        <v>1</v>
      </c>
      <c r="E123" s="866"/>
      <c r="F123" s="866"/>
    </row>
    <row r="124" spans="1:18" s="3" customFormat="1" ht="89.25" x14ac:dyDescent="0.25">
      <c r="A124" s="276"/>
      <c r="B124" s="394" t="s">
        <v>46</v>
      </c>
      <c r="C124" s="865" t="s">
        <v>1068</v>
      </c>
      <c r="D124" s="866">
        <f>1+(5-1)*0.2</f>
        <v>1.8</v>
      </c>
      <c r="E124" s="866"/>
      <c r="F124" s="866"/>
      <c r="I124"/>
      <c r="J124"/>
      <c r="K124"/>
    </row>
    <row r="125" spans="1:18" x14ac:dyDescent="0.25">
      <c r="A125" s="272"/>
      <c r="B125" s="862" t="s">
        <v>48</v>
      </c>
      <c r="C125" s="862"/>
      <c r="D125" s="854"/>
      <c r="E125" s="854"/>
      <c r="F125" s="854"/>
    </row>
    <row r="126" spans="1:18" x14ac:dyDescent="0.25">
      <c r="A126" s="272"/>
      <c r="B126" s="862" t="s">
        <v>49</v>
      </c>
      <c r="C126" s="862">
        <v>5.32</v>
      </c>
      <c r="D126" s="854"/>
      <c r="E126" s="854"/>
      <c r="F126" s="854"/>
    </row>
    <row r="127" spans="1:18" s="11" customFormat="1" x14ac:dyDescent="0.25">
      <c r="A127" s="379"/>
      <c r="B127" s="861" t="s">
        <v>205</v>
      </c>
      <c r="C127" s="862">
        <f>5</f>
        <v>5</v>
      </c>
      <c r="D127" s="862" t="s">
        <v>19</v>
      </c>
      <c r="E127" s="862"/>
      <c r="F127" s="862"/>
      <c r="I127" s="13"/>
    </row>
    <row r="128" spans="1:18" s="2" customFormat="1" ht="63.75" x14ac:dyDescent="0.25">
      <c r="A128" s="272"/>
      <c r="B128" s="854" t="s">
        <v>205</v>
      </c>
      <c r="C128" s="394" t="s">
        <v>47</v>
      </c>
      <c r="D128" s="394" t="s">
        <v>1070</v>
      </c>
      <c r="E128" s="854"/>
      <c r="F128" s="855">
        <f>(33+5.5*1)*D129*D130*D131*C149*1000</f>
        <v>161037.67680000004</v>
      </c>
      <c r="I128"/>
      <c r="J128"/>
      <c r="K128"/>
      <c r="Q128" s="17"/>
      <c r="R128" s="17"/>
    </row>
    <row r="129" spans="1:11" s="3" customFormat="1" x14ac:dyDescent="0.25">
      <c r="A129" s="276"/>
      <c r="B129" s="865" t="s">
        <v>4</v>
      </c>
      <c r="C129" s="865" t="s">
        <v>5</v>
      </c>
      <c r="D129" s="866">
        <v>0.4</v>
      </c>
      <c r="E129" s="866"/>
      <c r="F129" s="866"/>
      <c r="I129"/>
      <c r="J129"/>
      <c r="K129"/>
    </row>
    <row r="130" spans="1:11" s="3" customFormat="1" ht="89.25" x14ac:dyDescent="0.25">
      <c r="A130" s="276"/>
      <c r="B130" s="394" t="s">
        <v>46</v>
      </c>
      <c r="C130" s="865" t="s">
        <v>1069</v>
      </c>
      <c r="D130" s="866">
        <f>1+(C127-1)*0.2</f>
        <v>1.8</v>
      </c>
      <c r="E130" s="866"/>
      <c r="F130" s="866"/>
      <c r="I130"/>
      <c r="J130"/>
      <c r="K130"/>
    </row>
    <row r="131" spans="1:11" s="2" customFormat="1" ht="89.25" x14ac:dyDescent="0.25">
      <c r="A131" s="272"/>
      <c r="B131" s="394" t="s">
        <v>15</v>
      </c>
      <c r="C131" s="394" t="s">
        <v>884</v>
      </c>
      <c r="D131" s="854">
        <f>E132/1</f>
        <v>1.0920000000000001</v>
      </c>
      <c r="E131" s="854"/>
      <c r="F131" s="854"/>
    </row>
    <row r="132" spans="1:11" x14ac:dyDescent="0.25">
      <c r="A132" s="272"/>
      <c r="B132" s="390" t="s">
        <v>6</v>
      </c>
      <c r="C132" s="869">
        <f>SUM(C133:C147)</f>
        <v>1</v>
      </c>
      <c r="D132" s="870"/>
      <c r="E132" s="889">
        <f>SUM(E133:E147)</f>
        <v>1.0920000000000001</v>
      </c>
      <c r="F132" s="875"/>
      <c r="G132" s="4"/>
      <c r="H132" s="4"/>
    </row>
    <row r="133" spans="1:11" hidden="1" outlineLevel="1" x14ac:dyDescent="0.25">
      <c r="A133" s="272"/>
      <c r="B133" s="394" t="s">
        <v>20</v>
      </c>
      <c r="C133" s="873">
        <v>0.01</v>
      </c>
      <c r="D133" s="854">
        <v>1</v>
      </c>
      <c r="E133" s="875">
        <f>C133*D133</f>
        <v>0.01</v>
      </c>
      <c r="F133" s="875"/>
      <c r="G133" s="4"/>
      <c r="H133" s="4"/>
    </row>
    <row r="134" spans="1:11" ht="25.5" hidden="1" outlineLevel="1" x14ac:dyDescent="0.25">
      <c r="A134" s="272"/>
      <c r="B134" s="394" t="s">
        <v>21</v>
      </c>
      <c r="C134" s="873">
        <v>0.03</v>
      </c>
      <c r="D134" s="854">
        <v>1</v>
      </c>
      <c r="E134" s="875">
        <f>C134*D134</f>
        <v>0.03</v>
      </c>
      <c r="F134" s="875"/>
      <c r="G134" s="4"/>
      <c r="H134" s="4"/>
    </row>
    <row r="135" spans="1:11" hidden="1" outlineLevel="1" x14ac:dyDescent="0.25">
      <c r="A135" s="272"/>
      <c r="B135" s="394" t="s">
        <v>22</v>
      </c>
      <c r="C135" s="873">
        <v>0.09</v>
      </c>
      <c r="D135" s="879" t="s">
        <v>16</v>
      </c>
      <c r="E135" s="875">
        <f>C135*(1+0.3)</f>
        <v>0.11699999999999999</v>
      </c>
      <c r="F135" s="875"/>
      <c r="G135" s="4"/>
      <c r="H135" s="4"/>
    </row>
    <row r="136" spans="1:11" hidden="1" outlineLevel="1" x14ac:dyDescent="0.25">
      <c r="A136" s="272"/>
      <c r="B136" s="394" t="s">
        <v>23</v>
      </c>
      <c r="C136" s="873">
        <v>0.12</v>
      </c>
      <c r="D136" s="879" t="s">
        <v>16</v>
      </c>
      <c r="E136" s="875">
        <f>C136*(1+0.3)</f>
        <v>0.156</v>
      </c>
      <c r="F136" s="875"/>
      <c r="G136" s="4"/>
      <c r="H136" s="4"/>
    </row>
    <row r="137" spans="1:11" ht="38.25" hidden="1" outlineLevel="1" x14ac:dyDescent="0.25">
      <c r="A137" s="272"/>
      <c r="B137" s="394" t="s">
        <v>24</v>
      </c>
      <c r="C137" s="873">
        <v>0.05</v>
      </c>
      <c r="D137" s="879" t="s">
        <v>16</v>
      </c>
      <c r="E137" s="875">
        <f>C137*(1+0.3)</f>
        <v>6.5000000000000002E-2</v>
      </c>
      <c r="F137" s="875"/>
      <c r="G137" s="4"/>
      <c r="H137" s="4"/>
    </row>
    <row r="138" spans="1:11" ht="38.25" hidden="1" outlineLevel="1" x14ac:dyDescent="0.25">
      <c r="A138" s="272"/>
      <c r="B138" s="394" t="s">
        <v>25</v>
      </c>
      <c r="C138" s="873">
        <v>0.04</v>
      </c>
      <c r="D138" s="879" t="s">
        <v>16</v>
      </c>
      <c r="E138" s="875">
        <f>C138*(1+0.3)</f>
        <v>5.2000000000000005E-2</v>
      </c>
      <c r="F138" s="875"/>
      <c r="G138" s="4"/>
      <c r="H138" s="4"/>
    </row>
    <row r="139" spans="1:11" ht="38.25" hidden="1" outlineLevel="1" x14ac:dyDescent="0.25">
      <c r="A139" s="272"/>
      <c r="B139" s="394" t="s">
        <v>26</v>
      </c>
      <c r="C139" s="873">
        <v>0.05</v>
      </c>
      <c r="D139" s="854">
        <v>1</v>
      </c>
      <c r="E139" s="875">
        <f t="shared" ref="E139:E146" si="2">C139*D139</f>
        <v>0.05</v>
      </c>
      <c r="F139" s="875"/>
      <c r="G139" s="4"/>
      <c r="H139" s="4"/>
    </row>
    <row r="140" spans="1:11" ht="38.25" hidden="1" outlineLevel="1" x14ac:dyDescent="0.25">
      <c r="A140" s="272"/>
      <c r="B140" s="394" t="s">
        <v>27</v>
      </c>
      <c r="C140" s="873">
        <v>0.04</v>
      </c>
      <c r="D140" s="854">
        <v>1</v>
      </c>
      <c r="E140" s="875">
        <f t="shared" si="2"/>
        <v>0.04</v>
      </c>
      <c r="F140" s="875"/>
      <c r="G140" s="4"/>
      <c r="H140" s="4"/>
      <c r="I140" s="8"/>
    </row>
    <row r="141" spans="1:11" ht="38.25" hidden="1" outlineLevel="1" x14ac:dyDescent="0.25">
      <c r="A141" s="272"/>
      <c r="B141" s="394" t="s">
        <v>28</v>
      </c>
      <c r="C141" s="873">
        <v>0.02</v>
      </c>
      <c r="D141" s="854">
        <v>1</v>
      </c>
      <c r="E141" s="875">
        <f t="shared" si="2"/>
        <v>0.02</v>
      </c>
      <c r="F141" s="875"/>
      <c r="G141" s="4"/>
      <c r="H141" s="4"/>
    </row>
    <row r="142" spans="1:11" ht="38.25" hidden="1" outlineLevel="1" x14ac:dyDescent="0.25">
      <c r="A142" s="272"/>
      <c r="B142" s="394" t="s">
        <v>29</v>
      </c>
      <c r="C142" s="873">
        <v>0.31</v>
      </c>
      <c r="D142" s="854">
        <v>1</v>
      </c>
      <c r="E142" s="875">
        <f t="shared" si="2"/>
        <v>0.31</v>
      </c>
      <c r="F142" s="875"/>
      <c r="G142" s="4"/>
      <c r="H142" s="4"/>
    </row>
    <row r="143" spans="1:11" hidden="1" outlineLevel="1" x14ac:dyDescent="0.25">
      <c r="A143" s="272"/>
      <c r="B143" s="394" t="s">
        <v>30</v>
      </c>
      <c r="C143" s="873">
        <v>0.04</v>
      </c>
      <c r="D143" s="879">
        <v>1</v>
      </c>
      <c r="E143" s="875">
        <f t="shared" si="2"/>
        <v>0.04</v>
      </c>
      <c r="F143" s="875"/>
      <c r="G143" s="4"/>
      <c r="H143" s="4"/>
    </row>
    <row r="144" spans="1:11" hidden="1" outlineLevel="1" x14ac:dyDescent="0.25">
      <c r="A144" s="272"/>
      <c r="B144" s="394" t="s">
        <v>31</v>
      </c>
      <c r="C144" s="873">
        <v>0.09</v>
      </c>
      <c r="D144" s="854">
        <v>1</v>
      </c>
      <c r="E144" s="875">
        <f t="shared" si="2"/>
        <v>0.09</v>
      </c>
      <c r="F144" s="875"/>
      <c r="G144" s="4"/>
      <c r="H144" s="4"/>
    </row>
    <row r="145" spans="1:11" hidden="1" outlineLevel="1" x14ac:dyDescent="0.25">
      <c r="A145" s="272"/>
      <c r="B145" s="394" t="s">
        <v>32</v>
      </c>
      <c r="C145" s="873">
        <v>0.05</v>
      </c>
      <c r="D145" s="854">
        <v>1</v>
      </c>
      <c r="E145" s="875">
        <f t="shared" si="2"/>
        <v>0.05</v>
      </c>
      <c r="F145" s="875"/>
      <c r="G145" s="4"/>
      <c r="H145" s="4"/>
    </row>
    <row r="146" spans="1:11" ht="25.5" hidden="1" outlineLevel="1" x14ac:dyDescent="0.25">
      <c r="A146" s="272"/>
      <c r="B146" s="394" t="s">
        <v>33</v>
      </c>
      <c r="C146" s="873">
        <v>0.01</v>
      </c>
      <c r="D146" s="854">
        <v>1</v>
      </c>
      <c r="E146" s="875">
        <f t="shared" si="2"/>
        <v>0.01</v>
      </c>
      <c r="F146" s="875"/>
      <c r="G146" s="4"/>
      <c r="H146" s="4"/>
    </row>
    <row r="147" spans="1:11" hidden="1" outlineLevel="1" x14ac:dyDescent="0.25">
      <c r="A147" s="272"/>
      <c r="B147" s="394" t="s">
        <v>34</v>
      </c>
      <c r="C147" s="873">
        <v>0.05</v>
      </c>
      <c r="D147" s="879"/>
      <c r="E147" s="890">
        <f>SUM(E133:E146)*C147</f>
        <v>5.2000000000000005E-2</v>
      </c>
      <c r="F147" s="890"/>
      <c r="G147" s="14"/>
      <c r="H147" s="14"/>
    </row>
    <row r="148" spans="1:11" s="19" customFormat="1" ht="15.75" collapsed="1" x14ac:dyDescent="0.25">
      <c r="A148" s="386"/>
      <c r="B148" s="862" t="s">
        <v>48</v>
      </c>
      <c r="C148" s="862"/>
      <c r="D148" s="862"/>
      <c r="E148" s="862"/>
      <c r="F148" s="862"/>
    </row>
    <row r="149" spans="1:11" s="19" customFormat="1" ht="15.75" x14ac:dyDescent="0.25">
      <c r="A149" s="386"/>
      <c r="B149" s="862" t="s">
        <v>49</v>
      </c>
      <c r="C149" s="862">
        <v>5.32</v>
      </c>
      <c r="D149" s="880"/>
      <c r="E149" s="862"/>
      <c r="F149" s="862"/>
    </row>
    <row r="150" spans="1:11" x14ac:dyDescent="0.25">
      <c r="A150" s="272"/>
      <c r="B150" s="861" t="s">
        <v>919</v>
      </c>
      <c r="C150" s="854"/>
      <c r="D150" s="862">
        <v>30</v>
      </c>
      <c r="E150" s="862" t="s">
        <v>235</v>
      </c>
      <c r="F150" s="854"/>
    </row>
    <row r="151" spans="1:11" s="2" customFormat="1" ht="51" x14ac:dyDescent="0.25">
      <c r="A151" s="272"/>
      <c r="B151" s="891" t="s">
        <v>921</v>
      </c>
      <c r="C151" s="891" t="s">
        <v>920</v>
      </c>
      <c r="D151" s="394" t="s">
        <v>939</v>
      </c>
      <c r="E151" s="854"/>
      <c r="F151" s="855">
        <f>(456.5+0*(0.4*50+0.6*30))*1*D152*D153*C171*1000</f>
        <v>1128123.9816000003</v>
      </c>
      <c r="I151"/>
      <c r="J151"/>
      <c r="K151"/>
    </row>
    <row r="152" spans="1:11" s="3" customFormat="1" x14ac:dyDescent="0.25">
      <c r="A152" s="276"/>
      <c r="B152" s="865" t="s">
        <v>4</v>
      </c>
      <c r="C152" s="865" t="s">
        <v>5</v>
      </c>
      <c r="D152" s="866">
        <v>0.4</v>
      </c>
      <c r="E152" s="866"/>
      <c r="F152" s="866"/>
      <c r="I152"/>
      <c r="J152"/>
      <c r="K152"/>
    </row>
    <row r="153" spans="1:11" ht="89.25" x14ac:dyDescent="0.25">
      <c r="A153" s="272"/>
      <c r="B153" s="394" t="s">
        <v>15</v>
      </c>
      <c r="C153" s="394" t="s">
        <v>232</v>
      </c>
      <c r="D153" s="854">
        <f>E154/1</f>
        <v>1.1613</v>
      </c>
      <c r="E153" s="854"/>
      <c r="F153" s="854"/>
    </row>
    <row r="154" spans="1:11" x14ac:dyDescent="0.25">
      <c r="A154" s="272"/>
      <c r="B154" s="390" t="s">
        <v>6</v>
      </c>
      <c r="C154" s="869">
        <f>SUM(C155:C169)</f>
        <v>1</v>
      </c>
      <c r="D154" s="870"/>
      <c r="E154" s="871">
        <f>SUM(E155:E169)</f>
        <v>1.1613</v>
      </c>
      <c r="F154" s="872"/>
      <c r="G154" s="9"/>
      <c r="H154" s="9"/>
    </row>
    <row r="155" spans="1:11" hidden="1" outlineLevel="1" x14ac:dyDescent="0.25">
      <c r="A155" s="272"/>
      <c r="B155" s="394" t="s">
        <v>20</v>
      </c>
      <c r="C155" s="873">
        <v>0.01</v>
      </c>
      <c r="D155" s="874">
        <v>1</v>
      </c>
      <c r="E155" s="875">
        <f>C155*D155</f>
        <v>0.01</v>
      </c>
      <c r="F155" s="854"/>
    </row>
    <row r="156" spans="1:11" ht="25.5" hidden="1" outlineLevel="1" x14ac:dyDescent="0.25">
      <c r="A156" s="272"/>
      <c r="B156" s="394" t="s">
        <v>21</v>
      </c>
      <c r="C156" s="873">
        <v>0.03</v>
      </c>
      <c r="D156" s="879">
        <v>1</v>
      </c>
      <c r="E156" s="873">
        <f>C156*D156</f>
        <v>0.03</v>
      </c>
      <c r="F156" s="854"/>
    </row>
    <row r="157" spans="1:11" hidden="1" outlineLevel="1" x14ac:dyDescent="0.25">
      <c r="A157" s="272"/>
      <c r="B157" s="394" t="s">
        <v>22</v>
      </c>
      <c r="C157" s="873">
        <v>0.09</v>
      </c>
      <c r="D157" s="874" t="s">
        <v>16</v>
      </c>
      <c r="E157" s="875">
        <f>C157*(1+0.3)</f>
        <v>0.11699999999999999</v>
      </c>
      <c r="F157" s="854"/>
    </row>
    <row r="158" spans="1:11" hidden="1" outlineLevel="1" x14ac:dyDescent="0.25">
      <c r="A158" s="272"/>
      <c r="B158" s="394" t="s">
        <v>23</v>
      </c>
      <c r="C158" s="873">
        <v>0.12</v>
      </c>
      <c r="D158" s="874" t="s">
        <v>16</v>
      </c>
      <c r="E158" s="875">
        <f>C158*(1+0.3)</f>
        <v>0.156</v>
      </c>
      <c r="F158" s="854"/>
    </row>
    <row r="159" spans="1:11" ht="38.25" hidden="1" outlineLevel="1" x14ac:dyDescent="0.25">
      <c r="A159" s="272"/>
      <c r="B159" s="394" t="s">
        <v>24</v>
      </c>
      <c r="C159" s="873">
        <v>0.05</v>
      </c>
      <c r="D159" s="874">
        <v>1</v>
      </c>
      <c r="E159" s="875">
        <f>C159*D159</f>
        <v>0.05</v>
      </c>
      <c r="F159" s="854"/>
    </row>
    <row r="160" spans="1:11" ht="38.25" hidden="1" outlineLevel="1" x14ac:dyDescent="0.25">
      <c r="A160" s="272"/>
      <c r="B160" s="394" t="s">
        <v>25</v>
      </c>
      <c r="C160" s="873">
        <v>0.04</v>
      </c>
      <c r="D160" s="874">
        <v>1</v>
      </c>
      <c r="E160" s="875">
        <f>C160*D160</f>
        <v>0.04</v>
      </c>
      <c r="F160" s="854"/>
    </row>
    <row r="161" spans="1:11" ht="38.25" hidden="1" outlineLevel="1" x14ac:dyDescent="0.25">
      <c r="A161" s="272"/>
      <c r="B161" s="394" t="s">
        <v>26</v>
      </c>
      <c r="C161" s="873">
        <v>0.05</v>
      </c>
      <c r="D161" s="879">
        <v>1</v>
      </c>
      <c r="E161" s="873">
        <f>C161*D161</f>
        <v>0.05</v>
      </c>
      <c r="F161" s="854"/>
    </row>
    <row r="162" spans="1:11" ht="38.25" hidden="1" outlineLevel="1" x14ac:dyDescent="0.25">
      <c r="A162" s="272"/>
      <c r="B162" s="394" t="s">
        <v>27</v>
      </c>
      <c r="C162" s="873">
        <v>0.04</v>
      </c>
      <c r="D162" s="876">
        <v>1</v>
      </c>
      <c r="E162" s="873">
        <f>C162*D162</f>
        <v>0.04</v>
      </c>
      <c r="F162" s="854"/>
    </row>
    <row r="163" spans="1:11" ht="38.25" hidden="1" outlineLevel="1" x14ac:dyDescent="0.25">
      <c r="A163" s="272"/>
      <c r="B163" s="394" t="s">
        <v>28</v>
      </c>
      <c r="C163" s="873">
        <v>0.02</v>
      </c>
      <c r="D163" s="879">
        <v>1</v>
      </c>
      <c r="E163" s="873">
        <f>C163*D163</f>
        <v>0.02</v>
      </c>
      <c r="F163" s="854"/>
    </row>
    <row r="164" spans="1:11" ht="38.25" hidden="1" outlineLevel="1" x14ac:dyDescent="0.25">
      <c r="A164" s="272"/>
      <c r="B164" s="394" t="s">
        <v>29</v>
      </c>
      <c r="C164" s="873">
        <v>0.31</v>
      </c>
      <c r="D164" s="874" t="s">
        <v>16</v>
      </c>
      <c r="E164" s="875">
        <f>C164*(1+0.3)</f>
        <v>0.40300000000000002</v>
      </c>
      <c r="F164" s="854"/>
    </row>
    <row r="165" spans="1:11" hidden="1" outlineLevel="1" x14ac:dyDescent="0.25">
      <c r="A165" s="272"/>
      <c r="B165" s="394" t="s">
        <v>30</v>
      </c>
      <c r="C165" s="873">
        <v>0.04</v>
      </c>
      <c r="D165" s="874">
        <v>1</v>
      </c>
      <c r="E165" s="875">
        <f>C165*D165</f>
        <v>0.04</v>
      </c>
      <c r="F165" s="854"/>
    </row>
    <row r="166" spans="1:11" hidden="1" outlineLevel="1" x14ac:dyDescent="0.25">
      <c r="A166" s="272"/>
      <c r="B166" s="394" t="s">
        <v>31</v>
      </c>
      <c r="C166" s="873">
        <v>0.09</v>
      </c>
      <c r="D166" s="879">
        <v>1</v>
      </c>
      <c r="E166" s="873">
        <f>C166*D166</f>
        <v>0.09</v>
      </c>
      <c r="F166" s="854"/>
    </row>
    <row r="167" spans="1:11" hidden="1" outlineLevel="1" x14ac:dyDescent="0.25">
      <c r="A167" s="272"/>
      <c r="B167" s="394" t="s">
        <v>32</v>
      </c>
      <c r="C167" s="873">
        <v>0.05</v>
      </c>
      <c r="D167" s="876">
        <v>1</v>
      </c>
      <c r="E167" s="873">
        <f>C167*D167</f>
        <v>0.05</v>
      </c>
      <c r="F167" s="854"/>
    </row>
    <row r="168" spans="1:11" ht="25.5" hidden="1" outlineLevel="1" x14ac:dyDescent="0.25">
      <c r="A168" s="272"/>
      <c r="B168" s="394" t="s">
        <v>33</v>
      </c>
      <c r="C168" s="873">
        <v>0.01</v>
      </c>
      <c r="D168" s="879">
        <v>1</v>
      </c>
      <c r="E168" s="873">
        <f>C168*D168</f>
        <v>0.01</v>
      </c>
      <c r="F168" s="854"/>
    </row>
    <row r="169" spans="1:11" hidden="1" outlineLevel="1" x14ac:dyDescent="0.25">
      <c r="A169" s="272"/>
      <c r="B169" s="394" t="s">
        <v>212</v>
      </c>
      <c r="C169" s="873">
        <v>0.05</v>
      </c>
      <c r="D169" s="876"/>
      <c r="E169" s="875">
        <f>SUM(E155:E168)*C169</f>
        <v>5.5300000000000009E-2</v>
      </c>
      <c r="F169" s="854"/>
    </row>
    <row r="170" spans="1:11" s="19" customFormat="1" ht="15.75" collapsed="1" x14ac:dyDescent="0.25">
      <c r="A170" s="386"/>
      <c r="B170" s="862" t="s">
        <v>48</v>
      </c>
      <c r="C170" s="862"/>
      <c r="D170" s="862"/>
      <c r="E170" s="862"/>
      <c r="F170" s="862"/>
    </row>
    <row r="171" spans="1:11" s="19" customFormat="1" ht="15.75" x14ac:dyDescent="0.25">
      <c r="A171" s="386"/>
      <c r="B171" s="862" t="s">
        <v>49</v>
      </c>
      <c r="C171" s="862">
        <v>5.32</v>
      </c>
      <c r="D171" s="880"/>
      <c r="E171" s="862"/>
      <c r="F171" s="862"/>
    </row>
    <row r="172" spans="1:11" x14ac:dyDescent="0.25">
      <c r="A172" s="272"/>
      <c r="B172" s="861" t="s">
        <v>918</v>
      </c>
      <c r="C172" s="854"/>
      <c r="D172" s="862">
        <v>20</v>
      </c>
      <c r="E172" s="862" t="s">
        <v>235</v>
      </c>
      <c r="F172" s="854"/>
    </row>
    <row r="173" spans="1:11" s="2" customFormat="1" ht="51" x14ac:dyDescent="0.25">
      <c r="A173" s="272"/>
      <c r="B173" s="891" t="s">
        <v>921</v>
      </c>
      <c r="C173" s="891" t="s">
        <v>920</v>
      </c>
      <c r="D173" s="394" t="s">
        <v>1071</v>
      </c>
      <c r="E173" s="854"/>
      <c r="F173" s="855">
        <f>(456.5+0*(0.4*50+0.6*20))*1*D174*D175*D176*C194*1000</f>
        <v>902499.18528000009</v>
      </c>
      <c r="I173"/>
      <c r="J173"/>
      <c r="K173"/>
    </row>
    <row r="174" spans="1:11" s="3" customFormat="1" x14ac:dyDescent="0.25">
      <c r="A174" s="276"/>
      <c r="B174" s="865" t="s">
        <v>4</v>
      </c>
      <c r="C174" s="865" t="s">
        <v>5</v>
      </c>
      <c r="D174" s="866">
        <v>0.4</v>
      </c>
      <c r="E174" s="866"/>
      <c r="F174" s="866"/>
      <c r="I174"/>
      <c r="J174"/>
      <c r="K174"/>
    </row>
    <row r="175" spans="1:11" s="2" customFormat="1" ht="38.25" x14ac:dyDescent="0.25">
      <c r="A175" s="272"/>
      <c r="B175" s="394" t="s">
        <v>233</v>
      </c>
      <c r="C175" s="854" t="s">
        <v>234</v>
      </c>
      <c r="D175" s="867">
        <v>0.8</v>
      </c>
      <c r="E175" s="854"/>
      <c r="F175" s="854"/>
    </row>
    <row r="176" spans="1:11" ht="89.25" x14ac:dyDescent="0.25">
      <c r="A176" s="272"/>
      <c r="B176" s="394" t="s">
        <v>15</v>
      </c>
      <c r="C176" s="394" t="s">
        <v>232</v>
      </c>
      <c r="D176" s="854">
        <f>E177/1</f>
        <v>1.1613</v>
      </c>
      <c r="E176" s="854"/>
      <c r="F176" s="854"/>
    </row>
    <row r="177" spans="1:8" x14ac:dyDescent="0.25">
      <c r="A177" s="272"/>
      <c r="B177" s="390" t="s">
        <v>6</v>
      </c>
      <c r="C177" s="869">
        <f>SUM(C178:C192)</f>
        <v>1</v>
      </c>
      <c r="D177" s="870"/>
      <c r="E177" s="871">
        <f>SUM(E178:E192)</f>
        <v>1.1613</v>
      </c>
      <c r="F177" s="872"/>
      <c r="G177" s="9"/>
      <c r="H177" s="9"/>
    </row>
    <row r="178" spans="1:8" hidden="1" outlineLevel="1" x14ac:dyDescent="0.25">
      <c r="A178" s="272"/>
      <c r="B178" s="394" t="s">
        <v>20</v>
      </c>
      <c r="C178" s="873">
        <v>0.01</v>
      </c>
      <c r="D178" s="874">
        <v>1</v>
      </c>
      <c r="E178" s="875">
        <f>C178*D178</f>
        <v>0.01</v>
      </c>
      <c r="F178" s="854"/>
    </row>
    <row r="179" spans="1:8" ht="25.5" hidden="1" outlineLevel="1" x14ac:dyDescent="0.25">
      <c r="A179" s="272"/>
      <c r="B179" s="394" t="s">
        <v>21</v>
      </c>
      <c r="C179" s="873">
        <v>0.03</v>
      </c>
      <c r="D179" s="879">
        <v>1</v>
      </c>
      <c r="E179" s="873">
        <f>C179*D179</f>
        <v>0.03</v>
      </c>
      <c r="F179" s="854"/>
    </row>
    <row r="180" spans="1:8" hidden="1" outlineLevel="1" x14ac:dyDescent="0.25">
      <c r="A180" s="272"/>
      <c r="B180" s="394" t="s">
        <v>22</v>
      </c>
      <c r="C180" s="873">
        <v>0.09</v>
      </c>
      <c r="D180" s="874" t="s">
        <v>16</v>
      </c>
      <c r="E180" s="875">
        <f>C180*(1+0.3)</f>
        <v>0.11699999999999999</v>
      </c>
      <c r="F180" s="854"/>
    </row>
    <row r="181" spans="1:8" hidden="1" outlineLevel="1" x14ac:dyDescent="0.25">
      <c r="A181" s="272"/>
      <c r="B181" s="394" t="s">
        <v>23</v>
      </c>
      <c r="C181" s="873">
        <v>0.12</v>
      </c>
      <c r="D181" s="874" t="s">
        <v>16</v>
      </c>
      <c r="E181" s="875">
        <f>C181*(1+0.3)</f>
        <v>0.156</v>
      </c>
      <c r="F181" s="854"/>
    </row>
    <row r="182" spans="1:8" ht="38.25" hidden="1" outlineLevel="1" x14ac:dyDescent="0.25">
      <c r="A182" s="272"/>
      <c r="B182" s="394" t="s">
        <v>24</v>
      </c>
      <c r="C182" s="873">
        <v>0.05</v>
      </c>
      <c r="D182" s="874">
        <v>1</v>
      </c>
      <c r="E182" s="875">
        <f>C182*D182</f>
        <v>0.05</v>
      </c>
      <c r="F182" s="854"/>
    </row>
    <row r="183" spans="1:8" ht="38.25" hidden="1" outlineLevel="1" x14ac:dyDescent="0.25">
      <c r="A183" s="272"/>
      <c r="B183" s="394" t="s">
        <v>25</v>
      </c>
      <c r="C183" s="873">
        <v>0.04</v>
      </c>
      <c r="D183" s="874">
        <v>1</v>
      </c>
      <c r="E183" s="875">
        <f>C183*D183</f>
        <v>0.04</v>
      </c>
      <c r="F183" s="854"/>
    </row>
    <row r="184" spans="1:8" ht="38.25" hidden="1" outlineLevel="1" x14ac:dyDescent="0.25">
      <c r="A184" s="272"/>
      <c r="B184" s="394" t="s">
        <v>26</v>
      </c>
      <c r="C184" s="873">
        <v>0.05</v>
      </c>
      <c r="D184" s="879">
        <v>1</v>
      </c>
      <c r="E184" s="873">
        <f>C184*D184</f>
        <v>0.05</v>
      </c>
      <c r="F184" s="854"/>
    </row>
    <row r="185" spans="1:8" ht="38.25" hidden="1" outlineLevel="1" x14ac:dyDescent="0.25">
      <c r="A185" s="272"/>
      <c r="B185" s="394" t="s">
        <v>27</v>
      </c>
      <c r="C185" s="873">
        <v>0.04</v>
      </c>
      <c r="D185" s="876">
        <v>1</v>
      </c>
      <c r="E185" s="873">
        <f>C185*D185</f>
        <v>0.04</v>
      </c>
      <c r="F185" s="854"/>
    </row>
    <row r="186" spans="1:8" ht="38.25" hidden="1" outlineLevel="1" x14ac:dyDescent="0.25">
      <c r="A186" s="272"/>
      <c r="B186" s="394" t="s">
        <v>28</v>
      </c>
      <c r="C186" s="873">
        <v>0.02</v>
      </c>
      <c r="D186" s="879">
        <v>1</v>
      </c>
      <c r="E186" s="873">
        <f>C186*D186</f>
        <v>0.02</v>
      </c>
      <c r="F186" s="854"/>
    </row>
    <row r="187" spans="1:8" ht="38.25" hidden="1" outlineLevel="1" x14ac:dyDescent="0.25">
      <c r="A187" s="272"/>
      <c r="B187" s="394" t="s">
        <v>29</v>
      </c>
      <c r="C187" s="873">
        <v>0.31</v>
      </c>
      <c r="D187" s="874" t="s">
        <v>16</v>
      </c>
      <c r="E187" s="875">
        <f>C187*(1+0.3)</f>
        <v>0.40300000000000002</v>
      </c>
      <c r="F187" s="854"/>
    </row>
    <row r="188" spans="1:8" hidden="1" outlineLevel="1" x14ac:dyDescent="0.25">
      <c r="A188" s="272"/>
      <c r="B188" s="394" t="s">
        <v>30</v>
      </c>
      <c r="C188" s="873">
        <v>0.04</v>
      </c>
      <c r="D188" s="874">
        <v>1</v>
      </c>
      <c r="E188" s="875">
        <f>C188*D188</f>
        <v>0.04</v>
      </c>
      <c r="F188" s="854"/>
    </row>
    <row r="189" spans="1:8" hidden="1" outlineLevel="1" x14ac:dyDescent="0.25">
      <c r="A189" s="272"/>
      <c r="B189" s="394" t="s">
        <v>31</v>
      </c>
      <c r="C189" s="873">
        <v>0.09</v>
      </c>
      <c r="D189" s="879">
        <v>1</v>
      </c>
      <c r="E189" s="873">
        <f>C189*D189</f>
        <v>0.09</v>
      </c>
      <c r="F189" s="854"/>
    </row>
    <row r="190" spans="1:8" hidden="1" outlineLevel="1" x14ac:dyDescent="0.25">
      <c r="A190" s="272"/>
      <c r="B190" s="394" t="s">
        <v>32</v>
      </c>
      <c r="C190" s="873">
        <v>0.05</v>
      </c>
      <c r="D190" s="876">
        <v>1</v>
      </c>
      <c r="E190" s="873">
        <f>C190*D190</f>
        <v>0.05</v>
      </c>
      <c r="F190" s="854"/>
    </row>
    <row r="191" spans="1:8" ht="25.5" hidden="1" outlineLevel="1" x14ac:dyDescent="0.25">
      <c r="A191" s="272"/>
      <c r="B191" s="394" t="s">
        <v>33</v>
      </c>
      <c r="C191" s="873">
        <v>0.01</v>
      </c>
      <c r="D191" s="879">
        <v>1</v>
      </c>
      <c r="E191" s="873">
        <f>C191*D191</f>
        <v>0.01</v>
      </c>
      <c r="F191" s="854"/>
    </row>
    <row r="192" spans="1:8" hidden="1" outlineLevel="1" x14ac:dyDescent="0.25">
      <c r="A192" s="272"/>
      <c r="B192" s="394" t="s">
        <v>212</v>
      </c>
      <c r="C192" s="873">
        <v>0.05</v>
      </c>
      <c r="D192" s="876"/>
      <c r="E192" s="875">
        <f>SUM(E178:E191)*C192</f>
        <v>5.5300000000000009E-2</v>
      </c>
      <c r="F192" s="854"/>
    </row>
    <row r="193" spans="1:18" s="19" customFormat="1" ht="15.75" collapsed="1" x14ac:dyDescent="0.25">
      <c r="A193" s="386"/>
      <c r="B193" s="862" t="s">
        <v>48</v>
      </c>
      <c r="C193" s="862"/>
      <c r="D193" s="862"/>
      <c r="E193" s="862"/>
      <c r="F193" s="862"/>
    </row>
    <row r="194" spans="1:18" s="19" customFormat="1" ht="15.75" x14ac:dyDescent="0.25">
      <c r="A194" s="386"/>
      <c r="B194" s="862" t="s">
        <v>49</v>
      </c>
      <c r="C194" s="862">
        <v>5.32</v>
      </c>
      <c r="D194" s="880"/>
      <c r="E194" s="862"/>
      <c r="F194" s="862"/>
    </row>
    <row r="195" spans="1:18" s="36" customFormat="1" ht="51" x14ac:dyDescent="0.2">
      <c r="A195" s="389"/>
      <c r="B195" s="891" t="s">
        <v>930</v>
      </c>
      <c r="C195" s="892">
        <v>0.04</v>
      </c>
      <c r="D195" s="893"/>
      <c r="E195" s="894"/>
      <c r="F195" s="855">
        <f>(SUM(F31:F173)-F122)*C195</f>
        <v>110960.62161966741</v>
      </c>
      <c r="G195" s="34"/>
      <c r="H195" s="34"/>
      <c r="I195" s="33"/>
      <c r="J195" s="35"/>
    </row>
    <row r="196" spans="1:18" s="11" customFormat="1" x14ac:dyDescent="0.25">
      <c r="A196" s="296"/>
      <c r="B196" s="845" t="s">
        <v>2374</v>
      </c>
      <c r="C196" s="847"/>
      <c r="D196" s="847">
        <v>800</v>
      </c>
      <c r="E196" s="847" t="s">
        <v>235</v>
      </c>
      <c r="F196" s="847"/>
      <c r="I196" s="13"/>
    </row>
    <row r="197" spans="1:18" s="2" customFormat="1" ht="63.75" x14ac:dyDescent="0.25">
      <c r="A197" s="272"/>
      <c r="B197" s="394" t="s">
        <v>2393</v>
      </c>
      <c r="C197" s="394" t="s">
        <v>2394</v>
      </c>
      <c r="D197" s="394" t="s">
        <v>2395</v>
      </c>
      <c r="E197" s="854"/>
      <c r="F197" s="855">
        <f>(535.04+0*(0.4*0.5+0.6*0.8))*1*D198*D199*C219*1000</f>
        <v>788217.2469248001</v>
      </c>
      <c r="I197"/>
      <c r="J197"/>
      <c r="K197"/>
      <c r="Q197" s="17"/>
      <c r="R197" s="17"/>
    </row>
    <row r="198" spans="1:18" s="3" customFormat="1" x14ac:dyDescent="0.25">
      <c r="A198" s="276"/>
      <c r="B198" s="865" t="s">
        <v>4</v>
      </c>
      <c r="C198" s="865" t="s">
        <v>5</v>
      </c>
      <c r="D198" s="866">
        <v>0.4</v>
      </c>
      <c r="E198" s="866"/>
      <c r="F198" s="866"/>
      <c r="I198"/>
      <c r="J198"/>
      <c r="K198"/>
    </row>
    <row r="199" spans="1:18" ht="90" x14ac:dyDescent="0.25">
      <c r="A199" s="270"/>
      <c r="B199" s="895" t="s">
        <v>15</v>
      </c>
      <c r="C199" s="394" t="s">
        <v>843</v>
      </c>
      <c r="D199" s="854">
        <f>E200/1</f>
        <v>0.69229000000000007</v>
      </c>
      <c r="E199" s="844"/>
      <c r="F199" s="844"/>
    </row>
    <row r="200" spans="1:18" x14ac:dyDescent="0.25">
      <c r="A200" s="270"/>
      <c r="B200" s="896" t="s">
        <v>6</v>
      </c>
      <c r="C200" s="897">
        <f>SUM(C201:C217)</f>
        <v>0.63000000000000012</v>
      </c>
      <c r="D200" s="857"/>
      <c r="E200" s="898">
        <f>SUM(E201:E217)</f>
        <v>0.69229000000000007</v>
      </c>
      <c r="F200" s="899"/>
      <c r="G200" s="4"/>
      <c r="H200" s="4"/>
    </row>
    <row r="201" spans="1:18" hidden="1" outlineLevel="1" x14ac:dyDescent="0.25">
      <c r="A201" s="270"/>
      <c r="B201" s="900" t="s">
        <v>20</v>
      </c>
      <c r="C201" s="901">
        <v>0.02</v>
      </c>
      <c r="D201" s="844">
        <v>1</v>
      </c>
      <c r="E201" s="899">
        <f>C201*D201</f>
        <v>0.02</v>
      </c>
      <c r="F201" s="844"/>
    </row>
    <row r="202" spans="1:18" ht="25.5" hidden="1" outlineLevel="1" x14ac:dyDescent="0.25">
      <c r="A202" s="270"/>
      <c r="B202" s="900" t="s">
        <v>21</v>
      </c>
      <c r="C202" s="901">
        <v>0.04</v>
      </c>
      <c r="D202" s="844">
        <v>1</v>
      </c>
      <c r="E202" s="899">
        <f>C202*D202</f>
        <v>0.04</v>
      </c>
      <c r="F202" s="844"/>
    </row>
    <row r="203" spans="1:18" hidden="1" outlineLevel="1" x14ac:dyDescent="0.25">
      <c r="A203" s="270"/>
      <c r="B203" s="900" t="s">
        <v>22</v>
      </c>
      <c r="C203" s="901">
        <v>0.14000000000000001</v>
      </c>
      <c r="D203" s="902" t="s">
        <v>16</v>
      </c>
      <c r="E203" s="899">
        <f>C203*(1+0.3)</f>
        <v>0.18200000000000002</v>
      </c>
      <c r="F203" s="844"/>
    </row>
    <row r="204" spans="1:18" hidden="1" outlineLevel="1" x14ac:dyDescent="0.25">
      <c r="A204" s="270"/>
      <c r="B204" s="900" t="s">
        <v>23</v>
      </c>
      <c r="C204" s="901">
        <v>0.15</v>
      </c>
      <c r="D204" s="902" t="s">
        <v>16</v>
      </c>
      <c r="E204" s="899">
        <f>C204*(1+0.3)</f>
        <v>0.19500000000000001</v>
      </c>
      <c r="F204" s="844"/>
    </row>
    <row r="205" spans="1:18" ht="25.5" hidden="1" outlineLevel="1" x14ac:dyDescent="0.25">
      <c r="A205" s="270"/>
      <c r="B205" s="900" t="s">
        <v>36</v>
      </c>
      <c r="C205" s="901"/>
      <c r="D205" s="902"/>
      <c r="E205" s="899"/>
      <c r="F205" s="844"/>
    </row>
    <row r="206" spans="1:18" hidden="1" outlineLevel="1" x14ac:dyDescent="0.25">
      <c r="A206" s="270"/>
      <c r="B206" s="903" t="s">
        <v>37</v>
      </c>
      <c r="C206" s="901"/>
      <c r="D206" s="902">
        <v>1</v>
      </c>
      <c r="E206" s="899">
        <f>C206*D206</f>
        <v>0</v>
      </c>
      <c r="F206" s="844"/>
    </row>
    <row r="207" spans="1:18" hidden="1" outlineLevel="1" x14ac:dyDescent="0.25">
      <c r="A207" s="270"/>
      <c r="B207" s="903" t="s">
        <v>38</v>
      </c>
      <c r="C207" s="901"/>
      <c r="D207" s="844">
        <v>1</v>
      </c>
      <c r="E207" s="899">
        <f t="shared" ref="E207:E216" si="3">C207*D207</f>
        <v>0</v>
      </c>
      <c r="F207" s="844"/>
    </row>
    <row r="208" spans="1:18" hidden="1" outlineLevel="1" x14ac:dyDescent="0.25">
      <c r="A208" s="270"/>
      <c r="B208" s="903" t="s">
        <v>39</v>
      </c>
      <c r="C208" s="901"/>
      <c r="D208" s="844">
        <v>1</v>
      </c>
      <c r="E208" s="899">
        <f t="shared" si="3"/>
        <v>0</v>
      </c>
      <c r="F208" s="844"/>
    </row>
    <row r="209" spans="1:8" ht="25.5" hidden="1" outlineLevel="1" x14ac:dyDescent="0.25">
      <c r="A209" s="270"/>
      <c r="B209" s="903" t="s">
        <v>40</v>
      </c>
      <c r="C209" s="901"/>
      <c r="D209" s="844">
        <v>1</v>
      </c>
      <c r="E209" s="899">
        <f t="shared" si="3"/>
        <v>0</v>
      </c>
      <c r="F209" s="844"/>
    </row>
    <row r="210" spans="1:8" hidden="1" outlineLevel="1" x14ac:dyDescent="0.25">
      <c r="A210" s="270"/>
      <c r="B210" s="903" t="s">
        <v>41</v>
      </c>
      <c r="C210" s="901"/>
      <c r="D210" s="902">
        <v>1</v>
      </c>
      <c r="E210" s="899">
        <f t="shared" si="3"/>
        <v>0</v>
      </c>
      <c r="F210" s="844"/>
    </row>
    <row r="211" spans="1:8" hidden="1" outlineLevel="1" x14ac:dyDescent="0.25">
      <c r="A211" s="270"/>
      <c r="B211" s="903" t="s">
        <v>42</v>
      </c>
      <c r="C211" s="901"/>
      <c r="D211" s="844">
        <v>1</v>
      </c>
      <c r="E211" s="899">
        <f t="shared" si="3"/>
        <v>0</v>
      </c>
      <c r="F211" s="844"/>
    </row>
    <row r="212" spans="1:8" hidden="1" outlineLevel="1" x14ac:dyDescent="0.25">
      <c r="A212" s="270"/>
      <c r="B212" s="903" t="s">
        <v>43</v>
      </c>
      <c r="C212" s="901"/>
      <c r="D212" s="844">
        <v>1</v>
      </c>
      <c r="E212" s="899">
        <f t="shared" si="3"/>
        <v>0</v>
      </c>
      <c r="F212" s="844"/>
    </row>
    <row r="213" spans="1:8" hidden="1" outlineLevel="1" x14ac:dyDescent="0.25">
      <c r="A213" s="270"/>
      <c r="B213" s="900" t="s">
        <v>30</v>
      </c>
      <c r="C213" s="901">
        <v>0.06</v>
      </c>
      <c r="D213" s="844">
        <v>1</v>
      </c>
      <c r="E213" s="899">
        <f t="shared" si="3"/>
        <v>0.06</v>
      </c>
      <c r="F213" s="844"/>
    </row>
    <row r="214" spans="1:8" hidden="1" outlineLevel="1" x14ac:dyDescent="0.25">
      <c r="A214" s="270"/>
      <c r="B214" s="900" t="s">
        <v>44</v>
      </c>
      <c r="C214" s="901">
        <v>7.0000000000000007E-2</v>
      </c>
      <c r="D214" s="844">
        <v>1</v>
      </c>
      <c r="E214" s="899">
        <f t="shared" si="3"/>
        <v>7.0000000000000007E-2</v>
      </c>
      <c r="F214" s="844"/>
    </row>
    <row r="215" spans="1:8" hidden="1" outlineLevel="1" x14ac:dyDescent="0.25">
      <c r="A215" s="270"/>
      <c r="B215" s="900" t="s">
        <v>32</v>
      </c>
      <c r="C215" s="901">
        <v>0.06</v>
      </c>
      <c r="D215" s="844">
        <v>1</v>
      </c>
      <c r="E215" s="899">
        <f t="shared" si="3"/>
        <v>0.06</v>
      </c>
      <c r="F215" s="844"/>
    </row>
    <row r="216" spans="1:8" hidden="1" outlineLevel="1" x14ac:dyDescent="0.25">
      <c r="A216" s="270"/>
      <c r="B216" s="900" t="s">
        <v>45</v>
      </c>
      <c r="C216" s="901">
        <v>0.02</v>
      </c>
      <c r="D216" s="844">
        <v>1</v>
      </c>
      <c r="E216" s="899">
        <f t="shared" si="3"/>
        <v>0.02</v>
      </c>
      <c r="F216" s="844"/>
    </row>
    <row r="217" spans="1:8" hidden="1" outlineLevel="1" x14ac:dyDescent="0.25">
      <c r="A217" s="270"/>
      <c r="B217" s="900" t="s">
        <v>34</v>
      </c>
      <c r="C217" s="901">
        <v>7.0000000000000007E-2</v>
      </c>
      <c r="D217" s="902"/>
      <c r="E217" s="904">
        <f>SUM(E201:E216)*C217</f>
        <v>4.5290000000000004E-2</v>
      </c>
      <c r="F217" s="904"/>
      <c r="G217" s="14"/>
      <c r="H217" s="14"/>
    </row>
    <row r="218" spans="1:8" s="19" customFormat="1" ht="15.75" collapsed="1" x14ac:dyDescent="0.25">
      <c r="A218" s="287"/>
      <c r="B218" s="847" t="s">
        <v>48</v>
      </c>
      <c r="C218" s="847"/>
      <c r="D218" s="847"/>
      <c r="E218" s="847"/>
      <c r="F218" s="847"/>
    </row>
    <row r="219" spans="1:8" s="19" customFormat="1" ht="15.75" x14ac:dyDescent="0.25">
      <c r="A219" s="287"/>
      <c r="B219" s="847" t="s">
        <v>49</v>
      </c>
      <c r="C219" s="847">
        <v>5.32</v>
      </c>
      <c r="D219" s="905"/>
      <c r="E219" s="847"/>
      <c r="F219" s="847"/>
    </row>
    <row r="220" spans="1:8" ht="15.75" x14ac:dyDescent="0.25">
      <c r="A220" s="272"/>
      <c r="B220" s="390" t="s">
        <v>50</v>
      </c>
      <c r="C220" s="854"/>
      <c r="D220" s="854"/>
      <c r="E220" s="854"/>
      <c r="F220" s="859">
        <f>SUM(F31:F197)</f>
        <v>3874289.409036153</v>
      </c>
    </row>
    <row r="221" spans="1:8" x14ac:dyDescent="0.25">
      <c r="A221" s="272"/>
      <c r="B221" s="390" t="s">
        <v>51</v>
      </c>
      <c r="C221" s="854"/>
      <c r="D221" s="854"/>
      <c r="E221" s="854"/>
      <c r="F221" s="906">
        <f>F220*0.2</f>
        <v>774857.88180723065</v>
      </c>
    </row>
    <row r="222" spans="1:8" ht="15.75" x14ac:dyDescent="0.25">
      <c r="A222" s="272"/>
      <c r="B222" s="390" t="s">
        <v>52</v>
      </c>
      <c r="C222" s="854"/>
      <c r="D222" s="854"/>
      <c r="E222" s="854"/>
      <c r="F222" s="859">
        <f>SUM(F220:F221)</f>
        <v>4649147.2908433834</v>
      </c>
    </row>
    <row r="223" spans="1:8" x14ac:dyDescent="0.25">
      <c r="B223" s="374"/>
      <c r="C223" s="374"/>
      <c r="D223" s="374"/>
      <c r="E223" s="374"/>
      <c r="F223" s="374"/>
    </row>
    <row r="224" spans="1:8" x14ac:dyDescent="0.25">
      <c r="B224" s="374"/>
      <c r="C224" s="374"/>
      <c r="D224" s="374"/>
      <c r="E224" s="374"/>
      <c r="F224" s="374"/>
    </row>
  </sheetData>
  <mergeCells count="9">
    <mergeCell ref="B1:E1"/>
    <mergeCell ref="B27:F27"/>
    <mergeCell ref="A15:C15"/>
    <mergeCell ref="A18:F18"/>
    <mergeCell ref="A19:F19"/>
    <mergeCell ref="A21:B21"/>
    <mergeCell ref="C21:F21"/>
    <mergeCell ref="A23:B23"/>
    <mergeCell ref="A25:B25"/>
  </mergeCells>
  <pageMargins left="0.7" right="0.7" top="0.75" bottom="0.75" header="0.3" footer="0.3"/>
  <pageSetup paperSize="9" scale="57" orientation="portrait" r:id="rId1"/>
  <colBreaks count="1" manualBreakCount="1">
    <brk id="6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view="pageBreakPreview" topLeftCell="A16" zoomScaleNormal="100" zoomScaleSheetLayoutView="100" workbookViewId="0">
      <selection activeCell="G21" sqref="G21"/>
    </sheetView>
  </sheetViews>
  <sheetFormatPr defaultRowHeight="15" outlineLevelRow="1" x14ac:dyDescent="0.25"/>
  <cols>
    <col min="2" max="2" width="47.140625" customWidth="1"/>
    <col min="3" max="3" width="39.85546875" customWidth="1"/>
    <col min="4" max="4" width="21.5703125" customWidth="1"/>
    <col min="5" max="5" width="17.28515625" customWidth="1"/>
    <col min="6" max="6" width="17.7109375" customWidth="1"/>
    <col min="7" max="7" width="15.42578125" customWidth="1"/>
  </cols>
  <sheetData>
    <row r="1" spans="1:9" ht="16.5" hidden="1" thickBot="1" x14ac:dyDescent="0.3">
      <c r="B1" s="21"/>
      <c r="C1" s="1263" t="s">
        <v>1</v>
      </c>
      <c r="D1" s="1264"/>
      <c r="E1" s="1264"/>
      <c r="F1" s="1265"/>
    </row>
    <row r="2" spans="1:9" ht="16.5" hidden="1" thickBot="1" x14ac:dyDescent="0.3">
      <c r="B2" s="21" t="s">
        <v>207</v>
      </c>
      <c r="C2" s="22" t="s">
        <v>65</v>
      </c>
      <c r="D2" s="23" t="s">
        <v>0</v>
      </c>
      <c r="E2" s="20">
        <v>0.5</v>
      </c>
      <c r="F2" s="22"/>
    </row>
    <row r="3" spans="1:9" ht="15.75" hidden="1" x14ac:dyDescent="0.25">
      <c r="B3" s="24" t="s">
        <v>208</v>
      </c>
      <c r="C3" s="25" t="s">
        <v>127</v>
      </c>
      <c r="D3" s="26"/>
      <c r="E3" s="27"/>
      <c r="F3" s="25" t="s">
        <v>80</v>
      </c>
    </row>
    <row r="4" spans="1:9" s="828" customFormat="1" ht="27" customHeight="1" x14ac:dyDescent="0.25">
      <c r="A4" s="1254" t="s">
        <v>2397</v>
      </c>
      <c r="B4" s="1254"/>
      <c r="C4" s="1254"/>
      <c r="E4" s="835"/>
      <c r="F4" s="835" t="s">
        <v>2398</v>
      </c>
      <c r="G4" s="835"/>
      <c r="H4" s="835"/>
      <c r="I4" s="835"/>
    </row>
    <row r="5" spans="1:9" s="831" customFormat="1" x14ac:dyDescent="0.25">
      <c r="A5" s="829"/>
      <c r="B5" s="829"/>
      <c r="C5" s="829"/>
      <c r="D5" s="830"/>
      <c r="E5" s="830"/>
      <c r="F5" s="830"/>
      <c r="G5" s="830"/>
      <c r="H5" s="830"/>
      <c r="I5" s="830"/>
    </row>
    <row r="6" spans="1:9" s="831" customFormat="1" x14ac:dyDescent="0.25">
      <c r="A6" s="829"/>
      <c r="B6" s="829"/>
      <c r="C6" s="829"/>
      <c r="D6" s="830"/>
      <c r="E6" s="830"/>
      <c r="F6" s="830"/>
      <c r="G6" s="830"/>
      <c r="H6" s="830"/>
      <c r="I6" s="830"/>
    </row>
    <row r="7" spans="1:9" s="828" customFormat="1" ht="28.5" customHeight="1" x14ac:dyDescent="0.25">
      <c r="A7" s="1255" t="s">
        <v>2423</v>
      </c>
      <c r="B7" s="1255"/>
      <c r="C7" s="1255"/>
      <c r="D7" s="1255"/>
      <c r="E7" s="1255"/>
      <c r="F7" s="1255"/>
      <c r="G7" s="836"/>
      <c r="H7" s="836"/>
      <c r="I7" s="836"/>
    </row>
    <row r="8" spans="1:9" s="839" customFormat="1" ht="15.75" x14ac:dyDescent="0.25">
      <c r="A8" s="1256" t="s">
        <v>1112</v>
      </c>
      <c r="B8" s="1256"/>
      <c r="C8" s="1256"/>
      <c r="D8" s="1256"/>
      <c r="E8" s="1256"/>
      <c r="F8" s="1256"/>
      <c r="G8" s="838"/>
      <c r="H8" s="838"/>
      <c r="I8" s="838"/>
    </row>
    <row r="9" spans="1:9" s="828" customFormat="1" ht="15.75" x14ac:dyDescent="0.25">
      <c r="A9" s="840"/>
      <c r="B9" s="840"/>
      <c r="C9" s="840"/>
      <c r="D9" s="841"/>
      <c r="E9" s="841"/>
      <c r="F9" s="841"/>
      <c r="G9" s="829"/>
      <c r="H9" s="832"/>
      <c r="I9" s="832"/>
    </row>
    <row r="10" spans="1:9" s="828" customFormat="1" ht="81" customHeight="1" x14ac:dyDescent="0.25">
      <c r="A10" s="1258" t="s">
        <v>2399</v>
      </c>
      <c r="B10" s="1258"/>
      <c r="C10" s="1257" t="s">
        <v>2422</v>
      </c>
      <c r="D10" s="1257"/>
      <c r="E10" s="1257"/>
      <c r="F10" s="1257"/>
      <c r="G10" s="837"/>
      <c r="H10" s="837"/>
      <c r="I10" s="837"/>
    </row>
    <row r="11" spans="1:9" s="828" customFormat="1" ht="15.75" x14ac:dyDescent="0.25">
      <c r="A11" s="842"/>
      <c r="B11" s="842"/>
      <c r="C11" s="842"/>
      <c r="D11" s="840"/>
      <c r="E11" s="840"/>
      <c r="F11" s="840"/>
      <c r="G11" s="832"/>
      <c r="H11" s="832"/>
      <c r="I11" s="832"/>
    </row>
    <row r="12" spans="1:9" s="828" customFormat="1" ht="41.25" customHeight="1" x14ac:dyDescent="0.25">
      <c r="A12" s="1253" t="s">
        <v>1203</v>
      </c>
      <c r="B12" s="1253"/>
      <c r="C12" s="843"/>
      <c r="D12" s="843"/>
      <c r="E12" s="843"/>
      <c r="F12" s="843"/>
      <c r="G12" s="833"/>
      <c r="H12" s="833"/>
      <c r="I12" s="833"/>
    </row>
    <row r="13" spans="1:9" s="828" customFormat="1" ht="15.75" x14ac:dyDescent="0.25">
      <c r="A13" s="840"/>
      <c r="B13" s="840"/>
      <c r="C13" s="840"/>
      <c r="D13" s="840"/>
      <c r="E13" s="840"/>
      <c r="F13" s="840"/>
      <c r="G13" s="832"/>
      <c r="H13" s="832"/>
      <c r="I13" s="832"/>
    </row>
    <row r="14" spans="1:9" s="828" customFormat="1" ht="30" customHeight="1" x14ac:dyDescent="0.25">
      <c r="A14" s="1253" t="s">
        <v>2400</v>
      </c>
      <c r="B14" s="1253"/>
      <c r="C14" s="843" t="s">
        <v>2403</v>
      </c>
      <c r="D14" s="843"/>
      <c r="E14" s="843"/>
      <c r="F14" s="843"/>
      <c r="G14" s="833"/>
      <c r="H14" s="833"/>
      <c r="I14" s="833"/>
    </row>
    <row r="15" spans="1:9" s="294" customFormat="1" ht="38.25" x14ac:dyDescent="0.25">
      <c r="A15" s="291" t="s">
        <v>529</v>
      </c>
      <c r="B15" s="291" t="s">
        <v>528</v>
      </c>
      <c r="C15" s="291" t="s">
        <v>527</v>
      </c>
      <c r="D15" s="292" t="s">
        <v>526</v>
      </c>
      <c r="E15" s="293"/>
      <c r="F15" s="291" t="s">
        <v>525</v>
      </c>
    </row>
    <row r="16" spans="1:9" s="268" customFormat="1" ht="12.75" x14ac:dyDescent="0.2">
      <c r="A16" s="290">
        <v>1</v>
      </c>
      <c r="B16" s="290">
        <v>2</v>
      </c>
      <c r="C16" s="290">
        <v>3</v>
      </c>
      <c r="D16" s="290">
        <v>4</v>
      </c>
      <c r="E16" s="290"/>
      <c r="F16" s="290">
        <v>5</v>
      </c>
    </row>
    <row r="17" spans="1:11" x14ac:dyDescent="0.25">
      <c r="A17" s="270"/>
      <c r="B17" s="845" t="s">
        <v>127</v>
      </c>
      <c r="C17" s="844"/>
      <c r="D17" s="847">
        <v>0.5</v>
      </c>
      <c r="E17" s="844" t="s">
        <v>0</v>
      </c>
      <c r="F17" s="844"/>
    </row>
    <row r="18" spans="1:11" s="2" customFormat="1" ht="140.25" customHeight="1" x14ac:dyDescent="0.25">
      <c r="A18" s="271">
        <v>1</v>
      </c>
      <c r="B18" s="854" t="s">
        <v>534</v>
      </c>
      <c r="C18" s="394" t="s">
        <v>533</v>
      </c>
      <c r="D18" s="394" t="s">
        <v>532</v>
      </c>
      <c r="E18" s="854"/>
      <c r="F18" s="855">
        <f>((7.15*0.34*(0.4*50+0.6*(50/2)))*D19*D20*D21)*C29*1000</f>
        <v>19179.779018400004</v>
      </c>
      <c r="J18"/>
    </row>
    <row r="19" spans="1:11" s="3" customFormat="1" ht="19.5" customHeight="1" x14ac:dyDescent="0.25">
      <c r="A19" s="272"/>
      <c r="B19" s="275" t="s">
        <v>4</v>
      </c>
      <c r="C19" s="275" t="s">
        <v>5</v>
      </c>
      <c r="D19" s="276">
        <v>0.4</v>
      </c>
      <c r="E19" s="276"/>
      <c r="F19" s="276"/>
      <c r="I19"/>
      <c r="J19"/>
      <c r="K19"/>
    </row>
    <row r="20" spans="1:11" ht="40.5" customHeight="1" x14ac:dyDescent="0.25">
      <c r="A20" s="272"/>
      <c r="B20" s="273" t="s">
        <v>3</v>
      </c>
      <c r="C20" s="272" t="s">
        <v>530</v>
      </c>
      <c r="D20" s="277">
        <v>0.1</v>
      </c>
      <c r="E20" s="270"/>
      <c r="F20" s="270"/>
    </row>
    <row r="21" spans="1:11" ht="110.25" customHeight="1" x14ac:dyDescent="0.25">
      <c r="A21" s="272"/>
      <c r="B21" s="269" t="s">
        <v>15</v>
      </c>
      <c r="C21" s="269" t="s">
        <v>531</v>
      </c>
      <c r="D21" s="270">
        <f>E22/1</f>
        <v>1.0592999999999999</v>
      </c>
      <c r="E21" s="270"/>
      <c r="F21" s="270"/>
    </row>
    <row r="22" spans="1:11" x14ac:dyDescent="0.25">
      <c r="A22" s="272"/>
      <c r="B22" s="278" t="s">
        <v>6</v>
      </c>
      <c r="C22" s="279">
        <f>SUM(C23:C27)</f>
        <v>0.99999999999999989</v>
      </c>
      <c r="D22" s="280"/>
      <c r="E22" s="281">
        <f>SUM(E23:E27)</f>
        <v>1.0592999999999999</v>
      </c>
      <c r="F22" s="856"/>
      <c r="G22" s="9"/>
    </row>
    <row r="23" spans="1:11" hidden="1" outlineLevel="1" x14ac:dyDescent="0.25">
      <c r="A23" s="272"/>
      <c r="B23" s="270" t="s">
        <v>7</v>
      </c>
      <c r="C23" s="282">
        <v>0.2</v>
      </c>
      <c r="D23" s="283">
        <v>1</v>
      </c>
      <c r="E23" s="284">
        <f>C23*1</f>
        <v>0.2</v>
      </c>
      <c r="F23" s="857"/>
      <c r="G23" s="6"/>
    </row>
    <row r="24" spans="1:11" hidden="1" outlineLevel="1" x14ac:dyDescent="0.25">
      <c r="A24" s="272"/>
      <c r="B24" s="270" t="s">
        <v>14</v>
      </c>
      <c r="C24" s="282">
        <v>0.2</v>
      </c>
      <c r="D24" s="270">
        <v>1</v>
      </c>
      <c r="E24" s="284">
        <f>C24*D24</f>
        <v>0.2</v>
      </c>
      <c r="F24" s="844"/>
    </row>
    <row r="25" spans="1:11" hidden="1" outlineLevel="1" x14ac:dyDescent="0.25">
      <c r="A25" s="272"/>
      <c r="B25" s="270" t="s">
        <v>9</v>
      </c>
      <c r="C25" s="282">
        <v>0.28999999999999998</v>
      </c>
      <c r="D25" s="285">
        <v>1</v>
      </c>
      <c r="E25" s="284">
        <f>C25*D25</f>
        <v>0.28999999999999998</v>
      </c>
      <c r="F25" s="844"/>
    </row>
    <row r="26" spans="1:11" hidden="1" outlineLevel="1" x14ac:dyDescent="0.25">
      <c r="A26" s="272"/>
      <c r="B26" s="270" t="s">
        <v>11</v>
      </c>
      <c r="C26" s="282">
        <v>0.21</v>
      </c>
      <c r="D26" s="283" t="s">
        <v>16</v>
      </c>
      <c r="E26" s="284">
        <f>C26*(1+0.3)</f>
        <v>0.27300000000000002</v>
      </c>
      <c r="F26" s="857"/>
      <c r="G26" s="6"/>
    </row>
    <row r="27" spans="1:11" hidden="1" outlineLevel="1" x14ac:dyDescent="0.25">
      <c r="A27" s="272"/>
      <c r="B27" s="270" t="s">
        <v>13</v>
      </c>
      <c r="C27" s="282">
        <v>0.1</v>
      </c>
      <c r="D27" s="270"/>
      <c r="E27" s="286">
        <f>SUM(E23:E26)*C27</f>
        <v>9.6299999999999997E-2</v>
      </c>
      <c r="F27" s="858"/>
      <c r="G27" s="7"/>
      <c r="H27" s="8"/>
    </row>
    <row r="28" spans="1:11" collapsed="1" x14ac:dyDescent="0.25">
      <c r="A28" s="272"/>
      <c r="B28" s="287" t="s">
        <v>48</v>
      </c>
      <c r="C28" s="270"/>
      <c r="D28" s="270"/>
      <c r="E28" s="270"/>
      <c r="F28" s="844"/>
    </row>
    <row r="29" spans="1:11" x14ac:dyDescent="0.25">
      <c r="A29" s="272"/>
      <c r="B29" s="287" t="s">
        <v>49</v>
      </c>
      <c r="C29" s="287">
        <v>5.32</v>
      </c>
      <c r="D29" s="288"/>
      <c r="E29" s="270"/>
      <c r="F29" s="844"/>
    </row>
    <row r="30" spans="1:11" ht="15.75" x14ac:dyDescent="0.25">
      <c r="A30" s="270"/>
      <c r="B30" s="289" t="s">
        <v>50</v>
      </c>
      <c r="C30" s="270"/>
      <c r="D30" s="270"/>
      <c r="E30" s="270"/>
      <c r="F30" s="859">
        <f>SUM(F18:F29)</f>
        <v>19179.779018400004</v>
      </c>
    </row>
    <row r="31" spans="1:11" ht="15.75" x14ac:dyDescent="0.25">
      <c r="A31" s="270"/>
      <c r="B31" s="289" t="s">
        <v>51</v>
      </c>
      <c r="C31" s="270"/>
      <c r="D31" s="270"/>
      <c r="E31" s="270"/>
      <c r="F31" s="860">
        <f>F30*0.2</f>
        <v>3835.9558036800008</v>
      </c>
    </row>
    <row r="32" spans="1:11" ht="15.75" x14ac:dyDescent="0.25">
      <c r="A32" s="270"/>
      <c r="B32" s="289" t="s">
        <v>52</v>
      </c>
      <c r="C32" s="270"/>
      <c r="D32" s="270"/>
      <c r="E32" s="270"/>
      <c r="F32" s="859">
        <f>SUM(F30:F31)</f>
        <v>23015.734822080005</v>
      </c>
    </row>
    <row r="33" spans="3:4" ht="18.75" x14ac:dyDescent="0.3">
      <c r="C33" s="18"/>
      <c r="D33" s="18"/>
    </row>
  </sheetData>
  <mergeCells count="8">
    <mergeCell ref="A12:B12"/>
    <mergeCell ref="A14:B14"/>
    <mergeCell ref="C1:F1"/>
    <mergeCell ref="A4:C4"/>
    <mergeCell ref="A7:F7"/>
    <mergeCell ref="A8:F8"/>
    <mergeCell ref="A10:B10"/>
    <mergeCell ref="C10:F10"/>
  </mergeCells>
  <pageMargins left="0.7" right="0.7" top="0.75" bottom="0.75" header="0.3" footer="0.3"/>
  <pageSetup paperSize="9" scale="57" orientation="portrait" r:id="rId1"/>
  <colBreaks count="1" manualBreakCount="1">
    <brk id="6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AD163"/>
  <sheetViews>
    <sheetView view="pageBreakPreview" zoomScale="80" zoomScaleNormal="100" zoomScaleSheetLayoutView="80" workbookViewId="0">
      <pane xSplit="1" ySplit="7" topLeftCell="B74" activePane="bottomRight" state="frozen"/>
      <selection activeCell="A5" sqref="A5:F5"/>
      <selection pane="topRight" activeCell="A5" sqref="A5:F5"/>
      <selection pane="bottomLeft" activeCell="A5" sqref="A5:F5"/>
      <selection pane="bottomRight" activeCell="F94" sqref="F94"/>
    </sheetView>
  </sheetViews>
  <sheetFormatPr defaultColWidth="8.85546875" defaultRowHeight="15" x14ac:dyDescent="0.25"/>
  <cols>
    <col min="1" max="1" width="82.7109375" style="125" customWidth="1"/>
    <col min="2" max="2" width="12.42578125" style="125" customWidth="1"/>
    <col min="3" max="3" width="12.5703125" style="125" customWidth="1"/>
    <col min="4" max="4" width="12.85546875" style="125" customWidth="1"/>
    <col min="5" max="5" width="13.28515625" style="125" customWidth="1"/>
    <col min="6" max="6" width="11" style="125" customWidth="1"/>
    <col min="7" max="7" width="22.140625" style="125" customWidth="1"/>
    <col min="8" max="8" width="8.85546875" style="125" customWidth="1"/>
    <col min="9" max="9" width="10.28515625" style="125" customWidth="1"/>
    <col min="10" max="10" width="8.85546875" style="125" customWidth="1"/>
    <col min="11" max="11" width="8.85546875" style="262" customWidth="1"/>
    <col min="12" max="16" width="8.85546875" style="125" customWidth="1"/>
    <col min="17" max="17" width="10.28515625" style="125" customWidth="1"/>
    <col min="18" max="18" width="10.5703125" style="125" customWidth="1"/>
    <col min="19" max="19" width="8.42578125" style="125" customWidth="1"/>
    <col min="20" max="16384" width="8.85546875" style="125"/>
  </cols>
  <sheetData>
    <row r="1" spans="1:22" s="110" customFormat="1" ht="20.25" x14ac:dyDescent="0.3">
      <c r="A1" s="108" t="s">
        <v>412</v>
      </c>
      <c r="B1" s="109"/>
      <c r="C1" s="109"/>
      <c r="D1" s="109"/>
      <c r="E1" s="109"/>
      <c r="F1" s="109"/>
      <c r="G1" s="109"/>
      <c r="H1" s="109"/>
    </row>
    <row r="2" spans="1:22" s="110" customFormat="1" ht="20.25" customHeight="1" x14ac:dyDescent="0.2">
      <c r="A2" s="111" t="s">
        <v>413</v>
      </c>
      <c r="B2" s="112"/>
      <c r="C2" s="112"/>
      <c r="D2" s="112"/>
      <c r="E2" s="112"/>
      <c r="F2" s="112"/>
      <c r="G2" s="113"/>
      <c r="H2" s="113"/>
    </row>
    <row r="3" spans="1:22" s="110" customFormat="1" ht="14.25" customHeight="1" x14ac:dyDescent="0.2">
      <c r="A3" s="114"/>
      <c r="B3" s="115"/>
      <c r="C3" s="115"/>
      <c r="D3" s="115"/>
      <c r="E3" s="115"/>
      <c r="F3" s="115"/>
      <c r="G3" s="113"/>
      <c r="H3" s="113"/>
    </row>
    <row r="4" spans="1:22" s="110" customFormat="1" ht="14.45" customHeight="1" x14ac:dyDescent="0.2">
      <c r="A4" s="116"/>
      <c r="B4" s="117"/>
      <c r="C4" s="117"/>
      <c r="D4" s="117"/>
      <c r="E4" s="117"/>
      <c r="F4" s="117"/>
      <c r="G4" s="113"/>
      <c r="H4" s="113"/>
    </row>
    <row r="5" spans="1:22" s="110" customFormat="1" ht="48.75" customHeight="1" thickBot="1" x14ac:dyDescent="0.25">
      <c r="A5" s="1266" t="s">
        <v>414</v>
      </c>
      <c r="B5" s="1266"/>
      <c r="C5" s="1266"/>
      <c r="D5" s="1266"/>
      <c r="E5" s="1266"/>
      <c r="F5" s="1266"/>
    </row>
    <row r="6" spans="1:22" ht="15" customHeight="1" x14ac:dyDescent="0.25">
      <c r="A6" s="118"/>
      <c r="B6" s="119">
        <v>2021</v>
      </c>
      <c r="C6" s="119">
        <f>B6+1</f>
        <v>2022</v>
      </c>
      <c r="D6" s="119">
        <f>C6+1</f>
        <v>2023</v>
      </c>
      <c r="E6" s="119">
        <f>D6+1</f>
        <v>2024</v>
      </c>
      <c r="F6" s="120">
        <f>E6+1</f>
        <v>2025</v>
      </c>
      <c r="G6" s="121"/>
      <c r="H6" s="121"/>
      <c r="I6" s="122"/>
      <c r="J6" s="122"/>
      <c r="K6" s="123"/>
      <c r="L6" s="122"/>
      <c r="M6" s="122"/>
      <c r="N6" s="122"/>
      <c r="O6" s="122"/>
      <c r="P6" s="122"/>
      <c r="Q6" s="122"/>
      <c r="R6" s="124"/>
      <c r="S6" s="124"/>
      <c r="T6" s="124"/>
      <c r="U6" s="124"/>
      <c r="V6" s="124"/>
    </row>
    <row r="7" spans="1:22" ht="20.25" thickBot="1" x14ac:dyDescent="0.3">
      <c r="A7" s="126"/>
      <c r="B7" s="127" t="s">
        <v>415</v>
      </c>
      <c r="C7" s="127" t="s">
        <v>416</v>
      </c>
      <c r="D7" s="1267" t="s">
        <v>417</v>
      </c>
      <c r="E7" s="1267"/>
      <c r="F7" s="1268"/>
      <c r="G7" s="128"/>
      <c r="H7" s="129"/>
      <c r="I7" s="130"/>
      <c r="J7" s="130"/>
      <c r="K7" s="131"/>
      <c r="L7" s="132"/>
      <c r="M7" s="132"/>
      <c r="N7" s="132"/>
      <c r="O7" s="132"/>
      <c r="P7" s="132"/>
      <c r="Q7" s="132"/>
      <c r="R7" s="124"/>
      <c r="S7" s="124"/>
      <c r="T7" s="124"/>
      <c r="U7" s="124"/>
      <c r="V7" s="124"/>
    </row>
    <row r="8" spans="1:22" ht="20.25" customHeight="1" x14ac:dyDescent="0.25">
      <c r="A8" s="133" t="s">
        <v>418</v>
      </c>
      <c r="B8" s="134"/>
      <c r="C8" s="135"/>
      <c r="D8" s="136"/>
      <c r="E8" s="136"/>
      <c r="F8" s="137"/>
      <c r="G8" s="138"/>
      <c r="H8" s="139"/>
      <c r="I8" s="140"/>
      <c r="J8" s="140"/>
      <c r="K8" s="141"/>
      <c r="L8" s="142"/>
      <c r="M8" s="142"/>
      <c r="N8" s="142"/>
      <c r="O8" s="142"/>
      <c r="P8" s="142"/>
      <c r="Q8" s="142"/>
      <c r="R8" s="124"/>
      <c r="S8" s="124"/>
      <c r="T8" s="124"/>
      <c r="U8" s="124"/>
      <c r="V8" s="124"/>
    </row>
    <row r="9" spans="1:22" ht="23.25" customHeight="1" x14ac:dyDescent="0.25">
      <c r="A9" s="143" t="s">
        <v>419</v>
      </c>
      <c r="B9" s="144">
        <v>128.44</v>
      </c>
      <c r="C9" s="144">
        <v>112.86</v>
      </c>
      <c r="D9" s="145">
        <v>102.05763765020158</v>
      </c>
      <c r="E9" s="145">
        <v>103.414</v>
      </c>
      <c r="F9" s="146">
        <v>103.07</v>
      </c>
      <c r="G9" s="147"/>
      <c r="H9" s="148"/>
      <c r="I9" s="148"/>
      <c r="J9" s="148"/>
      <c r="K9" s="149"/>
      <c r="L9" s="148"/>
      <c r="M9" s="148"/>
      <c r="N9" s="148"/>
      <c r="O9" s="148"/>
      <c r="P9" s="148"/>
      <c r="Q9" s="148"/>
      <c r="R9" s="124"/>
      <c r="S9" s="124"/>
      <c r="T9" s="124"/>
      <c r="U9" s="124"/>
      <c r="V9" s="124"/>
    </row>
    <row r="10" spans="1:22" ht="20.100000000000001" customHeight="1" x14ac:dyDescent="0.25">
      <c r="A10" s="150" t="s">
        <v>420</v>
      </c>
      <c r="B10" s="151">
        <v>124.51</v>
      </c>
      <c r="C10" s="151">
        <v>112.12004092711119</v>
      </c>
      <c r="D10" s="152">
        <v>101.96</v>
      </c>
      <c r="E10" s="152">
        <v>103.69</v>
      </c>
      <c r="F10" s="153">
        <v>103.32</v>
      </c>
      <c r="G10" s="154"/>
      <c r="H10" s="155"/>
      <c r="I10" s="155"/>
      <c r="J10" s="155"/>
      <c r="K10" s="156"/>
      <c r="L10" s="155"/>
      <c r="M10" s="155"/>
      <c r="N10" s="155"/>
      <c r="O10" s="155"/>
      <c r="P10" s="155"/>
      <c r="Q10" s="155"/>
      <c r="R10" s="124"/>
      <c r="S10" s="124"/>
      <c r="T10" s="124"/>
      <c r="U10" s="124"/>
      <c r="V10" s="124"/>
    </row>
    <row r="11" spans="1:22" ht="36.75" customHeight="1" x14ac:dyDescent="0.25">
      <c r="A11" s="157" t="s">
        <v>421</v>
      </c>
      <c r="B11" s="151">
        <v>117.79</v>
      </c>
      <c r="C11" s="151">
        <v>110.02</v>
      </c>
      <c r="D11" s="152">
        <v>105.47</v>
      </c>
      <c r="E11" s="152">
        <v>104.81</v>
      </c>
      <c r="F11" s="153">
        <v>104.46</v>
      </c>
      <c r="G11" s="158"/>
      <c r="H11" s="155"/>
      <c r="I11" s="155"/>
      <c r="J11" s="155"/>
      <c r="K11" s="156"/>
      <c r="L11" s="155"/>
      <c r="M11" s="155"/>
      <c r="N11" s="155"/>
      <c r="O11" s="155"/>
      <c r="P11" s="155"/>
      <c r="Q11" s="155"/>
      <c r="R11" s="124"/>
      <c r="S11" s="124"/>
      <c r="T11" s="124"/>
      <c r="U11" s="124"/>
      <c r="V11" s="124"/>
    </row>
    <row r="12" spans="1:22" ht="15" customHeight="1" x14ac:dyDescent="0.25">
      <c r="A12" s="159" t="s">
        <v>422</v>
      </c>
      <c r="B12" s="160"/>
      <c r="C12" s="160"/>
      <c r="D12" s="161"/>
      <c r="E12" s="161"/>
      <c r="F12" s="162"/>
      <c r="G12" s="163"/>
      <c r="H12" s="164"/>
      <c r="I12" s="165"/>
      <c r="J12" s="165"/>
      <c r="K12" s="141"/>
      <c r="L12" s="165"/>
      <c r="M12" s="165"/>
      <c r="N12" s="165"/>
      <c r="O12" s="165"/>
      <c r="P12" s="165"/>
      <c r="Q12" s="165"/>
      <c r="R12" s="124"/>
      <c r="S12" s="124"/>
      <c r="T12" s="124"/>
      <c r="U12" s="124"/>
      <c r="V12" s="124"/>
    </row>
    <row r="13" spans="1:22" ht="23.25" customHeight="1" x14ac:dyDescent="0.25">
      <c r="A13" s="143" t="s">
        <v>419</v>
      </c>
      <c r="B13" s="144">
        <v>156.16</v>
      </c>
      <c r="C13" s="144">
        <v>116.53579330712621</v>
      </c>
      <c r="D13" s="145">
        <v>93.765673353637709</v>
      </c>
      <c r="E13" s="145">
        <v>100.81</v>
      </c>
      <c r="F13" s="146">
        <v>100.61</v>
      </c>
      <c r="G13" s="147"/>
      <c r="H13" s="148"/>
      <c r="I13" s="148"/>
      <c r="J13" s="148"/>
      <c r="K13" s="149"/>
      <c r="L13" s="148"/>
      <c r="M13" s="148"/>
      <c r="N13" s="148"/>
      <c r="O13" s="148"/>
      <c r="P13" s="148"/>
      <c r="Q13" s="148"/>
      <c r="R13" s="124"/>
      <c r="S13" s="124"/>
      <c r="T13" s="124"/>
      <c r="U13" s="124"/>
      <c r="V13" s="124"/>
    </row>
    <row r="14" spans="1:22" ht="20.100000000000001" customHeight="1" x14ac:dyDescent="0.25">
      <c r="A14" s="166" t="s">
        <v>420</v>
      </c>
      <c r="B14" s="167">
        <v>146.16999999999999</v>
      </c>
      <c r="C14" s="167">
        <v>113.44276445406905</v>
      </c>
      <c r="D14" s="168">
        <v>90.97</v>
      </c>
      <c r="E14" s="168">
        <v>101.11</v>
      </c>
      <c r="F14" s="169">
        <v>100.66</v>
      </c>
      <c r="G14" s="154"/>
      <c r="H14" s="155"/>
      <c r="I14" s="155"/>
      <c r="J14" s="155"/>
      <c r="K14" s="156"/>
      <c r="L14" s="155"/>
      <c r="M14" s="155"/>
      <c r="N14" s="155"/>
      <c r="O14" s="155"/>
      <c r="P14" s="155"/>
      <c r="Q14" s="155"/>
      <c r="R14" s="124"/>
      <c r="S14" s="124"/>
      <c r="T14" s="124"/>
      <c r="U14" s="124"/>
      <c r="V14" s="124"/>
    </row>
    <row r="15" spans="1:22" ht="31.5" x14ac:dyDescent="0.25">
      <c r="A15" s="159" t="s">
        <v>423</v>
      </c>
      <c r="B15" s="160"/>
      <c r="C15" s="160"/>
      <c r="D15" s="161"/>
      <c r="E15" s="161"/>
      <c r="F15" s="162"/>
      <c r="G15" s="170"/>
      <c r="H15" s="164"/>
      <c r="I15" s="165"/>
      <c r="J15" s="165"/>
      <c r="K15" s="141"/>
      <c r="L15" s="165"/>
      <c r="M15" s="165"/>
      <c r="N15" s="165"/>
      <c r="O15" s="165"/>
      <c r="P15" s="165"/>
      <c r="Q15" s="165"/>
      <c r="R15" s="124"/>
      <c r="S15" s="124"/>
      <c r="T15" s="124"/>
      <c r="U15" s="124"/>
      <c r="V15" s="124"/>
    </row>
    <row r="16" spans="1:22" ht="23.25" customHeight="1" x14ac:dyDescent="0.25">
      <c r="A16" s="143" t="s">
        <v>419</v>
      </c>
      <c r="B16" s="144">
        <v>159.51429846536854</v>
      </c>
      <c r="C16" s="144">
        <v>119.14350523278867</v>
      </c>
      <c r="D16" s="145">
        <v>92.830222925287075</v>
      </c>
      <c r="E16" s="145">
        <v>100.49314600911008</v>
      </c>
      <c r="F16" s="146">
        <v>100.32300603741005</v>
      </c>
      <c r="G16" s="147"/>
      <c r="H16" s="148"/>
      <c r="I16" s="148"/>
      <c r="J16" s="148"/>
      <c r="K16" s="149"/>
      <c r="L16" s="148"/>
      <c r="M16" s="148"/>
      <c r="N16" s="148"/>
      <c r="O16" s="148"/>
      <c r="P16" s="148"/>
      <c r="Q16" s="148"/>
      <c r="R16" s="124"/>
      <c r="S16" s="124"/>
      <c r="T16" s="124"/>
      <c r="U16" s="124"/>
      <c r="V16" s="124"/>
    </row>
    <row r="17" spans="1:22" ht="20.100000000000001" customHeight="1" x14ac:dyDescent="0.25">
      <c r="A17" s="150" t="s">
        <v>420</v>
      </c>
      <c r="B17" s="167">
        <v>146.80167496716919</v>
      </c>
      <c r="C17" s="167">
        <v>119.63296089302145</v>
      </c>
      <c r="D17" s="168">
        <v>89.807100241100358</v>
      </c>
      <c r="E17" s="168">
        <v>100.61451924397335</v>
      </c>
      <c r="F17" s="169">
        <v>100.11906991185921</v>
      </c>
      <c r="G17" s="154"/>
      <c r="H17" s="155"/>
      <c r="I17" s="155"/>
      <c r="J17" s="155"/>
      <c r="K17" s="156"/>
      <c r="L17" s="155"/>
      <c r="M17" s="155"/>
      <c r="N17" s="155"/>
      <c r="O17" s="155"/>
      <c r="P17" s="155"/>
      <c r="Q17" s="155"/>
      <c r="R17" s="124"/>
      <c r="S17" s="124"/>
      <c r="T17" s="124"/>
      <c r="U17" s="124"/>
      <c r="V17" s="124"/>
    </row>
    <row r="18" spans="1:22" ht="15" customHeight="1" x14ac:dyDescent="0.25">
      <c r="A18" s="159" t="s">
        <v>424</v>
      </c>
      <c r="B18" s="160"/>
      <c r="C18" s="160"/>
      <c r="D18" s="161"/>
      <c r="E18" s="161"/>
      <c r="F18" s="162"/>
      <c r="G18" s="170"/>
      <c r="H18" s="164"/>
      <c r="I18" s="165"/>
      <c r="J18" s="165"/>
      <c r="K18" s="141"/>
      <c r="L18" s="165"/>
      <c r="M18" s="165"/>
      <c r="N18" s="165"/>
      <c r="O18" s="165"/>
      <c r="P18" s="165"/>
      <c r="Q18" s="165"/>
      <c r="R18" s="124"/>
      <c r="S18" s="124"/>
      <c r="T18" s="124"/>
      <c r="U18" s="124"/>
      <c r="V18" s="124"/>
    </row>
    <row r="19" spans="1:22" ht="23.25" customHeight="1" x14ac:dyDescent="0.25">
      <c r="A19" s="143" t="s">
        <v>419</v>
      </c>
      <c r="B19" s="144">
        <v>181.34675448183137</v>
      </c>
      <c r="C19" s="144">
        <v>161.30886585049623</v>
      </c>
      <c r="D19" s="145">
        <v>92.251884734915393</v>
      </c>
      <c r="E19" s="145">
        <v>103.75116913532574</v>
      </c>
      <c r="F19" s="146">
        <v>103.15100000000706</v>
      </c>
      <c r="G19" s="147"/>
      <c r="H19" s="148"/>
      <c r="I19" s="148"/>
      <c r="J19" s="148"/>
      <c r="K19" s="149"/>
      <c r="L19" s="148"/>
      <c r="M19" s="148"/>
      <c r="N19" s="148"/>
      <c r="O19" s="148"/>
      <c r="P19" s="148"/>
      <c r="Q19" s="148"/>
      <c r="R19" s="124"/>
      <c r="S19" s="124"/>
      <c r="T19" s="124"/>
      <c r="U19" s="124"/>
      <c r="V19" s="124"/>
    </row>
    <row r="20" spans="1:22" ht="20.100000000000001" customHeight="1" x14ac:dyDescent="0.25">
      <c r="A20" s="150" t="s">
        <v>420</v>
      </c>
      <c r="B20" s="151">
        <v>152.31</v>
      </c>
      <c r="C20" s="151">
        <v>159.4626706457199</v>
      </c>
      <c r="D20" s="152">
        <v>88.733190360431621</v>
      </c>
      <c r="E20" s="152">
        <v>104.63534701788106</v>
      </c>
      <c r="F20" s="153">
        <v>103.80404415366107</v>
      </c>
      <c r="G20" s="154"/>
      <c r="H20" s="155"/>
      <c r="I20" s="155"/>
      <c r="J20" s="155"/>
      <c r="K20" s="156"/>
      <c r="L20" s="155"/>
      <c r="M20" s="155"/>
      <c r="N20" s="155"/>
      <c r="O20" s="155"/>
      <c r="P20" s="155"/>
      <c r="Q20" s="155"/>
      <c r="R20" s="124"/>
      <c r="S20" s="124"/>
      <c r="T20" s="124"/>
      <c r="U20" s="124"/>
      <c r="V20" s="124"/>
    </row>
    <row r="21" spans="1:22" ht="20.100000000000001" customHeight="1" x14ac:dyDescent="0.25">
      <c r="A21" s="157" t="s">
        <v>425</v>
      </c>
      <c r="B21" s="151"/>
      <c r="C21" s="151"/>
      <c r="D21" s="152"/>
      <c r="E21" s="152"/>
      <c r="F21" s="153"/>
      <c r="G21" s="171"/>
      <c r="H21" s="172"/>
      <c r="I21" s="173"/>
      <c r="J21" s="173"/>
      <c r="K21" s="174"/>
      <c r="L21" s="173"/>
      <c r="M21" s="173"/>
      <c r="N21" s="173"/>
      <c r="O21" s="173"/>
      <c r="P21" s="173"/>
      <c r="Q21" s="173"/>
      <c r="R21" s="124"/>
      <c r="S21" s="124"/>
      <c r="T21" s="124"/>
      <c r="U21" s="124"/>
      <c r="V21" s="124"/>
    </row>
    <row r="22" spans="1:22" ht="20.100000000000001" customHeight="1" x14ac:dyDescent="0.25">
      <c r="A22" s="150" t="s">
        <v>420</v>
      </c>
      <c r="B22" s="167">
        <v>141.16999999999999</v>
      </c>
      <c r="C22" s="167">
        <v>153.70820554793207</v>
      </c>
      <c r="D22" s="168">
        <v>87.499682046358629</v>
      </c>
      <c r="E22" s="168">
        <v>104.66011875265306</v>
      </c>
      <c r="F22" s="169">
        <v>103.9455071887097</v>
      </c>
      <c r="G22" s="175"/>
      <c r="H22" s="155"/>
      <c r="I22" s="148"/>
      <c r="J22" s="148"/>
      <c r="K22" s="149"/>
      <c r="L22" s="148"/>
      <c r="M22" s="148"/>
      <c r="N22" s="148"/>
      <c r="O22" s="148"/>
      <c r="P22" s="148"/>
      <c r="Q22" s="148"/>
      <c r="R22" s="124"/>
      <c r="S22" s="124"/>
      <c r="T22" s="124"/>
      <c r="U22" s="124"/>
      <c r="V22" s="124"/>
    </row>
    <row r="23" spans="1:22" ht="16.5" x14ac:dyDescent="0.25">
      <c r="A23" s="159" t="s">
        <v>426</v>
      </c>
      <c r="B23" s="160"/>
      <c r="C23" s="160"/>
      <c r="D23" s="161"/>
      <c r="E23" s="161"/>
      <c r="F23" s="162"/>
      <c r="G23" s="170"/>
      <c r="H23" s="164"/>
      <c r="I23" s="165"/>
      <c r="J23" s="165"/>
      <c r="K23" s="141"/>
      <c r="L23" s="165"/>
      <c r="M23" s="165"/>
      <c r="N23" s="165"/>
      <c r="O23" s="165"/>
      <c r="P23" s="165"/>
      <c r="Q23" s="165"/>
      <c r="R23" s="124"/>
      <c r="S23" s="124"/>
      <c r="T23" s="124"/>
      <c r="U23" s="124"/>
      <c r="V23" s="124"/>
    </row>
    <row r="24" spans="1:22" ht="23.25" customHeight="1" x14ac:dyDescent="0.25">
      <c r="A24" s="143" t="s">
        <v>419</v>
      </c>
      <c r="B24" s="144">
        <v>157.30179234246401</v>
      </c>
      <c r="C24" s="144">
        <v>112.22509161842704</v>
      </c>
      <c r="D24" s="145">
        <v>92.929934327625261</v>
      </c>
      <c r="E24" s="145">
        <v>99.922178882349172</v>
      </c>
      <c r="F24" s="146">
        <v>99.820334789981501</v>
      </c>
      <c r="G24" s="147"/>
      <c r="H24" s="148"/>
      <c r="I24" s="148"/>
      <c r="J24" s="148"/>
      <c r="K24" s="149"/>
      <c r="L24" s="148"/>
      <c r="M24" s="148"/>
      <c r="N24" s="148"/>
      <c r="O24" s="148"/>
      <c r="P24" s="148"/>
      <c r="Q24" s="148"/>
      <c r="R24" s="124"/>
      <c r="S24" s="124"/>
      <c r="T24" s="124"/>
      <c r="U24" s="124"/>
      <c r="V24" s="124"/>
    </row>
    <row r="25" spans="1:22" ht="20.100000000000001" customHeight="1" thickBot="1" x14ac:dyDescent="0.3">
      <c r="A25" s="176" t="s">
        <v>420</v>
      </c>
      <c r="B25" s="177">
        <v>146.46406673060736</v>
      </c>
      <c r="C25" s="177">
        <v>115.41847338196449</v>
      </c>
      <c r="D25" s="178">
        <v>89.902909226923512</v>
      </c>
      <c r="E25" s="178">
        <v>100.2615810915422</v>
      </c>
      <c r="F25" s="179">
        <v>99.790329449698916</v>
      </c>
      <c r="G25" s="154"/>
      <c r="H25" s="155"/>
      <c r="I25" s="155"/>
      <c r="J25" s="155"/>
      <c r="K25" s="156"/>
      <c r="L25" s="155"/>
      <c r="M25" s="155"/>
      <c r="N25" s="155"/>
      <c r="O25" s="155"/>
      <c r="P25" s="155"/>
      <c r="Q25" s="155"/>
      <c r="R25" s="124"/>
      <c r="S25" s="124"/>
      <c r="T25" s="124"/>
      <c r="U25" s="124"/>
      <c r="V25" s="124"/>
    </row>
    <row r="26" spans="1:22" ht="31.5" x14ac:dyDescent="0.25">
      <c r="A26" s="180" t="s">
        <v>427</v>
      </c>
      <c r="B26" s="181"/>
      <c r="C26" s="181"/>
      <c r="D26" s="182"/>
      <c r="E26" s="182"/>
      <c r="F26" s="183"/>
      <c r="G26" s="170"/>
      <c r="H26" s="164"/>
      <c r="I26" s="165"/>
      <c r="J26" s="165"/>
      <c r="K26" s="141"/>
      <c r="L26" s="165"/>
      <c r="M26" s="165"/>
      <c r="N26" s="165"/>
      <c r="O26" s="165"/>
      <c r="P26" s="165"/>
      <c r="Q26" s="165"/>
      <c r="R26" s="165"/>
      <c r="S26" s="165"/>
      <c r="T26" s="124"/>
      <c r="U26" s="124"/>
      <c r="V26" s="124"/>
    </row>
    <row r="27" spans="1:22" ht="23.25" customHeight="1" x14ac:dyDescent="0.25">
      <c r="A27" s="143" t="s">
        <v>419</v>
      </c>
      <c r="B27" s="144">
        <v>134.89142647378316</v>
      </c>
      <c r="C27" s="144">
        <v>92.838277105154091</v>
      </c>
      <c r="D27" s="145">
        <v>101.22650513295574</v>
      </c>
      <c r="E27" s="145">
        <v>103.29433914132372</v>
      </c>
      <c r="F27" s="146">
        <v>102.82359487107477</v>
      </c>
      <c r="G27" s="147"/>
      <c r="H27" s="148"/>
      <c r="I27" s="148"/>
      <c r="J27" s="148"/>
      <c r="K27" s="149"/>
      <c r="L27" s="148"/>
      <c r="M27" s="148"/>
      <c r="N27" s="148"/>
      <c r="O27" s="148"/>
      <c r="P27" s="148"/>
      <c r="Q27" s="148"/>
      <c r="R27" s="148"/>
      <c r="S27" s="148"/>
      <c r="T27" s="124"/>
      <c r="U27" s="124"/>
      <c r="V27" s="124"/>
    </row>
    <row r="28" spans="1:22" ht="20.100000000000001" customHeight="1" x14ac:dyDescent="0.25">
      <c r="A28" s="150" t="s">
        <v>420</v>
      </c>
      <c r="B28" s="167">
        <v>139.89737121750764</v>
      </c>
      <c r="C28" s="167">
        <v>90.351289652148054</v>
      </c>
      <c r="D28" s="168">
        <v>101.35456332398563</v>
      </c>
      <c r="E28" s="168">
        <v>104.05639363784769</v>
      </c>
      <c r="F28" s="169">
        <v>103.84908509731319</v>
      </c>
      <c r="G28" s="154"/>
      <c r="H28" s="155"/>
      <c r="I28" s="155"/>
      <c r="J28" s="155"/>
      <c r="K28" s="156"/>
      <c r="L28" s="155"/>
      <c r="M28" s="155"/>
      <c r="N28" s="155"/>
      <c r="O28" s="155"/>
      <c r="P28" s="155"/>
      <c r="Q28" s="155"/>
      <c r="R28" s="155"/>
      <c r="S28" s="155"/>
      <c r="T28" s="124"/>
      <c r="U28" s="124"/>
      <c r="V28" s="124"/>
    </row>
    <row r="29" spans="1:22" ht="15" customHeight="1" x14ac:dyDescent="0.25">
      <c r="A29" s="184" t="s">
        <v>428</v>
      </c>
      <c r="B29" s="160"/>
      <c r="C29" s="160"/>
      <c r="D29" s="161"/>
      <c r="E29" s="161"/>
      <c r="F29" s="185"/>
      <c r="G29" s="186"/>
      <c r="H29" s="164"/>
      <c r="I29" s="165"/>
      <c r="J29" s="165"/>
      <c r="K29" s="141"/>
      <c r="L29" s="165"/>
      <c r="M29" s="165"/>
      <c r="N29" s="165"/>
      <c r="O29" s="165"/>
      <c r="P29" s="165"/>
      <c r="Q29" s="165"/>
      <c r="R29" s="124"/>
      <c r="S29" s="124"/>
      <c r="T29" s="124"/>
      <c r="U29" s="124"/>
      <c r="V29" s="124"/>
    </row>
    <row r="30" spans="1:22" ht="23.25" customHeight="1" x14ac:dyDescent="0.25">
      <c r="A30" s="143" t="s">
        <v>419</v>
      </c>
      <c r="B30" s="144">
        <v>143.91301787996161</v>
      </c>
      <c r="C30" s="144">
        <v>84.133878095681354</v>
      </c>
      <c r="D30" s="145">
        <v>101.26685021083325</v>
      </c>
      <c r="E30" s="145">
        <v>103.35159827920887</v>
      </c>
      <c r="F30" s="146">
        <v>103.05100000018798</v>
      </c>
      <c r="G30" s="147"/>
      <c r="H30" s="148"/>
      <c r="I30" s="148"/>
      <c r="J30" s="187"/>
      <c r="K30" s="149"/>
      <c r="L30" s="148"/>
      <c r="M30" s="148"/>
      <c r="N30" s="148"/>
      <c r="O30" s="148"/>
      <c r="P30" s="148"/>
      <c r="Q30" s="148"/>
      <c r="R30" s="148"/>
      <c r="S30" s="148"/>
      <c r="T30" s="124"/>
      <c r="U30" s="124"/>
      <c r="V30" s="124"/>
    </row>
    <row r="31" spans="1:22" ht="20.100000000000001" customHeight="1" x14ac:dyDescent="0.25">
      <c r="A31" s="150" t="s">
        <v>420</v>
      </c>
      <c r="B31" s="167">
        <v>146.04</v>
      </c>
      <c r="C31" s="167">
        <v>84.693473125600249</v>
      </c>
      <c r="D31" s="168">
        <v>101.02373732682418</v>
      </c>
      <c r="E31" s="168">
        <v>103.80260373593669</v>
      </c>
      <c r="F31" s="169">
        <v>103.54121502256615</v>
      </c>
      <c r="G31" s="154"/>
      <c r="H31" s="155"/>
      <c r="I31" s="155"/>
      <c r="J31" s="155"/>
      <c r="K31" s="156"/>
      <c r="L31" s="155"/>
      <c r="M31" s="155"/>
      <c r="N31" s="155"/>
      <c r="O31" s="155"/>
      <c r="P31" s="155"/>
      <c r="Q31" s="155"/>
      <c r="R31" s="124"/>
      <c r="S31" s="124"/>
      <c r="T31" s="124"/>
      <c r="U31" s="124"/>
      <c r="V31" s="124"/>
    </row>
    <row r="32" spans="1:22" ht="15" customHeight="1" x14ac:dyDescent="0.25">
      <c r="A32" s="184" t="s">
        <v>429</v>
      </c>
      <c r="B32" s="160"/>
      <c r="C32" s="160"/>
      <c r="D32" s="161"/>
      <c r="E32" s="161"/>
      <c r="F32" s="185"/>
      <c r="G32" s="186"/>
      <c r="H32" s="164"/>
      <c r="I32" s="165"/>
      <c r="J32" s="165"/>
      <c r="K32" s="141"/>
      <c r="L32" s="165"/>
      <c r="M32" s="165"/>
      <c r="N32" s="165"/>
      <c r="O32" s="165"/>
      <c r="P32" s="165"/>
      <c r="Q32" s="165"/>
      <c r="R32" s="124"/>
      <c r="S32" s="124"/>
      <c r="T32" s="124"/>
      <c r="U32" s="124"/>
      <c r="V32" s="124"/>
    </row>
    <row r="33" spans="1:22" ht="23.25" customHeight="1" x14ac:dyDescent="0.25">
      <c r="A33" s="143" t="s">
        <v>419</v>
      </c>
      <c r="B33" s="144">
        <v>112.83372838071809</v>
      </c>
      <c r="C33" s="144">
        <v>114.38365018809193</v>
      </c>
      <c r="D33" s="145">
        <v>101.12620023769614</v>
      </c>
      <c r="E33" s="145">
        <v>103.15100000000004</v>
      </c>
      <c r="F33" s="146">
        <v>102.25100000000005</v>
      </c>
      <c r="G33" s="147"/>
      <c r="H33" s="148"/>
      <c r="I33" s="148"/>
      <c r="J33" s="148"/>
      <c r="K33" s="149"/>
      <c r="L33" s="148"/>
      <c r="M33" s="148"/>
      <c r="N33" s="148"/>
      <c r="O33" s="148"/>
      <c r="P33" s="148"/>
      <c r="Q33" s="148"/>
      <c r="R33" s="124"/>
      <c r="S33" s="124"/>
      <c r="T33" s="124"/>
      <c r="U33" s="124"/>
      <c r="V33" s="124"/>
    </row>
    <row r="34" spans="1:22" ht="20.100000000000001" customHeight="1" x14ac:dyDescent="0.25">
      <c r="A34" s="150" t="s">
        <v>420</v>
      </c>
      <c r="B34" s="167">
        <v>107.04</v>
      </c>
      <c r="C34" s="167">
        <v>118.16791006504982</v>
      </c>
      <c r="D34" s="168">
        <v>100.64925357460052</v>
      </c>
      <c r="E34" s="168">
        <v>103.41699339964646</v>
      </c>
      <c r="F34" s="169">
        <v>102.68443389635576</v>
      </c>
      <c r="G34" s="154"/>
      <c r="H34" s="155"/>
      <c r="I34" s="155"/>
      <c r="J34" s="155"/>
      <c r="K34" s="156"/>
      <c r="L34" s="155"/>
      <c r="M34" s="155"/>
      <c r="N34" s="155"/>
      <c r="O34" s="155"/>
      <c r="P34" s="155"/>
      <c r="Q34" s="155"/>
      <c r="R34" s="124"/>
      <c r="S34" s="124"/>
      <c r="T34" s="124"/>
      <c r="U34" s="124"/>
      <c r="V34" s="124"/>
    </row>
    <row r="35" spans="1:22" ht="15" customHeight="1" x14ac:dyDescent="0.25">
      <c r="A35" s="159" t="s">
        <v>430</v>
      </c>
      <c r="B35" s="188"/>
      <c r="C35" s="188"/>
      <c r="D35" s="189"/>
      <c r="E35" s="189"/>
      <c r="F35" s="162"/>
      <c r="G35" s="170"/>
      <c r="H35" s="164"/>
      <c r="I35" s="165"/>
      <c r="J35" s="165"/>
      <c r="K35" s="141"/>
      <c r="L35" s="165"/>
      <c r="M35" s="165"/>
      <c r="N35" s="165"/>
      <c r="O35" s="165"/>
      <c r="P35" s="165"/>
      <c r="Q35" s="165"/>
      <c r="R35" s="124"/>
      <c r="S35" s="124"/>
      <c r="T35" s="124"/>
      <c r="U35" s="124"/>
      <c r="V35" s="124"/>
    </row>
    <row r="36" spans="1:22" ht="23.25" customHeight="1" x14ac:dyDescent="0.25">
      <c r="A36" s="143" t="s">
        <v>419</v>
      </c>
      <c r="B36" s="144">
        <v>123.41382979791267</v>
      </c>
      <c r="C36" s="144">
        <v>112.45890594803998</v>
      </c>
      <c r="D36" s="145">
        <v>104.19346224760348</v>
      </c>
      <c r="E36" s="145">
        <v>104.02402801860515</v>
      </c>
      <c r="F36" s="146">
        <v>103.63178885550819</v>
      </c>
      <c r="G36" s="147"/>
      <c r="H36" s="148"/>
      <c r="I36" s="148"/>
      <c r="J36" s="148"/>
      <c r="K36" s="149"/>
      <c r="L36" s="148"/>
      <c r="M36" s="148"/>
      <c r="N36" s="148"/>
      <c r="O36" s="148"/>
      <c r="P36" s="148"/>
      <c r="Q36" s="148"/>
      <c r="R36" s="124"/>
      <c r="S36" s="124"/>
      <c r="T36" s="124"/>
      <c r="U36" s="124"/>
      <c r="V36" s="124"/>
    </row>
    <row r="37" spans="1:22" ht="20.100000000000001" customHeight="1" x14ac:dyDescent="0.25">
      <c r="A37" s="150" t="s">
        <v>420</v>
      </c>
      <c r="B37" s="167">
        <v>121.76</v>
      </c>
      <c r="C37" s="167">
        <v>112.93959435623134</v>
      </c>
      <c r="D37" s="168">
        <v>104.4706978350012</v>
      </c>
      <c r="E37" s="168">
        <v>104.28904445313351</v>
      </c>
      <c r="F37" s="169">
        <v>103.9114088752215</v>
      </c>
      <c r="G37" s="154"/>
      <c r="H37" s="155"/>
      <c r="I37" s="155"/>
      <c r="J37" s="155"/>
      <c r="K37" s="156"/>
      <c r="L37" s="155"/>
      <c r="M37" s="155"/>
      <c r="N37" s="155"/>
      <c r="O37" s="155"/>
      <c r="P37" s="155"/>
      <c r="Q37" s="155"/>
      <c r="R37" s="124"/>
      <c r="S37" s="124"/>
      <c r="T37" s="124"/>
      <c r="U37" s="124"/>
      <c r="V37" s="124"/>
    </row>
    <row r="38" spans="1:22" ht="30" x14ac:dyDescent="0.25">
      <c r="A38" s="184" t="s">
        <v>431</v>
      </c>
      <c r="B38" s="160"/>
      <c r="C38" s="160"/>
      <c r="D38" s="161"/>
      <c r="E38" s="161"/>
      <c r="F38" s="185"/>
      <c r="G38" s="186"/>
      <c r="H38" s="164"/>
      <c r="I38" s="165"/>
      <c r="J38" s="165"/>
      <c r="K38" s="141"/>
      <c r="L38" s="165"/>
      <c r="M38" s="165"/>
      <c r="N38" s="165"/>
      <c r="O38" s="165"/>
      <c r="P38" s="165"/>
      <c r="Q38" s="165"/>
      <c r="R38" s="124"/>
      <c r="S38" s="124"/>
      <c r="T38" s="124"/>
      <c r="U38" s="124"/>
      <c r="V38" s="124"/>
    </row>
    <row r="39" spans="1:22" ht="21" customHeight="1" x14ac:dyDescent="0.25">
      <c r="A39" s="143" t="s">
        <v>419</v>
      </c>
      <c r="B39" s="144">
        <v>115.95254670626849</v>
      </c>
      <c r="C39" s="144">
        <v>114.33940415666915</v>
      </c>
      <c r="D39" s="145">
        <v>104.83704546524095</v>
      </c>
      <c r="E39" s="145">
        <v>103.57907898703387</v>
      </c>
      <c r="F39" s="146">
        <v>103.26695871120887</v>
      </c>
      <c r="G39" s="147"/>
      <c r="H39" s="148"/>
      <c r="I39" s="148"/>
      <c r="J39" s="148"/>
      <c r="K39" s="149"/>
      <c r="L39" s="148"/>
      <c r="M39" s="148"/>
      <c r="N39" s="148"/>
      <c r="O39" s="148"/>
      <c r="P39" s="148"/>
      <c r="Q39" s="148"/>
      <c r="R39" s="124"/>
      <c r="S39" s="124"/>
      <c r="T39" s="124"/>
      <c r="U39" s="124"/>
      <c r="V39" s="124"/>
    </row>
    <row r="40" spans="1:22" ht="20.100000000000001" customHeight="1" x14ac:dyDescent="0.25">
      <c r="A40" s="150" t="s">
        <v>420</v>
      </c>
      <c r="B40" s="167">
        <v>113.42150761737693</v>
      </c>
      <c r="C40" s="167">
        <v>114.72478644706889</v>
      </c>
      <c r="D40" s="168">
        <v>105.13736622481417</v>
      </c>
      <c r="E40" s="168">
        <v>104.07255445494457</v>
      </c>
      <c r="F40" s="169">
        <v>103.8061160277725</v>
      </c>
      <c r="G40" s="154"/>
      <c r="H40" s="155"/>
      <c r="I40" s="155"/>
      <c r="J40" s="155"/>
      <c r="K40" s="156"/>
      <c r="L40" s="155"/>
      <c r="M40" s="155"/>
      <c r="N40" s="155"/>
      <c r="O40" s="155"/>
      <c r="P40" s="155"/>
      <c r="Q40" s="155"/>
      <c r="R40" s="124"/>
      <c r="S40" s="124"/>
      <c r="T40" s="124"/>
      <c r="U40" s="124"/>
      <c r="V40" s="124"/>
    </row>
    <row r="41" spans="1:22" ht="45" x14ac:dyDescent="0.25">
      <c r="A41" s="184" t="s">
        <v>432</v>
      </c>
      <c r="B41" s="160"/>
      <c r="C41" s="160"/>
      <c r="D41" s="161"/>
      <c r="E41" s="161"/>
      <c r="F41" s="185"/>
      <c r="G41" s="186"/>
      <c r="H41" s="164"/>
      <c r="I41" s="165"/>
      <c r="J41" s="165"/>
      <c r="K41" s="141"/>
      <c r="L41" s="165"/>
      <c r="M41" s="165"/>
      <c r="N41" s="165"/>
      <c r="O41" s="165"/>
      <c r="P41" s="165"/>
      <c r="Q41" s="165"/>
      <c r="R41" s="124"/>
      <c r="S41" s="124"/>
      <c r="T41" s="124"/>
      <c r="U41" s="124"/>
      <c r="V41" s="124"/>
    </row>
    <row r="42" spans="1:22" ht="21" customHeight="1" x14ac:dyDescent="0.25">
      <c r="A42" s="143" t="s">
        <v>419</v>
      </c>
      <c r="B42" s="144">
        <v>106.68048853733482</v>
      </c>
      <c r="C42" s="144">
        <v>117.20635186975024</v>
      </c>
      <c r="D42" s="145">
        <v>105.11937984949836</v>
      </c>
      <c r="E42" s="145">
        <v>102.84864623653162</v>
      </c>
      <c r="F42" s="146">
        <v>102.80554238733461</v>
      </c>
      <c r="G42" s="147"/>
      <c r="H42" s="148"/>
      <c r="I42" s="148"/>
      <c r="J42" s="148"/>
      <c r="K42" s="149"/>
      <c r="L42" s="148"/>
      <c r="M42" s="148"/>
      <c r="N42" s="148"/>
      <c r="O42" s="148"/>
      <c r="P42" s="148"/>
      <c r="Q42" s="148"/>
      <c r="R42" s="124"/>
      <c r="S42" s="124"/>
      <c r="T42" s="124"/>
      <c r="U42" s="124"/>
      <c r="V42" s="124"/>
    </row>
    <row r="43" spans="1:22" ht="20.100000000000001" customHeight="1" x14ac:dyDescent="0.25">
      <c r="A43" s="166" t="s">
        <v>420</v>
      </c>
      <c r="B43" s="167">
        <v>108.16542711599043</v>
      </c>
      <c r="C43" s="167">
        <v>117.61727611460783</v>
      </c>
      <c r="D43" s="168">
        <v>105.40249287862669</v>
      </c>
      <c r="E43" s="168">
        <v>103.17585966880061</v>
      </c>
      <c r="F43" s="169">
        <v>103.27135929668256</v>
      </c>
      <c r="G43" s="154"/>
      <c r="H43" s="155"/>
      <c r="I43" s="155"/>
      <c r="J43" s="155"/>
      <c r="K43" s="156"/>
      <c r="L43" s="155"/>
      <c r="M43" s="155"/>
      <c r="N43" s="155"/>
      <c r="O43" s="155"/>
      <c r="P43" s="155"/>
      <c r="Q43" s="155"/>
      <c r="R43" s="124"/>
      <c r="S43" s="124"/>
      <c r="T43" s="124"/>
      <c r="U43" s="124"/>
      <c r="V43" s="124"/>
    </row>
    <row r="44" spans="1:22" ht="45" x14ac:dyDescent="0.25">
      <c r="A44" s="184" t="s">
        <v>433</v>
      </c>
      <c r="B44" s="160"/>
      <c r="C44" s="160"/>
      <c r="D44" s="161"/>
      <c r="E44" s="161"/>
      <c r="F44" s="185"/>
      <c r="G44" s="186"/>
      <c r="H44" s="164"/>
      <c r="I44" s="165"/>
      <c r="J44" s="165"/>
      <c r="K44" s="141"/>
      <c r="L44" s="165"/>
      <c r="M44" s="165"/>
      <c r="N44" s="165"/>
      <c r="O44" s="165"/>
      <c r="P44" s="165"/>
      <c r="Q44" s="165"/>
      <c r="R44" s="124"/>
      <c r="S44" s="124"/>
      <c r="T44" s="124"/>
      <c r="U44" s="124"/>
      <c r="V44" s="124"/>
    </row>
    <row r="45" spans="1:22" ht="21" customHeight="1" x14ac:dyDescent="0.25">
      <c r="A45" s="143" t="s">
        <v>419</v>
      </c>
      <c r="B45" s="144">
        <v>135.86307685391327</v>
      </c>
      <c r="C45" s="144">
        <v>108.4096905449438</v>
      </c>
      <c r="D45" s="145">
        <v>102.04548397974702</v>
      </c>
      <c r="E45" s="145">
        <v>104.15337651700256</v>
      </c>
      <c r="F45" s="146">
        <v>104.00450000686779</v>
      </c>
      <c r="G45" s="147"/>
      <c r="H45" s="148"/>
      <c r="I45" s="148"/>
      <c r="J45" s="148"/>
      <c r="K45" s="149"/>
      <c r="L45" s="148"/>
      <c r="M45" s="148"/>
      <c r="N45" s="148"/>
      <c r="O45" s="148"/>
      <c r="P45" s="148"/>
      <c r="Q45" s="148"/>
      <c r="R45" s="124"/>
      <c r="S45" s="124"/>
      <c r="T45" s="124"/>
      <c r="U45" s="124"/>
      <c r="V45" s="124"/>
    </row>
    <row r="46" spans="1:22" ht="20.100000000000001" customHeight="1" thickBot="1" x14ac:dyDescent="0.3">
      <c r="A46" s="176" t="s">
        <v>420</v>
      </c>
      <c r="B46" s="177">
        <v>135.91999999999999</v>
      </c>
      <c r="C46" s="177">
        <v>112.84898992737628</v>
      </c>
      <c r="D46" s="178">
        <v>101.3787484081553</v>
      </c>
      <c r="E46" s="178">
        <v>104.45098775156086</v>
      </c>
      <c r="F46" s="179">
        <v>104.01861870739368</v>
      </c>
      <c r="G46" s="154"/>
      <c r="H46" s="155"/>
      <c r="I46" s="155"/>
      <c r="J46" s="155"/>
      <c r="K46" s="156"/>
      <c r="L46" s="155"/>
      <c r="M46" s="155"/>
      <c r="N46" s="155"/>
      <c r="O46" s="155"/>
      <c r="P46" s="155"/>
      <c r="Q46" s="155"/>
      <c r="R46" s="124"/>
      <c r="S46" s="124"/>
      <c r="T46" s="124"/>
      <c r="U46" s="124"/>
      <c r="V46" s="124"/>
    </row>
    <row r="47" spans="1:22" ht="16.5" x14ac:dyDescent="0.25">
      <c r="A47" s="190" t="s">
        <v>434</v>
      </c>
      <c r="B47" s="181"/>
      <c r="C47" s="181"/>
      <c r="D47" s="182"/>
      <c r="E47" s="182"/>
      <c r="F47" s="191"/>
      <c r="G47" s="186"/>
      <c r="H47" s="164"/>
      <c r="I47" s="165"/>
      <c r="J47" s="165"/>
      <c r="K47" s="141"/>
      <c r="L47" s="165"/>
      <c r="M47" s="165"/>
      <c r="N47" s="165"/>
      <c r="O47" s="165"/>
      <c r="P47" s="165"/>
      <c r="Q47" s="165"/>
      <c r="R47" s="124"/>
      <c r="S47" s="124"/>
      <c r="T47" s="124"/>
      <c r="U47" s="124"/>
      <c r="V47" s="124"/>
    </row>
    <row r="48" spans="1:22" ht="21" customHeight="1" x14ac:dyDescent="0.25">
      <c r="A48" s="143" t="s">
        <v>419</v>
      </c>
      <c r="B48" s="144">
        <v>125.32716051974377</v>
      </c>
      <c r="C48" s="144">
        <v>110.10481658915181</v>
      </c>
      <c r="D48" s="145">
        <v>103.48723607371646</v>
      </c>
      <c r="E48" s="145">
        <v>103.15189634083299</v>
      </c>
      <c r="F48" s="146">
        <v>103.08740554632334</v>
      </c>
      <c r="G48" s="147"/>
      <c r="H48" s="148"/>
      <c r="I48" s="187"/>
      <c r="J48" s="148"/>
      <c r="K48" s="149"/>
      <c r="L48" s="187"/>
      <c r="M48" s="187"/>
      <c r="N48" s="187"/>
      <c r="O48" s="187"/>
      <c r="P48" s="187"/>
      <c r="Q48" s="187"/>
      <c r="R48" s="124"/>
      <c r="S48" s="124"/>
      <c r="T48" s="124"/>
      <c r="U48" s="124"/>
      <c r="V48" s="124"/>
    </row>
    <row r="49" spans="1:28" ht="20.100000000000001" customHeight="1" x14ac:dyDescent="0.25">
      <c r="A49" s="150" t="s">
        <v>420</v>
      </c>
      <c r="B49" s="167">
        <v>125.48</v>
      </c>
      <c r="C49" s="167">
        <v>113.16096367249247</v>
      </c>
      <c r="D49" s="168">
        <v>103.90948045183464</v>
      </c>
      <c r="E49" s="168">
        <v>103.73566579524956</v>
      </c>
      <c r="F49" s="169">
        <v>103.53327926495868</v>
      </c>
      <c r="G49" s="154"/>
      <c r="H49" s="155"/>
      <c r="I49" s="155"/>
      <c r="J49" s="155"/>
      <c r="K49" s="156"/>
      <c r="L49" s="155"/>
      <c r="M49" s="155"/>
      <c r="N49" s="155"/>
      <c r="O49" s="155"/>
      <c r="P49" s="155"/>
      <c r="Q49" s="155"/>
      <c r="R49" s="124"/>
      <c r="S49" s="124"/>
      <c r="T49" s="124"/>
      <c r="U49" s="124"/>
      <c r="V49" s="124"/>
    </row>
    <row r="50" spans="1:28" ht="15" customHeight="1" x14ac:dyDescent="0.25">
      <c r="A50" s="184" t="s">
        <v>435</v>
      </c>
      <c r="B50" s="160"/>
      <c r="C50" s="160"/>
      <c r="D50" s="161"/>
      <c r="E50" s="161"/>
      <c r="F50" s="185"/>
      <c r="G50" s="186"/>
      <c r="H50" s="164"/>
      <c r="I50" s="165"/>
      <c r="J50" s="165"/>
      <c r="K50" s="141"/>
      <c r="L50" s="165"/>
      <c r="M50" s="165"/>
      <c r="N50" s="165"/>
      <c r="O50" s="165"/>
      <c r="P50" s="165"/>
      <c r="Q50" s="165"/>
      <c r="R50" s="124"/>
      <c r="S50" s="124"/>
      <c r="T50" s="124"/>
      <c r="U50" s="124"/>
      <c r="V50" s="124"/>
    </row>
    <row r="51" spans="1:28" ht="21" customHeight="1" x14ac:dyDescent="0.25">
      <c r="A51" s="143" t="s">
        <v>419</v>
      </c>
      <c r="B51" s="144">
        <v>140.05347054814879</v>
      </c>
      <c r="C51" s="144">
        <v>107.25844170280956</v>
      </c>
      <c r="D51" s="145">
        <v>99.691238579104109</v>
      </c>
      <c r="E51" s="145">
        <v>102.10000510735873</v>
      </c>
      <c r="F51" s="146">
        <v>101.56316690104623</v>
      </c>
      <c r="G51" s="147"/>
      <c r="H51" s="148"/>
      <c r="I51" s="148"/>
      <c r="J51" s="148"/>
      <c r="K51" s="149"/>
      <c r="L51" s="148"/>
      <c r="M51" s="148"/>
      <c r="N51" s="148"/>
      <c r="O51" s="148"/>
      <c r="P51" s="148"/>
      <c r="Q51" s="148"/>
      <c r="R51" s="124"/>
      <c r="S51" s="124"/>
      <c r="T51" s="124"/>
      <c r="U51" s="124"/>
      <c r="V51" s="124"/>
    </row>
    <row r="52" spans="1:28" ht="20.100000000000001" customHeight="1" x14ac:dyDescent="0.25">
      <c r="A52" s="166" t="s">
        <v>420</v>
      </c>
      <c r="B52" s="167">
        <v>143.25</v>
      </c>
      <c r="C52" s="167">
        <v>106.40967720006766</v>
      </c>
      <c r="D52" s="168">
        <v>98.613438283487014</v>
      </c>
      <c r="E52" s="168">
        <v>101.75601572970601</v>
      </c>
      <c r="F52" s="169">
        <v>101.37290071417094</v>
      </c>
      <c r="G52" s="154"/>
      <c r="H52" s="155"/>
      <c r="I52" s="155"/>
      <c r="J52" s="155"/>
      <c r="K52" s="156"/>
      <c r="L52" s="155"/>
      <c r="M52" s="155"/>
      <c r="N52" s="155"/>
      <c r="O52" s="155"/>
      <c r="P52" s="155"/>
      <c r="Q52" s="155"/>
      <c r="R52" s="155"/>
      <c r="S52" s="155"/>
      <c r="T52" s="192"/>
      <c r="U52" s="192"/>
      <c r="V52" s="192"/>
      <c r="W52" s="193"/>
      <c r="X52" s="193"/>
      <c r="Y52" s="193"/>
      <c r="Z52" s="193"/>
      <c r="AA52" s="193"/>
      <c r="AB52" s="193"/>
    </row>
    <row r="53" spans="1:28" ht="60" x14ac:dyDescent="0.25">
      <c r="A53" s="184" t="s">
        <v>436</v>
      </c>
      <c r="B53" s="160"/>
      <c r="C53" s="160"/>
      <c r="D53" s="161"/>
      <c r="E53" s="161"/>
      <c r="F53" s="185"/>
      <c r="G53" s="186"/>
      <c r="H53" s="164"/>
      <c r="I53" s="165"/>
      <c r="J53" s="165"/>
      <c r="K53" s="141"/>
      <c r="L53" s="165"/>
      <c r="M53" s="165"/>
      <c r="N53" s="165"/>
      <c r="O53" s="165"/>
      <c r="P53" s="165"/>
      <c r="Q53" s="165"/>
      <c r="R53" s="124"/>
      <c r="S53" s="124"/>
      <c r="T53" s="124"/>
      <c r="U53" s="124"/>
      <c r="V53" s="124"/>
    </row>
    <row r="54" spans="1:28" ht="21" customHeight="1" x14ac:dyDescent="0.25">
      <c r="A54" s="143" t="s">
        <v>419</v>
      </c>
      <c r="B54" s="144">
        <v>137.60667197074818</v>
      </c>
      <c r="C54" s="144">
        <v>118.08566970074503</v>
      </c>
      <c r="D54" s="145">
        <v>105.05104012101101</v>
      </c>
      <c r="E54" s="145">
        <v>104.54451562530804</v>
      </c>
      <c r="F54" s="146">
        <v>104.15100000000059</v>
      </c>
      <c r="G54" s="147"/>
      <c r="H54" s="148"/>
      <c r="I54" s="148"/>
      <c r="J54" s="148"/>
      <c r="K54" s="149"/>
      <c r="L54" s="148"/>
      <c r="M54" s="148"/>
      <c r="N54" s="148"/>
      <c r="O54" s="148"/>
      <c r="P54" s="148"/>
      <c r="Q54" s="148"/>
      <c r="R54" s="148"/>
      <c r="S54" s="148"/>
      <c r="T54" s="124"/>
      <c r="U54" s="124"/>
      <c r="V54" s="124"/>
    </row>
    <row r="55" spans="1:28" ht="20.100000000000001" customHeight="1" x14ac:dyDescent="0.25">
      <c r="A55" s="150" t="s">
        <v>420</v>
      </c>
      <c r="B55" s="167">
        <v>127.55897357650927</v>
      </c>
      <c r="C55" s="167">
        <v>120.75508924767502</v>
      </c>
      <c r="D55" s="168">
        <v>105.50965016824587</v>
      </c>
      <c r="E55" s="168">
        <v>104.76311291427977</v>
      </c>
      <c r="F55" s="169">
        <v>104.59806669119092</v>
      </c>
      <c r="G55" s="154"/>
      <c r="H55" s="155"/>
      <c r="I55" s="155"/>
      <c r="J55" s="155"/>
      <c r="K55" s="156"/>
      <c r="L55" s="155"/>
      <c r="M55" s="155"/>
      <c r="N55" s="155"/>
      <c r="O55" s="155"/>
      <c r="P55" s="155"/>
      <c r="Q55" s="155"/>
      <c r="R55" s="124"/>
      <c r="S55" s="124"/>
      <c r="T55" s="124"/>
      <c r="U55" s="124"/>
      <c r="V55" s="124"/>
    </row>
    <row r="56" spans="1:28" ht="16.5" x14ac:dyDescent="0.25">
      <c r="A56" s="184" t="s">
        <v>437</v>
      </c>
      <c r="B56" s="160"/>
      <c r="C56" s="160"/>
      <c r="D56" s="161"/>
      <c r="E56" s="161"/>
      <c r="F56" s="185"/>
      <c r="G56" s="186"/>
      <c r="H56" s="164"/>
      <c r="I56" s="165"/>
      <c r="J56" s="165"/>
      <c r="K56" s="141"/>
      <c r="L56" s="165"/>
      <c r="M56" s="165"/>
      <c r="N56" s="165"/>
      <c r="O56" s="165"/>
      <c r="P56" s="165"/>
      <c r="Q56" s="165"/>
      <c r="R56" s="124"/>
      <c r="S56" s="124"/>
      <c r="T56" s="124"/>
      <c r="U56" s="124"/>
      <c r="V56" s="124"/>
    </row>
    <row r="57" spans="1:28" ht="21" customHeight="1" x14ac:dyDescent="0.25">
      <c r="A57" s="143" t="s">
        <v>419</v>
      </c>
      <c r="B57" s="144">
        <v>107.43725385501996</v>
      </c>
      <c r="C57" s="144">
        <v>119.13832098414009</v>
      </c>
      <c r="D57" s="145">
        <v>104.57711122851623</v>
      </c>
      <c r="E57" s="145">
        <v>104.14172031119122</v>
      </c>
      <c r="F57" s="146">
        <v>104.05099999999993</v>
      </c>
      <c r="G57" s="147"/>
      <c r="H57" s="148"/>
      <c r="I57" s="148"/>
      <c r="J57" s="148"/>
      <c r="K57" s="149"/>
      <c r="L57" s="148"/>
      <c r="M57" s="148"/>
      <c r="N57" s="148"/>
      <c r="O57" s="148"/>
      <c r="P57" s="148"/>
      <c r="Q57" s="148"/>
      <c r="R57" s="124"/>
      <c r="S57" s="124"/>
      <c r="T57" s="124"/>
      <c r="U57" s="124"/>
      <c r="V57" s="124"/>
    </row>
    <row r="58" spans="1:28" ht="20.100000000000001" customHeight="1" x14ac:dyDescent="0.25">
      <c r="A58" s="150" t="s">
        <v>420</v>
      </c>
      <c r="B58" s="167">
        <v>110.06</v>
      </c>
      <c r="C58" s="167">
        <v>122.949835618324</v>
      </c>
      <c r="D58" s="168">
        <v>105.20145024751517</v>
      </c>
      <c r="E58" s="168">
        <v>104.41324527192901</v>
      </c>
      <c r="F58" s="169">
        <v>104.42345538763334</v>
      </c>
      <c r="G58" s="154"/>
      <c r="H58" s="155"/>
      <c r="I58" s="155"/>
      <c r="J58" s="155"/>
      <c r="K58" s="156"/>
      <c r="L58" s="155"/>
      <c r="M58" s="155"/>
      <c r="N58" s="155"/>
      <c r="O58" s="155"/>
      <c r="P58" s="155"/>
      <c r="Q58" s="155"/>
      <c r="R58" s="124"/>
      <c r="S58" s="124"/>
      <c r="T58" s="124"/>
      <c r="U58" s="124"/>
      <c r="V58" s="124"/>
    </row>
    <row r="59" spans="1:28" ht="30" x14ac:dyDescent="0.25">
      <c r="A59" s="184" t="s">
        <v>438</v>
      </c>
      <c r="B59" s="160"/>
      <c r="C59" s="160"/>
      <c r="D59" s="161"/>
      <c r="E59" s="161"/>
      <c r="F59" s="185"/>
      <c r="G59" s="186"/>
      <c r="H59" s="164"/>
      <c r="I59" s="165"/>
      <c r="J59" s="165"/>
      <c r="K59" s="141"/>
      <c r="L59" s="165"/>
      <c r="M59" s="165"/>
      <c r="N59" s="165"/>
      <c r="O59" s="165"/>
      <c r="P59" s="165"/>
      <c r="Q59" s="165"/>
      <c r="R59" s="124"/>
      <c r="S59" s="124"/>
      <c r="T59" s="124"/>
      <c r="U59" s="124"/>
      <c r="V59" s="124"/>
    </row>
    <row r="60" spans="1:28" ht="21" customHeight="1" x14ac:dyDescent="0.25">
      <c r="A60" s="143" t="s">
        <v>419</v>
      </c>
      <c r="B60" s="144">
        <v>156.53766436195136</v>
      </c>
      <c r="C60" s="144">
        <v>103.12413625146037</v>
      </c>
      <c r="D60" s="145">
        <v>105.29718052512915</v>
      </c>
      <c r="E60" s="145">
        <v>104.1131721389184</v>
      </c>
      <c r="F60" s="146">
        <v>103.15177570308032</v>
      </c>
      <c r="G60" s="147"/>
      <c r="H60" s="148"/>
      <c r="I60" s="148"/>
      <c r="J60" s="148"/>
      <c r="K60" s="149"/>
      <c r="L60" s="148"/>
      <c r="M60" s="148"/>
      <c r="N60" s="148"/>
      <c r="O60" s="148"/>
      <c r="P60" s="148"/>
      <c r="Q60" s="148"/>
      <c r="R60" s="124"/>
      <c r="S60" s="124"/>
      <c r="T60" s="124"/>
      <c r="U60" s="124"/>
      <c r="V60" s="124"/>
    </row>
    <row r="61" spans="1:28" ht="15" customHeight="1" x14ac:dyDescent="0.25">
      <c r="A61" s="150" t="s">
        <v>420</v>
      </c>
      <c r="B61" s="167">
        <v>160.5675612009729</v>
      </c>
      <c r="C61" s="167">
        <v>101.20876011810225</v>
      </c>
      <c r="D61" s="168">
        <v>104.91644070260023</v>
      </c>
      <c r="E61" s="168">
        <v>103.88710808590524</v>
      </c>
      <c r="F61" s="169">
        <v>102.9595781090128</v>
      </c>
      <c r="G61" s="154"/>
      <c r="H61" s="155"/>
      <c r="I61" s="155"/>
      <c r="J61" s="155"/>
      <c r="K61" s="156"/>
      <c r="L61" s="155"/>
      <c r="M61" s="155"/>
      <c r="N61" s="155"/>
      <c r="O61" s="155"/>
      <c r="P61" s="155"/>
      <c r="Q61" s="155"/>
      <c r="R61" s="124"/>
      <c r="S61" s="124"/>
      <c r="T61" s="124"/>
      <c r="U61" s="124"/>
      <c r="V61" s="124"/>
    </row>
    <row r="62" spans="1:28" ht="30" x14ac:dyDescent="0.25">
      <c r="A62" s="184" t="s">
        <v>439</v>
      </c>
      <c r="B62" s="160"/>
      <c r="C62" s="160"/>
      <c r="D62" s="161"/>
      <c r="E62" s="161"/>
      <c r="F62" s="185"/>
      <c r="G62" s="186"/>
      <c r="H62" s="164"/>
      <c r="I62" s="165"/>
      <c r="J62" s="165"/>
      <c r="K62" s="141"/>
      <c r="L62" s="165"/>
      <c r="M62" s="165"/>
      <c r="N62" s="165"/>
      <c r="O62" s="165"/>
      <c r="P62" s="165"/>
      <c r="Q62" s="165"/>
      <c r="R62" s="124"/>
      <c r="S62" s="124"/>
      <c r="T62" s="124"/>
      <c r="U62" s="124"/>
      <c r="V62" s="124"/>
    </row>
    <row r="63" spans="1:28" ht="21" customHeight="1" x14ac:dyDescent="0.25">
      <c r="A63" s="143" t="s">
        <v>419</v>
      </c>
      <c r="B63" s="144">
        <v>115.01173857010627</v>
      </c>
      <c r="C63" s="144">
        <v>108.42192122631941</v>
      </c>
      <c r="D63" s="145">
        <v>102.37386867918829</v>
      </c>
      <c r="E63" s="145">
        <v>104.00410570878624</v>
      </c>
      <c r="F63" s="146">
        <v>104.15100023097818</v>
      </c>
      <c r="G63" s="147"/>
      <c r="H63" s="148"/>
      <c r="I63" s="148"/>
      <c r="J63" s="148"/>
      <c r="K63" s="149"/>
      <c r="L63" s="187"/>
      <c r="M63" s="148"/>
      <c r="N63" s="148"/>
      <c r="O63" s="187"/>
      <c r="P63" s="148"/>
      <c r="Q63" s="148"/>
      <c r="R63" s="124"/>
      <c r="S63" s="124"/>
      <c r="T63" s="124"/>
      <c r="U63" s="124"/>
      <c r="V63" s="124"/>
    </row>
    <row r="64" spans="1:28" ht="20.100000000000001" customHeight="1" x14ac:dyDescent="0.25">
      <c r="A64" s="150" t="s">
        <v>420</v>
      </c>
      <c r="B64" s="167">
        <v>106.74</v>
      </c>
      <c r="C64" s="167">
        <v>109.22834610380588</v>
      </c>
      <c r="D64" s="168">
        <v>102.71485359953022</v>
      </c>
      <c r="E64" s="168">
        <v>104.316850107139</v>
      </c>
      <c r="F64" s="169">
        <v>104.54203985527136</v>
      </c>
      <c r="G64" s="154"/>
      <c r="H64" s="194"/>
      <c r="I64" s="194"/>
      <c r="J64" s="194"/>
      <c r="K64" s="156"/>
      <c r="L64" s="194"/>
      <c r="M64" s="194"/>
      <c r="N64" s="194"/>
      <c r="O64" s="194"/>
      <c r="P64" s="194"/>
      <c r="Q64" s="194"/>
      <c r="R64" s="124"/>
      <c r="S64" s="124"/>
      <c r="T64" s="124"/>
      <c r="U64" s="124"/>
      <c r="V64" s="124"/>
    </row>
    <row r="65" spans="1:22" ht="30" x14ac:dyDescent="0.25">
      <c r="A65" s="184" t="s">
        <v>440</v>
      </c>
      <c r="B65" s="160"/>
      <c r="C65" s="160"/>
      <c r="D65" s="161"/>
      <c r="E65" s="161"/>
      <c r="F65" s="185"/>
      <c r="G65" s="186"/>
      <c r="H65" s="164"/>
      <c r="I65" s="165"/>
      <c r="J65" s="165"/>
      <c r="K65" s="141"/>
      <c r="L65" s="165"/>
      <c r="M65" s="165"/>
      <c r="N65" s="165"/>
      <c r="O65" s="165"/>
      <c r="P65" s="165"/>
      <c r="Q65" s="165"/>
      <c r="R65" s="124"/>
      <c r="S65" s="124"/>
      <c r="T65" s="124"/>
      <c r="U65" s="124"/>
      <c r="V65" s="124"/>
    </row>
    <row r="66" spans="1:22" ht="21" customHeight="1" x14ac:dyDescent="0.25">
      <c r="A66" s="143" t="s">
        <v>419</v>
      </c>
      <c r="B66" s="144">
        <v>113.26002018804522</v>
      </c>
      <c r="C66" s="144">
        <v>116.18683037700413</v>
      </c>
      <c r="D66" s="145">
        <v>104.10708039622843</v>
      </c>
      <c r="E66" s="145">
        <v>104.12769223252126</v>
      </c>
      <c r="F66" s="146">
        <v>104.15099987403352</v>
      </c>
      <c r="G66" s="147"/>
      <c r="H66" s="148"/>
      <c r="I66" s="148"/>
      <c r="J66" s="148"/>
      <c r="K66" s="149"/>
      <c r="L66" s="148"/>
      <c r="M66" s="148"/>
      <c r="N66" s="148"/>
      <c r="O66" s="148"/>
      <c r="P66" s="148"/>
      <c r="Q66" s="148"/>
      <c r="R66" s="124"/>
      <c r="S66" s="124"/>
      <c r="T66" s="124"/>
      <c r="U66" s="124"/>
      <c r="V66" s="124"/>
    </row>
    <row r="67" spans="1:22" ht="20.100000000000001" customHeight="1" thickBot="1" x14ac:dyDescent="0.3">
      <c r="A67" s="176" t="s">
        <v>420</v>
      </c>
      <c r="B67" s="177">
        <v>115.3</v>
      </c>
      <c r="C67" s="177">
        <v>118.0352217977122</v>
      </c>
      <c r="D67" s="178">
        <v>103.69553781132407</v>
      </c>
      <c r="E67" s="178">
        <v>103.8669398444955</v>
      </c>
      <c r="F67" s="179">
        <v>103.96678753249915</v>
      </c>
      <c r="G67" s="154"/>
      <c r="H67" s="194"/>
      <c r="I67" s="194"/>
      <c r="J67" s="194"/>
      <c r="K67" s="156"/>
      <c r="L67" s="194"/>
      <c r="M67" s="194"/>
      <c r="N67" s="194"/>
      <c r="O67" s="194"/>
      <c r="P67" s="194"/>
      <c r="Q67" s="194"/>
      <c r="R67" s="124"/>
      <c r="S67" s="124"/>
      <c r="T67" s="124"/>
      <c r="U67" s="124"/>
      <c r="V67" s="124"/>
    </row>
    <row r="68" spans="1:22" ht="16.5" x14ac:dyDescent="0.25">
      <c r="A68" s="190" t="s">
        <v>441</v>
      </c>
      <c r="B68" s="181"/>
      <c r="C68" s="181"/>
      <c r="D68" s="182"/>
      <c r="E68" s="182"/>
      <c r="F68" s="191"/>
      <c r="G68" s="195"/>
      <c r="H68" s="164"/>
      <c r="I68" s="165"/>
      <c r="J68" s="165"/>
      <c r="K68" s="141"/>
      <c r="L68" s="165"/>
      <c r="M68" s="165"/>
      <c r="N68" s="165"/>
      <c r="O68" s="165"/>
      <c r="P68" s="165"/>
      <c r="Q68" s="165"/>
      <c r="R68" s="124"/>
      <c r="S68" s="124"/>
      <c r="T68" s="124"/>
      <c r="U68" s="124"/>
      <c r="V68" s="124"/>
    </row>
    <row r="69" spans="1:22" ht="21" customHeight="1" x14ac:dyDescent="0.25">
      <c r="A69" s="143" t="s">
        <v>419</v>
      </c>
      <c r="B69" s="144">
        <v>109.09267809301318</v>
      </c>
      <c r="C69" s="144">
        <v>115.34080743269035</v>
      </c>
      <c r="D69" s="145">
        <v>107.05117129538199</v>
      </c>
      <c r="E69" s="145">
        <v>105.65532323139178</v>
      </c>
      <c r="F69" s="146">
        <v>105.15100005049285</v>
      </c>
      <c r="G69" s="147"/>
      <c r="H69" s="148"/>
      <c r="I69" s="148"/>
      <c r="J69" s="148"/>
      <c r="K69" s="149"/>
      <c r="L69" s="148"/>
      <c r="M69" s="148"/>
      <c r="N69" s="148"/>
      <c r="O69" s="148"/>
      <c r="P69" s="187"/>
      <c r="Q69" s="148"/>
      <c r="R69" s="124"/>
      <c r="S69" s="124"/>
      <c r="T69" s="124"/>
      <c r="U69" s="124"/>
      <c r="V69" s="124"/>
    </row>
    <row r="70" spans="1:22" ht="20.100000000000001" customHeight="1" x14ac:dyDescent="0.25">
      <c r="A70" s="150" t="s">
        <v>420</v>
      </c>
      <c r="B70" s="167">
        <v>107.03715142465188</v>
      </c>
      <c r="C70" s="167">
        <v>116.25152135267152</v>
      </c>
      <c r="D70" s="168">
        <v>107.60001102929569</v>
      </c>
      <c r="E70" s="168">
        <v>106.23867024917534</v>
      </c>
      <c r="F70" s="169">
        <v>105.68472852948585</v>
      </c>
      <c r="G70" s="154"/>
      <c r="H70" s="194"/>
      <c r="I70" s="194"/>
      <c r="J70" s="194"/>
      <c r="K70" s="156"/>
      <c r="L70" s="194"/>
      <c r="M70" s="194"/>
      <c r="N70" s="194"/>
      <c r="O70" s="194"/>
      <c r="P70" s="194"/>
      <c r="Q70" s="194"/>
      <c r="R70" s="124"/>
      <c r="S70" s="124"/>
      <c r="T70" s="124"/>
      <c r="U70" s="124"/>
      <c r="V70" s="124"/>
    </row>
    <row r="71" spans="1:22" ht="18.75" customHeight="1" x14ac:dyDescent="0.25">
      <c r="A71" s="184" t="s">
        <v>442</v>
      </c>
      <c r="B71" s="160"/>
      <c r="C71" s="160"/>
      <c r="D71" s="161"/>
      <c r="E71" s="161"/>
      <c r="F71" s="185"/>
      <c r="G71" s="196"/>
      <c r="H71" s="197"/>
      <c r="I71" s="198"/>
      <c r="J71" s="198"/>
      <c r="K71" s="174"/>
      <c r="L71" s="198"/>
      <c r="M71" s="198"/>
      <c r="N71" s="198"/>
      <c r="O71" s="198"/>
      <c r="P71" s="198"/>
      <c r="Q71" s="198"/>
      <c r="R71" s="124"/>
      <c r="S71" s="124"/>
      <c r="T71" s="124"/>
      <c r="U71" s="124"/>
      <c r="V71" s="124"/>
    </row>
    <row r="72" spans="1:22" ht="21" customHeight="1" x14ac:dyDescent="0.25">
      <c r="A72" s="143" t="s">
        <v>419</v>
      </c>
      <c r="B72" s="199">
        <v>121.46581810034624</v>
      </c>
      <c r="C72" s="199">
        <v>113.85523521101186</v>
      </c>
      <c r="D72" s="200">
        <v>104.52731124773204</v>
      </c>
      <c r="E72" s="200">
        <v>103.95111245465007</v>
      </c>
      <c r="F72" s="201">
        <v>103.95099998142841</v>
      </c>
      <c r="G72" s="202"/>
      <c r="H72" s="148"/>
      <c r="I72" s="148"/>
      <c r="J72" s="148"/>
      <c r="K72" s="149"/>
      <c r="L72" s="148"/>
      <c r="M72" s="187"/>
      <c r="N72" s="187"/>
      <c r="O72" s="187"/>
      <c r="P72" s="187"/>
      <c r="Q72" s="187"/>
      <c r="R72" s="124"/>
      <c r="S72" s="124"/>
      <c r="T72" s="124"/>
      <c r="U72" s="124"/>
      <c r="V72" s="124"/>
    </row>
    <row r="73" spans="1:22" ht="31.5" x14ac:dyDescent="0.25">
      <c r="A73" s="159" t="s">
        <v>443</v>
      </c>
      <c r="B73" s="188"/>
      <c r="C73" s="188"/>
      <c r="D73" s="189"/>
      <c r="E73" s="189"/>
      <c r="F73" s="162"/>
      <c r="G73" s="186"/>
      <c r="H73" s="203"/>
      <c r="I73" s="203"/>
      <c r="J73" s="203"/>
      <c r="K73" s="204"/>
      <c r="L73" s="203"/>
      <c r="M73" s="203"/>
      <c r="N73" s="203"/>
      <c r="O73" s="203"/>
      <c r="P73" s="203"/>
      <c r="Q73" s="203"/>
      <c r="R73" s="124"/>
      <c r="S73" s="124"/>
      <c r="T73" s="124"/>
      <c r="U73" s="124"/>
      <c r="V73" s="124"/>
    </row>
    <row r="74" spans="1:22" ht="21" customHeight="1" x14ac:dyDescent="0.25">
      <c r="A74" s="143" t="s">
        <v>419</v>
      </c>
      <c r="B74" s="144">
        <v>101.20001052190327</v>
      </c>
      <c r="C74" s="144">
        <v>104.9911020148153</v>
      </c>
      <c r="D74" s="145">
        <v>107.45099999999998</v>
      </c>
      <c r="E74" s="145">
        <v>105.45099995814842</v>
      </c>
      <c r="F74" s="146">
        <v>104.95099995081468</v>
      </c>
      <c r="G74" s="147"/>
      <c r="H74" s="148"/>
      <c r="I74" s="148"/>
      <c r="J74" s="148"/>
      <c r="K74" s="149"/>
      <c r="L74" s="148"/>
      <c r="M74" s="148"/>
      <c r="N74" s="148"/>
      <c r="O74" s="148"/>
      <c r="P74" s="148"/>
      <c r="Q74" s="148"/>
      <c r="R74" s="124"/>
      <c r="S74" s="124"/>
      <c r="T74" s="124"/>
      <c r="U74" s="124"/>
      <c r="V74" s="124"/>
    </row>
    <row r="75" spans="1:22" ht="20.100000000000001" customHeight="1" x14ac:dyDescent="0.25">
      <c r="A75" s="205" t="s">
        <v>444</v>
      </c>
      <c r="B75" s="167">
        <v>105.28</v>
      </c>
      <c r="C75" s="167">
        <v>104.46149072774142</v>
      </c>
      <c r="D75" s="168">
        <v>108.04556326020811</v>
      </c>
      <c r="E75" s="168">
        <v>105.62723481591345</v>
      </c>
      <c r="F75" s="169">
        <v>105.21434211133575</v>
      </c>
      <c r="G75" s="154"/>
      <c r="H75" s="194"/>
      <c r="I75" s="155"/>
      <c r="J75" s="155"/>
      <c r="K75" s="156"/>
      <c r="L75" s="155"/>
      <c r="M75" s="155"/>
      <c r="N75" s="155"/>
      <c r="O75" s="155"/>
      <c r="P75" s="155"/>
      <c r="Q75" s="155"/>
      <c r="R75" s="124"/>
      <c r="S75" s="124"/>
      <c r="T75" s="124"/>
      <c r="U75" s="124"/>
      <c r="V75" s="124"/>
    </row>
    <row r="76" spans="1:22" ht="47.25" x14ac:dyDescent="0.25">
      <c r="A76" s="159" t="s">
        <v>445</v>
      </c>
      <c r="B76" s="188"/>
      <c r="C76" s="188"/>
      <c r="D76" s="189"/>
      <c r="E76" s="189"/>
      <c r="F76" s="162"/>
      <c r="G76" s="170"/>
      <c r="H76" s="164"/>
      <c r="I76" s="165"/>
      <c r="J76" s="165"/>
      <c r="K76" s="141"/>
      <c r="L76" s="165"/>
      <c r="M76" s="165"/>
      <c r="N76" s="165"/>
      <c r="O76" s="165"/>
      <c r="P76" s="165"/>
      <c r="Q76" s="165"/>
      <c r="R76" s="124"/>
      <c r="S76" s="124"/>
      <c r="T76" s="124"/>
      <c r="U76" s="124"/>
      <c r="V76" s="124"/>
    </row>
    <row r="77" spans="1:22" ht="21" customHeight="1" x14ac:dyDescent="0.25">
      <c r="A77" s="143" t="s">
        <v>419</v>
      </c>
      <c r="B77" s="144">
        <v>112.16771717839353</v>
      </c>
      <c r="C77" s="144">
        <v>104.21209979346648</v>
      </c>
      <c r="D77" s="145">
        <v>104.34113947657274</v>
      </c>
      <c r="E77" s="145">
        <v>104.11348832374388</v>
      </c>
      <c r="F77" s="146">
        <v>103.95100000000006</v>
      </c>
      <c r="G77" s="147"/>
      <c r="H77" s="148"/>
      <c r="I77" s="206"/>
      <c r="J77" s="148"/>
      <c r="K77" s="149"/>
      <c r="L77" s="148"/>
      <c r="M77" s="148"/>
      <c r="N77" s="148"/>
      <c r="O77" s="148"/>
      <c r="P77" s="148"/>
      <c r="Q77" s="148"/>
      <c r="R77" s="124"/>
      <c r="S77" s="124"/>
      <c r="T77" s="124"/>
      <c r="U77" s="124"/>
      <c r="V77" s="124"/>
    </row>
    <row r="78" spans="1:22" ht="20.100000000000001" customHeight="1" x14ac:dyDescent="0.25">
      <c r="A78" s="150" t="s">
        <v>420</v>
      </c>
      <c r="B78" s="151">
        <v>103.23</v>
      </c>
      <c r="C78" s="151">
        <v>103.60173710837206</v>
      </c>
      <c r="D78" s="152">
        <v>104.00835304787212</v>
      </c>
      <c r="E78" s="152">
        <v>104.10581723942416</v>
      </c>
      <c r="F78" s="153">
        <v>104.01928628065524</v>
      </c>
      <c r="G78" s="154"/>
      <c r="H78" s="194"/>
      <c r="I78" s="194"/>
      <c r="J78" s="155"/>
      <c r="K78" s="156"/>
      <c r="L78" s="155"/>
      <c r="M78" s="155"/>
      <c r="N78" s="155"/>
      <c r="O78" s="155"/>
      <c r="P78" s="155"/>
      <c r="Q78" s="155"/>
      <c r="R78" s="124"/>
      <c r="S78" s="124"/>
      <c r="T78" s="124"/>
      <c r="U78" s="124"/>
      <c r="V78" s="124"/>
    </row>
    <row r="79" spans="1:22" ht="25.5" customHeight="1" x14ac:dyDescent="0.25">
      <c r="A79" s="159" t="s">
        <v>446</v>
      </c>
      <c r="B79" s="188"/>
      <c r="C79" s="188"/>
      <c r="D79" s="189"/>
      <c r="E79" s="189"/>
      <c r="F79" s="162"/>
      <c r="G79" s="138"/>
      <c r="H79" s="207"/>
      <c r="I79" s="208"/>
      <c r="J79" s="208"/>
      <c r="K79" s="209"/>
      <c r="L79" s="210"/>
      <c r="M79" s="210"/>
      <c r="N79" s="210"/>
      <c r="O79" s="210"/>
      <c r="P79" s="210"/>
      <c r="Q79" s="210"/>
      <c r="R79" s="124"/>
      <c r="S79" s="124"/>
      <c r="T79" s="124"/>
      <c r="U79" s="124"/>
      <c r="V79" s="124"/>
    </row>
    <row r="80" spans="1:22" ht="21" customHeight="1" x14ac:dyDescent="0.25">
      <c r="A80" s="143" t="s">
        <v>419</v>
      </c>
      <c r="B80" s="211">
        <v>118.13468602278503</v>
      </c>
      <c r="C80" s="144">
        <v>109.28191939941999</v>
      </c>
      <c r="D80" s="145">
        <v>105.00220220677102</v>
      </c>
      <c r="E80" s="145">
        <v>104.0701147696584</v>
      </c>
      <c r="F80" s="146">
        <v>103.98752248618084</v>
      </c>
      <c r="G80" s="147"/>
      <c r="H80" s="212"/>
      <c r="I80" s="213"/>
      <c r="J80" s="214"/>
      <c r="K80" s="215"/>
      <c r="L80" s="216"/>
      <c r="M80" s="213"/>
      <c r="N80" s="213"/>
      <c r="O80" s="213"/>
      <c r="P80" s="213"/>
      <c r="Q80" s="213"/>
      <c r="R80" s="124"/>
      <c r="S80" s="124"/>
      <c r="T80" s="124"/>
      <c r="U80" s="124"/>
      <c r="V80" s="124"/>
    </row>
    <row r="81" spans="1:30" ht="15" customHeight="1" x14ac:dyDescent="0.25">
      <c r="A81" s="159" t="s">
        <v>447</v>
      </c>
      <c r="B81" s="188"/>
      <c r="C81" s="188"/>
      <c r="D81" s="189"/>
      <c r="E81" s="189"/>
      <c r="F81" s="162"/>
      <c r="G81" s="138"/>
      <c r="H81" s="207"/>
      <c r="I81" s="208"/>
      <c r="J81" s="208"/>
      <c r="K81" s="209"/>
      <c r="L81" s="210"/>
      <c r="M81" s="210"/>
      <c r="N81" s="210"/>
      <c r="O81" s="210"/>
      <c r="P81" s="210"/>
      <c r="Q81" s="210"/>
      <c r="R81" s="124"/>
      <c r="S81" s="124"/>
      <c r="T81" s="124"/>
      <c r="U81" s="124"/>
      <c r="V81" s="124"/>
    </row>
    <row r="82" spans="1:30" ht="21" customHeight="1" x14ac:dyDescent="0.25">
      <c r="A82" s="143" t="s">
        <v>419</v>
      </c>
      <c r="B82" s="211">
        <v>121.24748399709497</v>
      </c>
      <c r="C82" s="144">
        <v>110.17662720966545</v>
      </c>
      <c r="D82" s="145">
        <v>104.7195412892534</v>
      </c>
      <c r="E82" s="145">
        <v>103.88897696279764</v>
      </c>
      <c r="F82" s="146">
        <v>103.85645107497641</v>
      </c>
      <c r="G82" s="147"/>
      <c r="H82" s="212"/>
      <c r="I82" s="213"/>
      <c r="J82" s="214"/>
      <c r="K82" s="215"/>
      <c r="L82" s="216"/>
      <c r="M82" s="213"/>
      <c r="N82" s="213"/>
      <c r="O82" s="213"/>
      <c r="P82" s="213"/>
      <c r="Q82" s="213"/>
      <c r="R82" s="124"/>
      <c r="S82" s="124"/>
      <c r="T82" s="124"/>
      <c r="U82" s="124"/>
      <c r="V82" s="124"/>
    </row>
    <row r="83" spans="1:30" ht="15" customHeight="1" x14ac:dyDescent="0.25">
      <c r="A83" s="159" t="s">
        <v>448</v>
      </c>
      <c r="B83" s="188"/>
      <c r="C83" s="188"/>
      <c r="D83" s="189"/>
      <c r="E83" s="189"/>
      <c r="F83" s="162"/>
      <c r="G83" s="138"/>
      <c r="H83" s="207"/>
      <c r="I83" s="208"/>
      <c r="J83" s="208"/>
      <c r="K83" s="209"/>
      <c r="L83" s="210"/>
      <c r="M83" s="210"/>
      <c r="N83" s="210"/>
      <c r="O83" s="210"/>
      <c r="P83" s="210"/>
      <c r="Q83" s="210"/>
      <c r="R83" s="124"/>
      <c r="S83" s="124"/>
      <c r="T83" s="124"/>
      <c r="U83" s="124"/>
      <c r="V83" s="124"/>
    </row>
    <row r="84" spans="1:30" ht="21" customHeight="1" x14ac:dyDescent="0.25">
      <c r="A84" s="143" t="s">
        <v>419</v>
      </c>
      <c r="B84" s="211">
        <v>113.7453439314387</v>
      </c>
      <c r="C84" s="144">
        <v>108.14320036819849</v>
      </c>
      <c r="D84" s="145">
        <v>105.36195246542978</v>
      </c>
      <c r="E84" s="145">
        <v>104.30065379657208</v>
      </c>
      <c r="F84" s="146">
        <v>104.15434064589557</v>
      </c>
      <c r="G84" s="147"/>
      <c r="H84" s="212"/>
      <c r="I84" s="213"/>
      <c r="J84" s="214"/>
      <c r="K84" s="215"/>
      <c r="L84" s="216"/>
      <c r="M84" s="213"/>
      <c r="N84" s="213"/>
      <c r="O84" s="213"/>
      <c r="P84" s="213"/>
      <c r="Q84" s="213"/>
      <c r="R84" s="124"/>
      <c r="S84" s="124"/>
      <c r="T84" s="124"/>
      <c r="U84" s="124"/>
      <c r="V84" s="124"/>
    </row>
    <row r="85" spans="1:30" ht="31.5" customHeight="1" x14ac:dyDescent="0.25">
      <c r="A85" s="217" t="s">
        <v>449</v>
      </c>
      <c r="B85" s="167">
        <v>113.57</v>
      </c>
      <c r="C85" s="167">
        <v>107.56960802576063</v>
      </c>
      <c r="D85" s="168">
        <v>105.82844888294115</v>
      </c>
      <c r="E85" s="168">
        <v>104.36413451433799</v>
      </c>
      <c r="F85" s="169">
        <v>104.2505923038217</v>
      </c>
      <c r="G85" s="218"/>
      <c r="H85" s="219"/>
      <c r="I85" s="219"/>
      <c r="J85" s="219"/>
      <c r="K85" s="220"/>
      <c r="L85" s="219"/>
      <c r="M85" s="219"/>
      <c r="N85" s="219"/>
      <c r="O85" s="219"/>
      <c r="P85" s="219"/>
      <c r="Q85" s="221"/>
      <c r="R85" s="222"/>
      <c r="S85" s="222"/>
      <c r="T85" s="124"/>
      <c r="U85" s="124"/>
      <c r="V85" s="124"/>
    </row>
    <row r="86" spans="1:30" ht="19.5" customHeight="1" x14ac:dyDescent="0.25">
      <c r="A86" s="159" t="s">
        <v>450</v>
      </c>
      <c r="B86" s="188"/>
      <c r="C86" s="188"/>
      <c r="D86" s="189"/>
      <c r="E86" s="189"/>
      <c r="F86" s="162"/>
      <c r="G86" s="138"/>
      <c r="H86" s="207"/>
      <c r="I86" s="208"/>
      <c r="J86" s="208"/>
      <c r="K86" s="209"/>
      <c r="L86" s="210"/>
      <c r="M86" s="210"/>
      <c r="N86" s="210"/>
      <c r="O86" s="210"/>
      <c r="P86" s="210"/>
      <c r="Q86" s="210"/>
      <c r="R86" s="210"/>
      <c r="S86" s="210"/>
      <c r="T86" s="124"/>
      <c r="U86" s="124"/>
      <c r="V86" s="124"/>
    </row>
    <row r="87" spans="1:30" ht="21" customHeight="1" x14ac:dyDescent="0.25">
      <c r="A87" s="143" t="s">
        <v>451</v>
      </c>
      <c r="B87" s="211">
        <v>105.77540356019325</v>
      </c>
      <c r="C87" s="144">
        <v>115.18053914107367</v>
      </c>
      <c r="D87" s="145">
        <v>105.92017714108751</v>
      </c>
      <c r="E87" s="145">
        <v>105.1042482818745</v>
      </c>
      <c r="F87" s="146">
        <v>104.5591135307737</v>
      </c>
      <c r="G87" s="223"/>
      <c r="H87" s="212"/>
      <c r="I87" s="213"/>
      <c r="J87" s="212"/>
      <c r="K87" s="215"/>
      <c r="L87" s="216"/>
      <c r="M87" s="213"/>
      <c r="N87" s="213"/>
      <c r="O87" s="213"/>
      <c r="P87" s="213"/>
      <c r="Q87" s="213"/>
      <c r="R87" s="124"/>
      <c r="S87" s="124"/>
      <c r="T87" s="124"/>
      <c r="U87" s="124"/>
      <c r="V87" s="124"/>
    </row>
    <row r="88" spans="1:30" ht="20.100000000000001" customHeight="1" x14ac:dyDescent="0.25">
      <c r="A88" s="224" t="s">
        <v>452</v>
      </c>
      <c r="B88" s="151">
        <v>106.25</v>
      </c>
      <c r="C88" s="151">
        <v>115.36725371189522</v>
      </c>
      <c r="D88" s="152">
        <v>105.63868389077899</v>
      </c>
      <c r="E88" s="152">
        <v>104.96989333504807</v>
      </c>
      <c r="F88" s="153">
        <v>104.53050681490579</v>
      </c>
      <c r="G88" s="154"/>
      <c r="H88" s="219"/>
      <c r="I88" s="219"/>
      <c r="J88" s="219"/>
      <c r="K88" s="220"/>
      <c r="L88" s="219"/>
      <c r="M88" s="219"/>
      <c r="N88" s="219"/>
      <c r="O88" s="219"/>
      <c r="P88" s="219"/>
      <c r="Q88" s="219"/>
      <c r="R88" s="219"/>
      <c r="S88" s="219"/>
      <c r="T88" s="124"/>
      <c r="U88" s="124"/>
      <c r="V88" s="124"/>
    </row>
    <row r="89" spans="1:30" ht="20.100000000000001" customHeight="1" thickBot="1" x14ac:dyDescent="0.3">
      <c r="A89" s="225" t="s">
        <v>453</v>
      </c>
      <c r="B89" s="226">
        <v>115.85</v>
      </c>
      <c r="C89" s="226">
        <v>114.33781258499467</v>
      </c>
      <c r="D89" s="227">
        <v>106.27340627587498</v>
      </c>
      <c r="E89" s="227">
        <v>105.3707804208248</v>
      </c>
      <c r="F89" s="228">
        <v>105.09064024899497</v>
      </c>
      <c r="G89" s="218"/>
      <c r="H89" s="219"/>
      <c r="I89" s="219"/>
      <c r="J89" s="219"/>
      <c r="K89" s="220"/>
      <c r="L89" s="219"/>
      <c r="M89" s="219"/>
      <c r="N89" s="219"/>
      <c r="O89" s="219"/>
      <c r="P89" s="219"/>
      <c r="Q89" s="219"/>
      <c r="R89" s="219"/>
      <c r="S89" s="219"/>
      <c r="T89" s="124"/>
      <c r="U89" s="124"/>
      <c r="V89" s="124"/>
    </row>
    <row r="90" spans="1:30" ht="26.25" customHeight="1" x14ac:dyDescent="0.25">
      <c r="A90" s="180" t="s">
        <v>454</v>
      </c>
      <c r="B90" s="229"/>
      <c r="C90" s="229"/>
      <c r="D90" s="230"/>
      <c r="E90" s="230"/>
      <c r="F90" s="183"/>
      <c r="G90" s="138"/>
      <c r="H90" s="231"/>
      <c r="I90" s="232"/>
      <c r="J90" s="232"/>
      <c r="K90" s="233"/>
      <c r="L90" s="234"/>
      <c r="M90" s="234"/>
      <c r="N90" s="234"/>
      <c r="O90" s="234"/>
      <c r="P90" s="234"/>
      <c r="Q90" s="234"/>
      <c r="R90" s="124"/>
      <c r="S90" s="124"/>
      <c r="T90" s="124"/>
      <c r="U90" s="124"/>
      <c r="V90" s="124"/>
    </row>
    <row r="91" spans="1:30" ht="21" customHeight="1" x14ac:dyDescent="0.25">
      <c r="A91" s="143" t="s">
        <v>419</v>
      </c>
      <c r="B91" s="235">
        <v>104.9354</v>
      </c>
      <c r="C91" s="235">
        <v>113.9</v>
      </c>
      <c r="D91" s="236">
        <v>105.9</v>
      </c>
      <c r="E91" s="236">
        <v>105.3</v>
      </c>
      <c r="F91" s="237">
        <v>104.8</v>
      </c>
      <c r="G91" s="263"/>
      <c r="H91" s="238"/>
      <c r="I91" s="213"/>
      <c r="J91" s="213"/>
      <c r="K91" s="215"/>
      <c r="L91" s="216"/>
      <c r="M91" s="216"/>
      <c r="N91" s="216"/>
      <c r="O91" s="213"/>
      <c r="P91" s="213"/>
      <c r="Q91" s="213"/>
      <c r="R91" s="213"/>
      <c r="S91" s="213"/>
      <c r="T91" s="124"/>
      <c r="U91" s="124"/>
      <c r="V91" s="124"/>
      <c r="AD91" s="239" t="s">
        <v>455</v>
      </c>
    </row>
    <row r="92" spans="1:30" ht="20.100000000000001" customHeight="1" thickBot="1" x14ac:dyDescent="0.3">
      <c r="A92" s="176" t="s">
        <v>456</v>
      </c>
      <c r="B92" s="177">
        <v>105.15</v>
      </c>
      <c r="C92" s="177"/>
      <c r="D92" s="178"/>
      <c r="E92" s="178"/>
      <c r="F92" s="179"/>
      <c r="G92" s="154"/>
      <c r="H92" s="216"/>
      <c r="I92" s="216"/>
      <c r="J92" s="216"/>
      <c r="K92" s="215"/>
      <c r="L92" s="216"/>
      <c r="M92" s="216"/>
      <c r="N92" s="216"/>
      <c r="O92" s="216"/>
      <c r="P92" s="216"/>
      <c r="Q92" s="216"/>
      <c r="R92" s="124"/>
      <c r="S92" s="124"/>
      <c r="T92" s="124"/>
      <c r="U92" s="124"/>
      <c r="V92" s="124"/>
    </row>
    <row r="93" spans="1:30" ht="15" customHeight="1" x14ac:dyDescent="0.25">
      <c r="A93" s="180" t="s">
        <v>457</v>
      </c>
      <c r="B93" s="229"/>
      <c r="C93" s="229"/>
      <c r="D93" s="230"/>
      <c r="E93" s="230"/>
      <c r="F93" s="183"/>
      <c r="G93" s="240"/>
      <c r="H93" s="207"/>
      <c r="I93" s="208"/>
      <c r="J93" s="208"/>
      <c r="K93" s="209"/>
      <c r="L93" s="210"/>
      <c r="M93" s="210"/>
      <c r="N93" s="210"/>
      <c r="O93" s="210"/>
      <c r="P93" s="210"/>
      <c r="Q93" s="210"/>
      <c r="R93" s="124"/>
      <c r="S93" s="124"/>
      <c r="T93" s="124"/>
      <c r="U93" s="124"/>
      <c r="V93" s="124"/>
    </row>
    <row r="94" spans="1:30" ht="15.75" customHeight="1" x14ac:dyDescent="0.25">
      <c r="A94" s="143" t="s">
        <v>419</v>
      </c>
      <c r="B94" s="211">
        <v>106.95625632110625</v>
      </c>
      <c r="C94" s="144">
        <v>112.30798522734634</v>
      </c>
      <c r="D94" s="145">
        <v>105.89446728333651</v>
      </c>
      <c r="E94" s="145">
        <v>105.13905013888957</v>
      </c>
      <c r="F94" s="146">
        <v>104.08792544160343</v>
      </c>
      <c r="G94" s="147"/>
      <c r="H94" s="212"/>
      <c r="I94" s="213"/>
      <c r="J94" s="212"/>
      <c r="K94" s="215"/>
      <c r="L94" s="216"/>
      <c r="M94" s="216"/>
      <c r="N94" s="216"/>
      <c r="O94" s="213"/>
      <c r="P94" s="213"/>
      <c r="Q94" s="213"/>
      <c r="R94" s="124"/>
      <c r="S94" s="124"/>
      <c r="T94" s="124"/>
      <c r="U94" s="124"/>
      <c r="V94" s="124"/>
    </row>
    <row r="95" spans="1:30" ht="20.100000000000001" customHeight="1" x14ac:dyDescent="0.25">
      <c r="A95" s="166" t="s">
        <v>420</v>
      </c>
      <c r="B95" s="167">
        <v>106.59</v>
      </c>
      <c r="C95" s="167">
        <v>111.20188239832964</v>
      </c>
      <c r="D95" s="168">
        <v>106.40998365941776</v>
      </c>
      <c r="E95" s="168">
        <v>105.45382636409606</v>
      </c>
      <c r="F95" s="169">
        <v>105.15510465684237</v>
      </c>
      <c r="G95" s="154"/>
      <c r="H95" s="216"/>
      <c r="I95" s="219"/>
      <c r="J95" s="219"/>
      <c r="K95" s="220"/>
      <c r="L95" s="219"/>
      <c r="M95" s="219"/>
      <c r="N95" s="219"/>
      <c r="O95" s="219"/>
      <c r="P95" s="219"/>
      <c r="Q95" s="219"/>
      <c r="R95" s="124"/>
      <c r="S95" s="124"/>
      <c r="T95" s="124"/>
      <c r="U95" s="124"/>
      <c r="V95" s="124"/>
    </row>
    <row r="96" spans="1:30" ht="19.5" customHeight="1" x14ac:dyDescent="0.3">
      <c r="A96" s="159" t="s">
        <v>458</v>
      </c>
      <c r="B96" s="188"/>
      <c r="C96" s="188"/>
      <c r="D96" s="189"/>
      <c r="E96" s="189"/>
      <c r="F96" s="162"/>
      <c r="G96" s="241"/>
      <c r="H96" s="242"/>
      <c r="I96" s="243"/>
      <c r="J96" s="243"/>
      <c r="K96" s="244"/>
      <c r="L96" s="243"/>
      <c r="M96" s="243"/>
      <c r="N96" s="243"/>
      <c r="O96" s="243"/>
      <c r="P96" s="243"/>
      <c r="Q96" s="243"/>
      <c r="R96" s="124"/>
      <c r="S96" s="124"/>
      <c r="T96" s="124"/>
      <c r="U96" s="124"/>
      <c r="V96" s="124"/>
    </row>
    <row r="97" spans="1:30" ht="20.100000000000001" customHeight="1" x14ac:dyDescent="0.25">
      <c r="A97" s="143" t="s">
        <v>459</v>
      </c>
      <c r="B97" s="144">
        <v>108.09470822485557</v>
      </c>
      <c r="C97" s="144">
        <v>115.86020000000001</v>
      </c>
      <c r="D97" s="145">
        <v>106.2961</v>
      </c>
      <c r="E97" s="145">
        <v>105.0791</v>
      </c>
      <c r="F97" s="146">
        <v>104.4076</v>
      </c>
      <c r="G97" s="245"/>
      <c r="H97" s="246"/>
      <c r="I97" s="213"/>
      <c r="J97" s="213"/>
      <c r="K97" s="215"/>
      <c r="L97" s="213"/>
      <c r="M97" s="213"/>
      <c r="N97" s="213"/>
      <c r="O97" s="213"/>
      <c r="P97" s="213"/>
      <c r="Q97" s="213"/>
      <c r="R97" s="124"/>
      <c r="S97" s="124"/>
      <c r="T97" s="124"/>
      <c r="U97" s="124"/>
      <c r="V97" s="124"/>
      <c r="AD97" s="239" t="s">
        <v>455</v>
      </c>
    </row>
    <row r="98" spans="1:30" ht="20.100000000000001" customHeight="1" x14ac:dyDescent="0.25">
      <c r="A98" s="150" t="s">
        <v>460</v>
      </c>
      <c r="B98" s="151">
        <v>107.78385996445917</v>
      </c>
      <c r="C98" s="151">
        <v>115.47854422975772</v>
      </c>
      <c r="D98" s="152">
        <v>105.91449633944607</v>
      </c>
      <c r="E98" s="152">
        <v>104.69750059289014</v>
      </c>
      <c r="F98" s="153">
        <v>104.02600583266499</v>
      </c>
      <c r="G98" s="154"/>
      <c r="H98" s="187"/>
      <c r="I98" s="219"/>
      <c r="J98" s="219"/>
      <c r="K98" s="220"/>
      <c r="L98" s="219"/>
      <c r="M98" s="219"/>
      <c r="N98" s="219"/>
      <c r="O98" s="219"/>
      <c r="P98" s="219"/>
      <c r="Q98" s="219"/>
      <c r="R98" s="124"/>
      <c r="S98" s="124"/>
      <c r="T98" s="124"/>
      <c r="U98" s="124"/>
      <c r="V98" s="124"/>
    </row>
    <row r="99" spans="1:30" ht="20.100000000000001" customHeight="1" x14ac:dyDescent="0.25">
      <c r="A99" s="143" t="s">
        <v>461</v>
      </c>
      <c r="B99" s="144">
        <v>104.37814946351351</v>
      </c>
      <c r="C99" s="144">
        <v>110.1253602920353</v>
      </c>
      <c r="D99" s="145">
        <v>106.68331199004568</v>
      </c>
      <c r="E99" s="145">
        <v>105.19423148819615</v>
      </c>
      <c r="F99" s="146">
        <v>104.58946749859513</v>
      </c>
      <c r="G99" s="245"/>
      <c r="H99" s="246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124"/>
      <c r="U99" s="124"/>
      <c r="V99" s="124"/>
      <c r="AD99" s="239" t="s">
        <v>455</v>
      </c>
    </row>
    <row r="100" spans="1:30" ht="20.100000000000001" customHeight="1" thickBot="1" x14ac:dyDescent="0.3">
      <c r="A100" s="176" t="s">
        <v>462</v>
      </c>
      <c r="B100" s="177">
        <v>103.83171856319015</v>
      </c>
      <c r="C100" s="177">
        <v>109.56856218203035</v>
      </c>
      <c r="D100" s="178">
        <v>106.12651464446641</v>
      </c>
      <c r="E100" s="178">
        <v>104.63743425277903</v>
      </c>
      <c r="F100" s="179">
        <v>104.03267042308863</v>
      </c>
      <c r="G100" s="154"/>
      <c r="H100" s="187"/>
      <c r="I100" s="219"/>
      <c r="J100" s="219"/>
      <c r="K100" s="220"/>
      <c r="L100" s="219"/>
      <c r="M100" s="219"/>
      <c r="N100" s="219"/>
      <c r="O100" s="219"/>
      <c r="P100" s="219"/>
      <c r="Q100" s="219"/>
      <c r="R100" s="124"/>
      <c r="S100" s="124"/>
      <c r="T100" s="124"/>
      <c r="U100" s="124"/>
      <c r="V100" s="124"/>
    </row>
    <row r="101" spans="1:30" ht="15" customHeight="1" x14ac:dyDescent="0.25">
      <c r="A101" s="248" t="s">
        <v>463</v>
      </c>
      <c r="B101" s="249"/>
      <c r="C101" s="249"/>
      <c r="D101" s="249"/>
      <c r="E101" s="249"/>
      <c r="F101" s="249"/>
      <c r="G101" s="250"/>
      <c r="H101" s="250"/>
      <c r="I101" s="124"/>
      <c r="J101" s="124"/>
      <c r="K101" s="251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</row>
    <row r="102" spans="1:30" ht="14.25" customHeight="1" x14ac:dyDescent="0.25">
      <c r="A102" s="248" t="s">
        <v>464</v>
      </c>
      <c r="B102" s="252"/>
      <c r="C102" s="252"/>
      <c r="D102" s="252"/>
      <c r="E102" s="252"/>
      <c r="F102" s="252"/>
      <c r="G102" s="253"/>
      <c r="H102" s="253"/>
      <c r="I102" s="253"/>
      <c r="J102" s="253"/>
      <c r="K102" s="253"/>
      <c r="L102" s="253"/>
      <c r="M102" s="253"/>
      <c r="N102" s="253"/>
      <c r="O102" s="253"/>
      <c r="P102" s="253"/>
      <c r="Q102" s="253"/>
      <c r="R102" s="124"/>
      <c r="S102" s="124"/>
      <c r="T102" s="124"/>
      <c r="U102" s="124"/>
      <c r="V102" s="124"/>
    </row>
    <row r="103" spans="1:30" ht="33.75" customHeight="1" x14ac:dyDescent="0.25">
      <c r="A103" s="1269" t="s">
        <v>465</v>
      </c>
      <c r="B103" s="1269"/>
      <c r="C103" s="1269"/>
      <c r="D103" s="1269"/>
      <c r="E103" s="1269"/>
      <c r="F103" s="1269"/>
      <c r="G103" s="250"/>
      <c r="H103" s="124"/>
      <c r="I103" s="254"/>
      <c r="J103" s="124"/>
      <c r="K103" s="251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</row>
    <row r="104" spans="1:30" ht="15.75" x14ac:dyDescent="0.25">
      <c r="A104" s="255" t="s">
        <v>466</v>
      </c>
      <c r="B104" s="256"/>
      <c r="C104" s="256"/>
      <c r="D104" s="256"/>
      <c r="E104" s="256"/>
      <c r="F104" s="256"/>
      <c r="G104" s="250"/>
      <c r="H104" s="124"/>
      <c r="I104" s="254"/>
      <c r="J104" s="124"/>
      <c r="K104" s="251"/>
      <c r="L104" s="124"/>
      <c r="M104" s="124"/>
      <c r="N104" s="124"/>
      <c r="O104" s="124"/>
      <c r="P104" s="124"/>
      <c r="Q104" s="222"/>
      <c r="R104" s="222"/>
      <c r="S104" s="222"/>
      <c r="T104" s="124"/>
      <c r="U104" s="124"/>
      <c r="V104" s="124"/>
    </row>
    <row r="105" spans="1:30" ht="15.75" x14ac:dyDescent="0.25">
      <c r="A105" s="255" t="s">
        <v>467</v>
      </c>
      <c r="B105" s="256"/>
      <c r="C105" s="256"/>
      <c r="D105" s="256"/>
      <c r="E105" s="256"/>
      <c r="F105" s="256"/>
      <c r="G105" s="124"/>
      <c r="H105" s="124"/>
      <c r="I105" s="124"/>
      <c r="J105" s="124"/>
      <c r="K105" s="251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</row>
    <row r="106" spans="1:30" ht="15.75" x14ac:dyDescent="0.25">
      <c r="A106" s="255" t="s">
        <v>468</v>
      </c>
      <c r="B106" s="257"/>
      <c r="C106" s="257"/>
      <c r="D106" s="257"/>
      <c r="E106" s="257"/>
      <c r="F106" s="257"/>
      <c r="G106" s="124"/>
      <c r="H106" s="124"/>
      <c r="I106" s="124"/>
      <c r="J106" s="124"/>
      <c r="K106" s="251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</row>
    <row r="107" spans="1:30" ht="15" customHeight="1" x14ac:dyDescent="0.25">
      <c r="A107" s="255" t="s">
        <v>469</v>
      </c>
      <c r="B107" s="252"/>
      <c r="C107" s="252"/>
      <c r="D107" s="252"/>
      <c r="E107" s="252"/>
      <c r="F107" s="252"/>
      <c r="G107" s="124"/>
      <c r="H107" s="124"/>
      <c r="I107" s="124"/>
      <c r="J107" s="124"/>
      <c r="K107" s="251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</row>
    <row r="108" spans="1:30" ht="18.75" x14ac:dyDescent="0.25">
      <c r="A108" s="258"/>
      <c r="B108" s="194"/>
      <c r="C108" s="194"/>
      <c r="D108" s="194"/>
      <c r="E108" s="194"/>
      <c r="F108" s="194"/>
      <c r="G108" s="124"/>
      <c r="H108" s="124"/>
      <c r="I108" s="124"/>
      <c r="J108" s="124"/>
      <c r="K108" s="251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</row>
    <row r="109" spans="1:30" ht="18.75" x14ac:dyDescent="0.25">
      <c r="A109" s="154"/>
      <c r="B109" s="148"/>
      <c r="C109" s="148"/>
      <c r="D109" s="148"/>
      <c r="E109" s="148"/>
      <c r="F109" s="148"/>
      <c r="G109" s="124"/>
      <c r="H109" s="124"/>
      <c r="I109" s="124"/>
      <c r="J109" s="124"/>
      <c r="K109" s="251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</row>
    <row r="110" spans="1:30" ht="18.75" x14ac:dyDescent="0.25">
      <c r="A110" s="124"/>
      <c r="B110" s="194"/>
      <c r="C110" s="194"/>
      <c r="D110" s="194"/>
      <c r="E110" s="194"/>
      <c r="F110" s="194"/>
      <c r="G110" s="124"/>
      <c r="H110" s="124"/>
      <c r="I110" s="124"/>
      <c r="J110" s="124"/>
      <c r="K110" s="251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</row>
    <row r="111" spans="1:30" ht="16.5" x14ac:dyDescent="0.25">
      <c r="A111" s="124"/>
      <c r="B111" s="124"/>
      <c r="C111" s="259"/>
      <c r="D111" s="259"/>
      <c r="E111" s="259"/>
      <c r="F111" s="259"/>
      <c r="G111" s="124"/>
      <c r="H111" s="124"/>
      <c r="I111" s="124"/>
      <c r="J111" s="124"/>
      <c r="K111" s="251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</row>
    <row r="112" spans="1:30" x14ac:dyDescent="0.25">
      <c r="G112" s="124"/>
      <c r="H112" s="124"/>
      <c r="I112" s="124"/>
      <c r="J112" s="124"/>
      <c r="K112" s="251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</row>
    <row r="113" spans="7:22" x14ac:dyDescent="0.25">
      <c r="G113" s="124"/>
      <c r="H113" s="124"/>
      <c r="I113" s="124"/>
      <c r="J113" s="124"/>
      <c r="K113" s="251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</row>
    <row r="114" spans="7:22" x14ac:dyDescent="0.25">
      <c r="G114" s="124"/>
      <c r="H114" s="124"/>
      <c r="I114" s="124"/>
      <c r="J114" s="124"/>
      <c r="K114" s="251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</row>
    <row r="115" spans="7:22" x14ac:dyDescent="0.25">
      <c r="G115" s="124"/>
      <c r="H115" s="124"/>
      <c r="I115" s="124"/>
      <c r="J115" s="124"/>
      <c r="K115" s="251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</row>
    <row r="116" spans="7:22" x14ac:dyDescent="0.25">
      <c r="G116" s="124"/>
      <c r="H116" s="124"/>
      <c r="I116" s="124"/>
      <c r="J116" s="124"/>
      <c r="K116" s="251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</row>
    <row r="117" spans="7:22" x14ac:dyDescent="0.25">
      <c r="G117" s="124"/>
      <c r="H117" s="124"/>
      <c r="I117" s="124"/>
      <c r="J117" s="124"/>
      <c r="K117" s="251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</row>
    <row r="118" spans="7:22" x14ac:dyDescent="0.25">
      <c r="G118" s="124"/>
      <c r="H118" s="124"/>
      <c r="I118" s="124"/>
      <c r="J118" s="124"/>
      <c r="K118" s="251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</row>
    <row r="119" spans="7:22" x14ac:dyDescent="0.25">
      <c r="G119" s="124"/>
      <c r="H119" s="124"/>
      <c r="I119" s="124"/>
      <c r="J119" s="124"/>
      <c r="K119" s="251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</row>
    <row r="120" spans="7:22" x14ac:dyDescent="0.25">
      <c r="G120" s="124"/>
      <c r="H120" s="124"/>
      <c r="I120" s="124"/>
      <c r="J120" s="124"/>
      <c r="K120" s="251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</row>
    <row r="121" spans="7:22" x14ac:dyDescent="0.25">
      <c r="G121" s="124"/>
      <c r="H121" s="124"/>
      <c r="I121" s="124"/>
      <c r="J121" s="124"/>
      <c r="K121" s="251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</row>
    <row r="122" spans="7:22" x14ac:dyDescent="0.25">
      <c r="G122" s="124"/>
      <c r="H122" s="124"/>
      <c r="I122" s="124"/>
      <c r="J122" s="124"/>
      <c r="K122" s="251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</row>
    <row r="123" spans="7:22" x14ac:dyDescent="0.25">
      <c r="G123" s="124"/>
      <c r="H123" s="124"/>
      <c r="I123" s="124"/>
      <c r="J123" s="124"/>
      <c r="K123" s="251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</row>
    <row r="124" spans="7:22" x14ac:dyDescent="0.25">
      <c r="G124" s="124"/>
      <c r="H124" s="124"/>
      <c r="I124" s="124"/>
      <c r="J124" s="124"/>
      <c r="K124" s="251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</row>
    <row r="125" spans="7:22" x14ac:dyDescent="0.25">
      <c r="G125" s="124"/>
      <c r="H125" s="124"/>
      <c r="I125" s="124"/>
      <c r="J125" s="124"/>
      <c r="K125" s="251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</row>
    <row r="126" spans="7:22" x14ac:dyDescent="0.25">
      <c r="G126" s="124"/>
      <c r="H126" s="124"/>
      <c r="I126" s="124"/>
      <c r="J126" s="124"/>
      <c r="K126" s="251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</row>
    <row r="127" spans="7:22" x14ac:dyDescent="0.25">
      <c r="G127" s="124"/>
      <c r="H127" s="124"/>
      <c r="I127" s="124"/>
      <c r="J127" s="124"/>
      <c r="K127" s="251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</row>
    <row r="128" spans="7:22" x14ac:dyDescent="0.25">
      <c r="G128" s="124"/>
      <c r="H128" s="124"/>
      <c r="I128" s="124"/>
      <c r="J128" s="124"/>
      <c r="K128" s="251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</row>
    <row r="129" spans="7:22" x14ac:dyDescent="0.25">
      <c r="G129" s="124"/>
      <c r="H129" s="124"/>
      <c r="I129" s="124"/>
      <c r="J129" s="124"/>
      <c r="K129" s="251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</row>
    <row r="130" spans="7:22" x14ac:dyDescent="0.25">
      <c r="G130" s="124"/>
      <c r="H130" s="124"/>
      <c r="I130" s="124"/>
      <c r="J130" s="124"/>
      <c r="K130" s="251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</row>
    <row r="131" spans="7:22" x14ac:dyDescent="0.25">
      <c r="G131" s="124"/>
      <c r="H131" s="124"/>
      <c r="I131" s="124"/>
      <c r="J131" s="124"/>
      <c r="K131" s="251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</row>
    <row r="132" spans="7:22" x14ac:dyDescent="0.25">
      <c r="G132" s="124"/>
      <c r="H132" s="124"/>
      <c r="I132" s="124"/>
      <c r="J132" s="124"/>
      <c r="K132" s="251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</row>
    <row r="133" spans="7:22" x14ac:dyDescent="0.25">
      <c r="G133" s="124"/>
      <c r="H133" s="124"/>
      <c r="I133" s="124"/>
      <c r="J133" s="124"/>
      <c r="K133" s="251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</row>
    <row r="134" spans="7:22" x14ac:dyDescent="0.25">
      <c r="G134" s="124"/>
      <c r="H134" s="124"/>
      <c r="I134" s="124"/>
      <c r="J134" s="124"/>
      <c r="K134" s="251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</row>
    <row r="135" spans="7:22" x14ac:dyDescent="0.25">
      <c r="G135" s="124"/>
      <c r="H135" s="124"/>
      <c r="I135" s="124"/>
      <c r="J135" s="124"/>
      <c r="K135" s="251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</row>
    <row r="136" spans="7:22" x14ac:dyDescent="0.25">
      <c r="G136" s="124"/>
      <c r="H136" s="124"/>
      <c r="I136" s="124"/>
      <c r="J136" s="124"/>
      <c r="K136" s="251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</row>
    <row r="137" spans="7:22" x14ac:dyDescent="0.25">
      <c r="G137" s="124"/>
      <c r="H137" s="124"/>
      <c r="I137" s="124"/>
      <c r="J137" s="124"/>
      <c r="K137" s="251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</row>
    <row r="138" spans="7:22" x14ac:dyDescent="0.25">
      <c r="G138" s="124"/>
      <c r="H138" s="124"/>
      <c r="I138" s="124"/>
      <c r="J138" s="124"/>
      <c r="K138" s="251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</row>
    <row r="139" spans="7:22" x14ac:dyDescent="0.25">
      <c r="G139" s="124"/>
      <c r="H139" s="124"/>
      <c r="I139" s="124"/>
      <c r="J139" s="124"/>
      <c r="K139" s="251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</row>
    <row r="140" spans="7:22" x14ac:dyDescent="0.25">
      <c r="G140" s="124"/>
      <c r="H140" s="124"/>
      <c r="I140" s="124"/>
      <c r="J140" s="124"/>
      <c r="K140" s="251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</row>
    <row r="141" spans="7:22" x14ac:dyDescent="0.25">
      <c r="G141" s="124"/>
      <c r="H141" s="124"/>
      <c r="I141" s="124"/>
      <c r="J141" s="124"/>
      <c r="K141" s="251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</row>
    <row r="142" spans="7:22" x14ac:dyDescent="0.25">
      <c r="G142" s="124"/>
      <c r="H142" s="124"/>
      <c r="I142" s="124"/>
      <c r="J142" s="124"/>
      <c r="K142" s="251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</row>
    <row r="143" spans="7:22" x14ac:dyDescent="0.25">
      <c r="G143" s="124"/>
      <c r="H143" s="124"/>
      <c r="I143" s="124"/>
      <c r="J143" s="124"/>
      <c r="K143" s="251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</row>
    <row r="144" spans="7:22" x14ac:dyDescent="0.25">
      <c r="G144" s="124"/>
      <c r="H144" s="124"/>
      <c r="I144" s="124"/>
      <c r="J144" s="124"/>
      <c r="K144" s="251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</row>
    <row r="145" spans="7:22" x14ac:dyDescent="0.25">
      <c r="G145" s="124"/>
      <c r="H145" s="124"/>
      <c r="I145" s="124"/>
      <c r="J145" s="124"/>
      <c r="K145" s="251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</row>
    <row r="146" spans="7:22" x14ac:dyDescent="0.25">
      <c r="G146" s="124"/>
      <c r="H146" s="124"/>
      <c r="I146" s="124"/>
      <c r="J146" s="124"/>
      <c r="K146" s="251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</row>
    <row r="147" spans="7:22" x14ac:dyDescent="0.25">
      <c r="G147" s="124"/>
      <c r="H147" s="124"/>
      <c r="I147" s="124"/>
      <c r="J147" s="124"/>
      <c r="K147" s="251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</row>
    <row r="148" spans="7:22" x14ac:dyDescent="0.25">
      <c r="G148" s="124"/>
      <c r="H148" s="124"/>
      <c r="I148" s="124"/>
      <c r="J148" s="124"/>
      <c r="K148" s="251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</row>
    <row r="149" spans="7:22" x14ac:dyDescent="0.25">
      <c r="G149" s="124"/>
      <c r="H149" s="124"/>
      <c r="I149" s="124"/>
      <c r="J149" s="124"/>
      <c r="K149" s="251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</row>
    <row r="150" spans="7:22" x14ac:dyDescent="0.25">
      <c r="G150" s="124"/>
      <c r="H150" s="124"/>
      <c r="I150" s="124"/>
      <c r="J150" s="124"/>
      <c r="K150" s="251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</row>
    <row r="151" spans="7:22" x14ac:dyDescent="0.25">
      <c r="G151" s="124"/>
      <c r="H151" s="124"/>
      <c r="I151" s="124"/>
      <c r="J151" s="124"/>
      <c r="K151" s="251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</row>
    <row r="152" spans="7:22" x14ac:dyDescent="0.25">
      <c r="G152" s="124"/>
      <c r="H152" s="124"/>
      <c r="I152" s="124"/>
      <c r="J152" s="124"/>
      <c r="K152" s="251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</row>
    <row r="153" spans="7:22" x14ac:dyDescent="0.25">
      <c r="G153" s="124"/>
      <c r="H153" s="124"/>
      <c r="I153" s="124"/>
      <c r="J153" s="124"/>
      <c r="K153" s="251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</row>
    <row r="154" spans="7:22" x14ac:dyDescent="0.25">
      <c r="G154" s="124"/>
      <c r="H154" s="124"/>
      <c r="I154" s="124"/>
      <c r="J154" s="124"/>
      <c r="K154" s="251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</row>
    <row r="155" spans="7:22" x14ac:dyDescent="0.25">
      <c r="G155" s="124"/>
      <c r="H155" s="124"/>
      <c r="I155" s="124"/>
      <c r="J155" s="124"/>
      <c r="K155" s="251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</row>
    <row r="156" spans="7:22" x14ac:dyDescent="0.25">
      <c r="G156" s="124"/>
      <c r="H156" s="260"/>
      <c r="I156" s="260"/>
      <c r="J156" s="260"/>
      <c r="K156" s="261"/>
      <c r="L156" s="260"/>
      <c r="M156" s="260"/>
      <c r="N156" s="260"/>
      <c r="O156" s="260"/>
      <c r="P156" s="260"/>
      <c r="Q156" s="260"/>
      <c r="R156" s="260"/>
      <c r="S156" s="260"/>
      <c r="T156" s="124"/>
      <c r="U156" s="124"/>
      <c r="V156" s="124"/>
    </row>
    <row r="157" spans="7:22" x14ac:dyDescent="0.25"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</row>
    <row r="163" spans="11:19" x14ac:dyDescent="0.25">
      <c r="K163" s="125"/>
      <c r="R163" s="125">
        <v>99.4</v>
      </c>
      <c r="S163" s="125">
        <v>99.5</v>
      </c>
    </row>
  </sheetData>
  <mergeCells count="3">
    <mergeCell ref="A5:F5"/>
    <mergeCell ref="D7:F7"/>
    <mergeCell ref="A103:F103"/>
  </mergeCells>
  <printOptions horizontalCentered="1"/>
  <pageMargins left="0.70866141732283472" right="0.39370078740157483" top="0.59055118110236227" bottom="0.59055118110236227" header="0.31496062992125984" footer="0.31496062992125984"/>
  <pageSetup paperSize="8" scale="48" orientation="portrait" r:id="rId1"/>
  <rowBreaks count="4" manualBreakCount="4">
    <brk id="25" max="6" man="1"/>
    <brk id="46" max="5" man="1"/>
    <brk id="67" max="5" man="1"/>
    <brk id="89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view="pageBreakPreview" zoomScale="60" zoomScaleNormal="100" workbookViewId="0">
      <selection activeCell="W17" sqref="W17"/>
    </sheetView>
  </sheetViews>
  <sheetFormatPr defaultRowHeight="15" x14ac:dyDescent="0.25"/>
  <cols>
    <col min="1" max="6" width="9.140625" style="559"/>
    <col min="7" max="7" width="15.28515625" style="559" customWidth="1"/>
    <col min="8" max="16384" width="9.140625" style="559"/>
  </cols>
  <sheetData>
    <row r="1" spans="1:16" ht="15.75" x14ac:dyDescent="0.25">
      <c r="A1" s="996" t="s">
        <v>1594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996"/>
      <c r="P1" s="630"/>
    </row>
    <row r="2" spans="1:16" ht="15.75" x14ac:dyDescent="0.25">
      <c r="A2" s="996" t="s">
        <v>1595</v>
      </c>
      <c r="B2" s="996"/>
      <c r="C2" s="996"/>
      <c r="D2" s="996"/>
      <c r="E2" s="996"/>
      <c r="F2" s="996"/>
      <c r="G2" s="996"/>
      <c r="H2" s="996"/>
      <c r="I2" s="996"/>
      <c r="J2" s="996"/>
      <c r="K2" s="996"/>
      <c r="L2" s="996"/>
      <c r="M2" s="996"/>
      <c r="N2" s="996"/>
      <c r="O2" s="996"/>
      <c r="P2" s="630"/>
    </row>
    <row r="3" spans="1:16" ht="15.75" x14ac:dyDescent="0.25">
      <c r="A3" s="586"/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630"/>
    </row>
    <row r="4" spans="1:16" ht="15.75" x14ac:dyDescent="0.25">
      <c r="A4" s="586" t="s">
        <v>1596</v>
      </c>
      <c r="B4" s="586"/>
      <c r="C4" s="631" t="str">
        <f>НМЦ!A3</f>
        <v>«Благоустройство туристической деревни поляна Азау и прилегающей территории»</v>
      </c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630"/>
    </row>
    <row r="5" spans="1:16" ht="15.75" x14ac:dyDescent="0.25">
      <c r="A5" s="586"/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630"/>
    </row>
    <row r="6" spans="1:16" ht="15.75" x14ac:dyDescent="0.25">
      <c r="A6" s="997" t="s">
        <v>1597</v>
      </c>
      <c r="B6" s="997"/>
      <c r="C6" s="997"/>
      <c r="D6" s="997"/>
      <c r="E6" s="997"/>
      <c r="F6" s="997"/>
      <c r="G6" s="632">
        <f>НМЦ!E16</f>
        <v>68640713.747999996</v>
      </c>
      <c r="H6" s="631"/>
      <c r="I6" s="631"/>
      <c r="J6" s="631"/>
      <c r="K6" s="631"/>
      <c r="L6" s="631"/>
      <c r="M6" s="631"/>
      <c r="N6" s="631"/>
      <c r="O6" s="631"/>
      <c r="P6" s="630"/>
    </row>
    <row r="7" spans="1:16" ht="15.75" x14ac:dyDescent="0.25">
      <c r="A7" s="998" t="str">
        <f>[53]!Сумма_прописью(G6)</f>
        <v>Шестьдесят восемь миллионов шестьсот сорок тысяч семьсот тринадцать рублей 75 копеек.</v>
      </c>
      <c r="B7" s="998"/>
      <c r="C7" s="998"/>
      <c r="D7" s="998"/>
      <c r="E7" s="998"/>
      <c r="F7" s="998"/>
      <c r="G7" s="998"/>
      <c r="H7" s="998"/>
      <c r="I7" s="998"/>
      <c r="J7" s="998"/>
      <c r="K7" s="998"/>
      <c r="L7" s="998"/>
      <c r="M7" s="998"/>
      <c r="N7" s="998"/>
      <c r="O7" s="998"/>
      <c r="P7" s="630"/>
    </row>
    <row r="8" spans="1:16" ht="15.75" x14ac:dyDescent="0.25">
      <c r="A8" s="586" t="s">
        <v>1598</v>
      </c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630"/>
    </row>
    <row r="9" spans="1:16" ht="15.75" x14ac:dyDescent="0.25">
      <c r="A9" s="633" t="s">
        <v>1599</v>
      </c>
      <c r="B9" s="633"/>
      <c r="C9" s="633"/>
      <c r="D9" s="633"/>
      <c r="E9" s="633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630"/>
    </row>
    <row r="10" spans="1:16" ht="15.75" x14ac:dyDescent="0.25">
      <c r="A10" s="824" t="s">
        <v>1600</v>
      </c>
      <c r="C10" s="634"/>
      <c r="D10" s="634"/>
      <c r="E10" s="634"/>
      <c r="F10" s="635"/>
      <c r="G10" s="586"/>
      <c r="H10" s="586"/>
      <c r="I10" s="586"/>
      <c r="J10" s="586"/>
      <c r="K10" s="586"/>
      <c r="L10" s="586"/>
      <c r="M10" s="586"/>
      <c r="N10" s="586"/>
      <c r="O10" s="586"/>
      <c r="P10" s="630"/>
    </row>
    <row r="11" spans="1:16" ht="15.75" x14ac:dyDescent="0.25">
      <c r="A11" s="824" t="s">
        <v>2396</v>
      </c>
      <c r="C11" s="634"/>
      <c r="D11" s="634"/>
      <c r="E11" s="634"/>
      <c r="F11" s="635"/>
      <c r="G11" s="586"/>
      <c r="H11" s="586"/>
      <c r="I11" s="586"/>
      <c r="J11" s="586"/>
      <c r="K11" s="586"/>
      <c r="L11" s="586"/>
      <c r="M11" s="586"/>
      <c r="N11" s="586"/>
      <c r="O11" s="586"/>
      <c r="P11" s="630"/>
    </row>
    <row r="12" spans="1:16" ht="15.75" x14ac:dyDescent="0.25">
      <c r="A12" s="824" t="s">
        <v>1601</v>
      </c>
      <c r="C12" s="634"/>
      <c r="D12" s="634"/>
      <c r="E12" s="634"/>
      <c r="F12" s="635"/>
      <c r="G12" s="586"/>
      <c r="H12" s="586"/>
      <c r="I12" s="586"/>
      <c r="J12" s="586"/>
      <c r="K12" s="586"/>
      <c r="L12" s="586"/>
      <c r="M12" s="586"/>
      <c r="N12" s="586"/>
      <c r="O12" s="586"/>
      <c r="P12" s="630"/>
    </row>
    <row r="13" spans="1:16" ht="15.75" x14ac:dyDescent="0.25">
      <c r="A13" s="824" t="s">
        <v>1602</v>
      </c>
      <c r="C13" s="634"/>
      <c r="D13" s="634"/>
      <c r="E13" s="634"/>
      <c r="F13" s="635"/>
      <c r="G13" s="586"/>
      <c r="H13" s="586"/>
      <c r="I13" s="586"/>
      <c r="J13" s="586"/>
      <c r="K13" s="586"/>
      <c r="L13" s="586"/>
      <c r="M13" s="586"/>
      <c r="N13" s="586"/>
      <c r="O13" s="586"/>
      <c r="P13" s="630"/>
    </row>
    <row r="14" spans="1:16" ht="15.75" x14ac:dyDescent="0.25">
      <c r="A14" s="824" t="s">
        <v>1603</v>
      </c>
      <c r="C14" s="634"/>
      <c r="D14" s="634"/>
      <c r="E14" s="634"/>
      <c r="F14" s="635"/>
      <c r="G14" s="586"/>
      <c r="H14" s="586"/>
      <c r="I14" s="586"/>
      <c r="J14" s="586"/>
      <c r="K14" s="586"/>
      <c r="L14" s="586"/>
      <c r="M14" s="586"/>
      <c r="N14" s="586"/>
      <c r="O14" s="586"/>
      <c r="P14" s="630"/>
    </row>
    <row r="15" spans="1:16" ht="15.75" x14ac:dyDescent="0.25">
      <c r="A15" s="824" t="s">
        <v>1604</v>
      </c>
      <c r="C15" s="634"/>
      <c r="D15" s="634"/>
      <c r="E15" s="634"/>
      <c r="F15" s="635"/>
      <c r="G15" s="586"/>
      <c r="H15" s="586"/>
      <c r="I15" s="586"/>
      <c r="J15" s="586"/>
      <c r="K15" s="586"/>
      <c r="L15" s="586"/>
      <c r="M15" s="586"/>
      <c r="N15" s="586"/>
      <c r="O15" s="586"/>
      <c r="P15" s="630"/>
    </row>
    <row r="16" spans="1:16" ht="15.75" x14ac:dyDescent="0.25">
      <c r="A16" s="633" t="s">
        <v>1605</v>
      </c>
      <c r="B16" s="586"/>
      <c r="C16" s="586"/>
      <c r="D16" s="586"/>
      <c r="E16" s="586"/>
      <c r="F16" s="586"/>
      <c r="G16" s="586"/>
      <c r="H16" s="586"/>
      <c r="I16" s="586"/>
      <c r="J16" s="586"/>
      <c r="K16" s="586"/>
      <c r="L16" s="586"/>
      <c r="M16" s="586"/>
      <c r="N16" s="586"/>
      <c r="O16" s="586"/>
      <c r="P16" s="630"/>
    </row>
    <row r="17" spans="1:16" ht="55.5" customHeight="1" x14ac:dyDescent="0.25">
      <c r="A17" s="999" t="s">
        <v>1606</v>
      </c>
      <c r="B17" s="999"/>
      <c r="C17" s="999"/>
      <c r="D17" s="999"/>
      <c r="E17" s="999"/>
      <c r="F17" s="999"/>
      <c r="G17" s="999"/>
      <c r="H17" s="999"/>
      <c r="I17" s="999"/>
      <c r="J17" s="999"/>
      <c r="K17" s="999"/>
      <c r="L17" s="999"/>
      <c r="M17" s="586"/>
      <c r="N17" s="586"/>
      <c r="O17" s="586"/>
      <c r="P17" s="630"/>
    </row>
    <row r="18" spans="1:16" ht="16.5" customHeight="1" x14ac:dyDescent="0.25">
      <c r="A18" s="995" t="s">
        <v>1607</v>
      </c>
      <c r="B18" s="995"/>
      <c r="C18" s="995"/>
      <c r="D18" s="995"/>
      <c r="E18" s="995"/>
      <c r="F18" s="995"/>
      <c r="G18" s="995"/>
      <c r="H18" s="995"/>
      <c r="I18" s="995"/>
      <c r="J18" s="995"/>
      <c r="K18" s="995"/>
      <c r="L18" s="995"/>
      <c r="M18" s="586"/>
      <c r="N18" s="586"/>
      <c r="O18" s="586"/>
      <c r="P18" s="630"/>
    </row>
    <row r="19" spans="1:16" ht="15.75" x14ac:dyDescent="0.25">
      <c r="A19" s="633" t="s">
        <v>1608</v>
      </c>
      <c r="B19" s="633"/>
      <c r="C19" s="633"/>
      <c r="D19" s="633"/>
      <c r="E19" s="633"/>
      <c r="F19" s="633"/>
      <c r="G19" s="633"/>
      <c r="H19" s="633"/>
      <c r="I19" s="633"/>
      <c r="J19" s="633"/>
      <c r="K19" s="633"/>
      <c r="L19" s="586"/>
      <c r="M19" s="586"/>
      <c r="N19" s="586"/>
      <c r="O19" s="586"/>
      <c r="P19" s="630"/>
    </row>
    <row r="20" spans="1:16" ht="29.25" customHeight="1" x14ac:dyDescent="0.25">
      <c r="A20" s="995" t="s">
        <v>1609</v>
      </c>
      <c r="B20" s="995"/>
      <c r="C20" s="995"/>
      <c r="D20" s="995"/>
      <c r="E20" s="995"/>
      <c r="F20" s="995"/>
      <c r="G20" s="995"/>
      <c r="H20" s="995"/>
      <c r="I20" s="995"/>
      <c r="J20" s="995"/>
      <c r="K20" s="995"/>
      <c r="L20" s="995"/>
      <c r="M20" s="995"/>
      <c r="N20" s="995"/>
      <c r="O20" s="586"/>
      <c r="P20" s="630"/>
    </row>
    <row r="21" spans="1:16" ht="15.6" customHeight="1" x14ac:dyDescent="0.25">
      <c r="A21" s="823"/>
      <c r="B21" s="634"/>
      <c r="C21" s="634"/>
      <c r="D21" s="636"/>
      <c r="E21" s="633"/>
      <c r="F21" s="633"/>
      <c r="G21" s="633"/>
      <c r="H21" s="633"/>
      <c r="I21" s="633"/>
      <c r="J21" s="633"/>
      <c r="K21" s="633"/>
      <c r="L21" s="586"/>
      <c r="M21" s="586"/>
      <c r="N21" s="586"/>
      <c r="O21" s="586"/>
      <c r="P21" s="630"/>
    </row>
    <row r="22" spans="1:16" ht="15.75" x14ac:dyDescent="0.25">
      <c r="A22" s="633" t="s">
        <v>1610</v>
      </c>
      <c r="B22" s="633"/>
      <c r="C22" s="633"/>
      <c r="D22" s="633"/>
      <c r="E22" s="633"/>
      <c r="F22" s="633"/>
      <c r="G22" s="633"/>
      <c r="H22" s="633"/>
      <c r="I22" s="633"/>
      <c r="J22" s="633"/>
      <c r="K22" s="633"/>
      <c r="L22" s="586"/>
      <c r="M22" s="586"/>
      <c r="N22" s="586"/>
      <c r="O22" s="586"/>
      <c r="P22" s="630"/>
    </row>
    <row r="23" spans="1:16" ht="15.75" x14ac:dyDescent="0.25">
      <c r="A23" s="633"/>
      <c r="B23" s="633"/>
      <c r="C23" s="633"/>
      <c r="D23" s="633"/>
      <c r="E23" s="633"/>
      <c r="F23" s="633"/>
      <c r="G23" s="633"/>
      <c r="H23" s="633"/>
      <c r="I23" s="633"/>
      <c r="J23" s="633"/>
      <c r="K23" s="633"/>
      <c r="L23" s="586"/>
      <c r="M23" s="586"/>
      <c r="N23" s="586"/>
      <c r="O23" s="586"/>
      <c r="P23" s="630"/>
    </row>
    <row r="24" spans="1:16" ht="15.75" x14ac:dyDescent="0.25">
      <c r="A24" s="633" t="s">
        <v>1611</v>
      </c>
      <c r="B24" s="633"/>
      <c r="C24" s="633"/>
      <c r="D24" s="633"/>
      <c r="E24" s="633"/>
      <c r="F24" s="633"/>
      <c r="G24" s="633"/>
      <c r="H24" s="633"/>
      <c r="I24" s="633"/>
      <c r="J24" s="633"/>
      <c r="K24" s="633"/>
      <c r="L24" s="586"/>
      <c r="M24" s="586"/>
      <c r="N24" s="586"/>
      <c r="O24" s="586"/>
      <c r="P24" s="630"/>
    </row>
    <row r="25" spans="1:16" ht="15.75" x14ac:dyDescent="0.25">
      <c r="A25" s="633" t="s">
        <v>1612</v>
      </c>
      <c r="B25" s="633"/>
      <c r="C25" s="633"/>
      <c r="D25" s="633"/>
      <c r="E25" s="633"/>
      <c r="F25" s="633"/>
      <c r="G25" s="633"/>
      <c r="H25" s="633"/>
      <c r="I25" s="633"/>
      <c r="J25" s="633"/>
      <c r="K25" s="633"/>
      <c r="L25" s="586"/>
      <c r="M25" s="586"/>
      <c r="N25" s="586"/>
      <c r="O25" s="586"/>
      <c r="P25" s="630"/>
    </row>
    <row r="26" spans="1:16" ht="15.75" x14ac:dyDescent="0.25">
      <c r="A26" s="633"/>
      <c r="B26" s="633"/>
      <c r="C26" s="633"/>
      <c r="D26" s="633"/>
      <c r="E26" s="633"/>
      <c r="F26" s="633"/>
      <c r="G26" s="633"/>
      <c r="H26" s="633"/>
      <c r="I26" s="633"/>
      <c r="J26" s="633"/>
      <c r="K26" s="633"/>
      <c r="L26" s="586"/>
      <c r="M26" s="586"/>
      <c r="N26" s="586"/>
      <c r="O26" s="586"/>
      <c r="P26" s="630"/>
    </row>
    <row r="27" spans="1:16" ht="15.75" x14ac:dyDescent="0.25">
      <c r="A27" s="586" t="s">
        <v>1613</v>
      </c>
      <c r="B27" s="586"/>
      <c r="C27" s="586"/>
      <c r="D27" s="586"/>
      <c r="E27" s="586"/>
      <c r="F27" s="586"/>
      <c r="G27" s="633"/>
      <c r="H27" s="637"/>
      <c r="I27" s="637"/>
      <c r="J27" s="637"/>
      <c r="K27" s="637"/>
      <c r="L27" s="637"/>
      <c r="O27" s="638"/>
      <c r="P27" s="630"/>
    </row>
    <row r="28" spans="1:16" ht="15.75" x14ac:dyDescent="0.25">
      <c r="A28" s="586"/>
      <c r="B28" s="586"/>
      <c r="C28" s="586"/>
      <c r="D28" s="586"/>
      <c r="E28" s="586"/>
      <c r="F28" s="586"/>
      <c r="G28" s="633"/>
      <c r="H28" s="639" t="s">
        <v>1614</v>
      </c>
      <c r="I28" s="639"/>
      <c r="J28" s="639"/>
      <c r="K28" s="586"/>
      <c r="L28" s="586"/>
      <c r="O28" s="586"/>
      <c r="P28" s="630"/>
    </row>
  </sheetData>
  <mergeCells count="7">
    <mergeCell ref="A20:N20"/>
    <mergeCell ref="A1:O1"/>
    <mergeCell ref="A2:O2"/>
    <mergeCell ref="A6:F6"/>
    <mergeCell ref="A7:O7"/>
    <mergeCell ref="A17:L17"/>
    <mergeCell ref="A18:L18"/>
  </mergeCells>
  <pageMargins left="0.7" right="0.7" top="0.75" bottom="0.75" header="0.3" footer="0.3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view="pageBreakPreview" zoomScaleNormal="100" zoomScaleSheetLayoutView="100" workbookViewId="0">
      <selection activeCell="H23" sqref="H23"/>
    </sheetView>
  </sheetViews>
  <sheetFormatPr defaultRowHeight="15" x14ac:dyDescent="0.25"/>
  <cols>
    <col min="1" max="1" width="5.42578125" style="559" customWidth="1"/>
    <col min="2" max="2" width="52.42578125" style="559" customWidth="1"/>
    <col min="3" max="3" width="16.140625" style="559" customWidth="1"/>
    <col min="4" max="4" width="18" style="559" customWidth="1"/>
    <col min="5" max="5" width="16.140625" style="559" customWidth="1"/>
    <col min="6" max="6" width="15.42578125" style="559" customWidth="1"/>
    <col min="7" max="7" width="12.42578125" style="559" bestFit="1" customWidth="1"/>
    <col min="8" max="8" width="15.42578125" style="559" customWidth="1"/>
    <col min="9" max="9" width="9.140625" style="559"/>
    <col min="10" max="10" width="11.7109375" style="559" bestFit="1" customWidth="1"/>
    <col min="11" max="11" width="9.140625" style="559"/>
    <col min="12" max="12" width="12" style="559" bestFit="1" customWidth="1"/>
    <col min="13" max="13" width="12.42578125" style="559" bestFit="1" customWidth="1"/>
    <col min="14" max="15" width="9.140625" style="559"/>
    <col min="16" max="16" width="9.85546875" style="559" bestFit="1" customWidth="1"/>
    <col min="17" max="16384" width="9.140625" style="559"/>
  </cols>
  <sheetData>
    <row r="1" spans="1:19" ht="15.75" x14ac:dyDescent="0.25">
      <c r="A1" s="1001" t="s">
        <v>1501</v>
      </c>
      <c r="B1" s="1001"/>
      <c r="C1" s="1001"/>
      <c r="D1" s="1001"/>
      <c r="E1" s="1001"/>
    </row>
    <row r="2" spans="1:19" ht="24.6" customHeight="1" x14ac:dyDescent="0.25">
      <c r="A2" s="1001" t="s">
        <v>1502</v>
      </c>
      <c r="B2" s="1001"/>
      <c r="C2" s="1001"/>
      <c r="D2" s="1001"/>
      <c r="E2" s="1001"/>
    </row>
    <row r="3" spans="1:19" ht="15.75" x14ac:dyDescent="0.25">
      <c r="A3" s="1002" t="str">
        <f>НМЦК!B2</f>
        <v>«Благоустройство туристической деревни поляна Азау и прилегающей территории»</v>
      </c>
      <c r="B3" s="1003"/>
      <c r="C3" s="1003"/>
      <c r="D3" s="1003"/>
      <c r="E3" s="1003"/>
    </row>
    <row r="4" spans="1:19" ht="15.75" x14ac:dyDescent="0.25">
      <c r="A4" s="560"/>
      <c r="B4" s="561"/>
      <c r="C4" s="561"/>
      <c r="D4" s="561"/>
      <c r="E4" s="561"/>
    </row>
    <row r="5" spans="1:19" ht="32.25" customHeight="1" x14ac:dyDescent="0.25">
      <c r="A5" s="562" t="s">
        <v>1503</v>
      </c>
      <c r="B5" s="562"/>
      <c r="C5" s="604">
        <f>ROUNDUP((C7-C6)/30.5,1)</f>
        <v>8.9</v>
      </c>
      <c r="D5" s="603" t="s">
        <v>1224</v>
      </c>
      <c r="E5" s="562"/>
    </row>
    <row r="6" spans="1:19" ht="15.75" x14ac:dyDescent="0.25">
      <c r="A6" s="562" t="s">
        <v>1150</v>
      </c>
      <c r="B6" s="562"/>
      <c r="C6" s="825">
        <v>45078</v>
      </c>
      <c r="D6" s="603"/>
      <c r="E6" s="562"/>
    </row>
    <row r="7" spans="1:19" ht="15.75" x14ac:dyDescent="0.25">
      <c r="A7" s="562" t="s">
        <v>1151</v>
      </c>
      <c r="B7" s="562"/>
      <c r="C7" s="825">
        <f>'График работ'!D42</f>
        <v>45347</v>
      </c>
      <c r="D7" s="603"/>
      <c r="E7" s="562"/>
    </row>
    <row r="8" spans="1:19" ht="15.75" x14ac:dyDescent="0.25">
      <c r="A8" s="562"/>
      <c r="B8" s="563"/>
      <c r="C8" s="563"/>
      <c r="D8" s="563"/>
      <c r="E8" s="563"/>
    </row>
    <row r="9" spans="1:19" ht="15.75" customHeight="1" x14ac:dyDescent="0.25">
      <c r="A9" s="1004" t="s">
        <v>1504</v>
      </c>
      <c r="B9" s="1004" t="s">
        <v>1505</v>
      </c>
      <c r="C9" s="1004" t="s">
        <v>1506</v>
      </c>
      <c r="D9" s="1004"/>
      <c r="E9" s="1004"/>
    </row>
    <row r="10" spans="1:19" ht="15.75" customHeight="1" x14ac:dyDescent="0.25">
      <c r="A10" s="1004"/>
      <c r="B10" s="1004"/>
      <c r="C10" s="1004"/>
      <c r="D10" s="1004"/>
      <c r="E10" s="1004"/>
    </row>
    <row r="11" spans="1:19" ht="15.75" x14ac:dyDescent="0.25">
      <c r="A11" s="1004"/>
      <c r="B11" s="1004"/>
      <c r="C11" s="564" t="s">
        <v>1507</v>
      </c>
      <c r="D11" s="564" t="s">
        <v>1508</v>
      </c>
      <c r="E11" s="564" t="s">
        <v>1509</v>
      </c>
    </row>
    <row r="12" spans="1:19" ht="30" customHeight="1" x14ac:dyDescent="0.25">
      <c r="A12" s="564">
        <v>1</v>
      </c>
      <c r="B12" s="564">
        <v>2</v>
      </c>
      <c r="C12" s="564">
        <v>3</v>
      </c>
      <c r="D12" s="564">
        <v>4</v>
      </c>
      <c r="E12" s="564">
        <v>5</v>
      </c>
      <c r="F12" s="565"/>
      <c r="G12" s="566"/>
    </row>
    <row r="13" spans="1:19" ht="54.75" customHeight="1" x14ac:dyDescent="0.25">
      <c r="A13" s="567">
        <v>1</v>
      </c>
      <c r="B13" s="568" t="str">
        <f>НМЦК!A14</f>
        <v>Подготовка эскизных вариантов общих композиционных, планировочных, архитектурных решений</v>
      </c>
      <c r="C13" s="946">
        <f>НМЦК!F14</f>
        <v>8333333.3300000001</v>
      </c>
      <c r="D13" s="569">
        <f>C13*0.2</f>
        <v>1666666.6660000002</v>
      </c>
      <c r="E13" s="569">
        <f>C13+D13</f>
        <v>9999999.9959999993</v>
      </c>
      <c r="F13" s="583"/>
      <c r="G13" s="570"/>
      <c r="H13" s="797"/>
      <c r="I13" s="953"/>
      <c r="J13" s="953"/>
      <c r="K13" s="953"/>
      <c r="L13" s="571"/>
      <c r="M13" s="572"/>
      <c r="N13" s="573"/>
      <c r="O13" s="573"/>
      <c r="P13" s="573"/>
      <c r="Q13" s="573"/>
      <c r="R13" s="573"/>
      <c r="S13" s="573"/>
    </row>
    <row r="14" spans="1:19" ht="42" customHeight="1" x14ac:dyDescent="0.25">
      <c r="A14" s="567">
        <v>2</v>
      </c>
      <c r="B14" s="568" t="s">
        <v>1510</v>
      </c>
      <c r="C14" s="946">
        <f>НМЦК!F15+НМЦК!F19</f>
        <v>11765135.800000001</v>
      </c>
      <c r="D14" s="569">
        <f t="shared" ref="D14:D15" si="0">C14*0.2</f>
        <v>2353027.16</v>
      </c>
      <c r="E14" s="569">
        <f t="shared" ref="E14:E15" si="1">C14+D14</f>
        <v>14118162.960000001</v>
      </c>
      <c r="G14" s="570"/>
      <c r="H14" s="1000"/>
      <c r="I14" s="1000"/>
      <c r="J14" s="1000"/>
      <c r="K14" s="1000"/>
      <c r="L14" s="571"/>
      <c r="M14" s="572"/>
      <c r="N14" s="573"/>
      <c r="O14" s="573"/>
      <c r="P14" s="573"/>
      <c r="Q14" s="573"/>
      <c r="R14" s="573"/>
      <c r="S14" s="573"/>
    </row>
    <row r="15" spans="1:19" ht="44.25" customHeight="1" x14ac:dyDescent="0.25">
      <c r="A15" s="567">
        <v>3</v>
      </c>
      <c r="B15" s="568" t="s">
        <v>1511</v>
      </c>
      <c r="C15" s="947">
        <f>НМЦК!F16+НМЦК!F20</f>
        <v>37102125.659999996</v>
      </c>
      <c r="D15" s="569">
        <f t="shared" si="0"/>
        <v>7420425.1319999993</v>
      </c>
      <c r="E15" s="569">
        <f t="shared" si="1"/>
        <v>44522550.791999996</v>
      </c>
      <c r="L15" s="573"/>
      <c r="M15" s="573"/>
      <c r="N15" s="573"/>
      <c r="O15" s="573"/>
      <c r="P15" s="573"/>
      <c r="Q15" s="573"/>
      <c r="R15" s="573"/>
      <c r="S15" s="573"/>
    </row>
    <row r="16" spans="1:19" ht="35.25" customHeight="1" x14ac:dyDescent="0.25">
      <c r="A16" s="574"/>
      <c r="B16" s="574" t="s">
        <v>1512</v>
      </c>
      <c r="C16" s="948">
        <f>ROUND(C13+C14+C15,0)</f>
        <v>57200595</v>
      </c>
      <c r="D16" s="575">
        <f>D13+D14+D15</f>
        <v>11440118.958000001</v>
      </c>
      <c r="E16" s="575">
        <f>E13+E14+E15</f>
        <v>68640713.747999996</v>
      </c>
      <c r="J16" s="570"/>
      <c r="L16" s="570"/>
      <c r="M16" s="576"/>
      <c r="P16" s="570"/>
    </row>
    <row r="17" spans="1:8" ht="31.5" x14ac:dyDescent="0.25">
      <c r="A17" s="577"/>
      <c r="B17" s="578" t="s">
        <v>1513</v>
      </c>
      <c r="C17" s="949">
        <f>НМЦК!F21-НМЦК!D21</f>
        <v>1509270.7899999991</v>
      </c>
      <c r="D17" s="579">
        <f>C17*0.2</f>
        <v>301854.15799999982</v>
      </c>
      <c r="E17" s="579">
        <f>C17+D17</f>
        <v>1811124.9479999989</v>
      </c>
      <c r="G17" s="570"/>
      <c r="H17" s="570"/>
    </row>
    <row r="18" spans="1:8" ht="15.75" x14ac:dyDescent="0.25">
      <c r="A18" s="580"/>
      <c r="B18" s="581"/>
      <c r="C18" s="950"/>
      <c r="D18" s="582"/>
      <c r="E18" s="582" t="s">
        <v>1514</v>
      </c>
      <c r="F18" s="583"/>
    </row>
    <row r="19" spans="1:8" ht="15.75" x14ac:dyDescent="0.25">
      <c r="A19" s="563"/>
      <c r="B19" s="563"/>
      <c r="C19" s="951"/>
      <c r="D19" s="584"/>
      <c r="E19" s="584"/>
      <c r="F19" s="585"/>
    </row>
    <row r="20" spans="1:8" ht="15.75" x14ac:dyDescent="0.25">
      <c r="A20" s="563"/>
      <c r="B20" s="586" t="s">
        <v>1515</v>
      </c>
      <c r="C20" s="952">
        <f>НМЦК!G19+НМЦК!G20</f>
        <v>1796495.4389</v>
      </c>
      <c r="D20" s="587">
        <f>C20*0.2</f>
        <v>359299.08778</v>
      </c>
      <c r="E20" s="587">
        <f>C20+D20</f>
        <v>2155794.5266800001</v>
      </c>
    </row>
  </sheetData>
  <mergeCells count="7">
    <mergeCell ref="H14:K14"/>
    <mergeCell ref="A1:E1"/>
    <mergeCell ref="A2:E2"/>
    <mergeCell ref="A3:E3"/>
    <mergeCell ref="A9:A11"/>
    <mergeCell ref="B9:B11"/>
    <mergeCell ref="C9:E10"/>
  </mergeCells>
  <pageMargins left="0.7" right="0.7" top="0.75" bottom="0.75" header="0.3" footer="0.3"/>
  <pageSetup paperSize="9" scale="8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view="pageBreakPreview" topLeftCell="A13" zoomScale="85" zoomScaleNormal="100" zoomScaleSheetLayoutView="85" workbookViewId="0">
      <selection activeCell="O25" sqref="O25"/>
    </sheetView>
  </sheetViews>
  <sheetFormatPr defaultRowHeight="15" x14ac:dyDescent="0.25"/>
  <cols>
    <col min="1" max="1" width="47.7109375" style="559" customWidth="1"/>
    <col min="2" max="2" width="25.140625" style="559" customWidth="1"/>
    <col min="3" max="3" width="18.85546875" style="559" customWidth="1"/>
    <col min="4" max="4" width="25.85546875" style="559" customWidth="1"/>
    <col min="5" max="5" width="20.42578125" style="559" customWidth="1"/>
    <col min="6" max="6" width="24.28515625" style="559" customWidth="1"/>
    <col min="7" max="7" width="26.7109375" style="559" hidden="1" customWidth="1"/>
    <col min="8" max="8" width="12.140625" style="559" customWidth="1"/>
    <col min="9" max="9" width="9.140625" style="559"/>
    <col min="10" max="10" width="11.7109375" style="559" customWidth="1"/>
    <col min="11" max="16384" width="9.140625" style="559"/>
  </cols>
  <sheetData>
    <row r="1" spans="1:7" ht="37.5" customHeight="1" x14ac:dyDescent="0.25">
      <c r="A1" s="1005" t="s">
        <v>1516</v>
      </c>
      <c r="B1" s="1005"/>
      <c r="C1" s="1005"/>
      <c r="D1" s="1005"/>
      <c r="E1" s="1005"/>
      <c r="F1" s="1005"/>
      <c r="G1" s="1005"/>
    </row>
    <row r="2" spans="1:7" ht="39" customHeight="1" x14ac:dyDescent="0.25">
      <c r="A2" s="588" t="s">
        <v>1517</v>
      </c>
      <c r="B2" s="1006" t="s">
        <v>1180</v>
      </c>
      <c r="C2" s="1007"/>
      <c r="D2" s="1007"/>
      <c r="E2" s="1007"/>
      <c r="F2" s="1007"/>
      <c r="G2" s="1007"/>
    </row>
    <row r="3" spans="1:7" ht="27" customHeight="1" x14ac:dyDescent="0.25">
      <c r="A3" s="588" t="s">
        <v>1518</v>
      </c>
      <c r="B3" s="1008" t="s">
        <v>1519</v>
      </c>
      <c r="C3" s="1008"/>
      <c r="D3" s="1008"/>
      <c r="E3" s="1008"/>
      <c r="F3" s="1008"/>
      <c r="G3" s="1008"/>
    </row>
    <row r="4" spans="1:7" ht="15.75" x14ac:dyDescent="0.25">
      <c r="A4" s="563"/>
      <c r="B4" s="563"/>
      <c r="C4" s="563"/>
      <c r="D4" s="563"/>
      <c r="E4" s="563"/>
      <c r="F4" s="563"/>
      <c r="G4" s="563"/>
    </row>
    <row r="5" spans="1:7" ht="15.75" x14ac:dyDescent="0.25">
      <c r="A5" s="589" t="s">
        <v>1520</v>
      </c>
      <c r="B5" s="563"/>
      <c r="C5" s="563"/>
      <c r="D5" s="563"/>
      <c r="E5" s="563"/>
      <c r="F5" s="563"/>
      <c r="G5" s="563"/>
    </row>
    <row r="6" spans="1:7" ht="15.75" x14ac:dyDescent="0.25">
      <c r="A6" s="1009"/>
      <c r="B6" s="1009"/>
      <c r="C6" s="1009"/>
      <c r="D6" s="1009"/>
      <c r="E6" s="1009"/>
      <c r="F6" s="1009"/>
      <c r="G6" s="1009"/>
    </row>
    <row r="7" spans="1:7" ht="15.75" x14ac:dyDescent="0.25">
      <c r="A7" s="589" t="s">
        <v>1521</v>
      </c>
      <c r="B7" s="584"/>
      <c r="C7" s="584"/>
      <c r="D7" s="563"/>
      <c r="E7" s="563"/>
      <c r="F7" s="563"/>
      <c r="G7" s="563"/>
    </row>
    <row r="8" spans="1:7" ht="15.75" x14ac:dyDescent="0.25">
      <c r="A8" s="589" t="s">
        <v>1522</v>
      </c>
      <c r="B8" s="589"/>
      <c r="C8" s="589"/>
      <c r="D8" s="589"/>
      <c r="E8" s="589"/>
      <c r="F8" s="589"/>
      <c r="G8" s="589"/>
    </row>
    <row r="9" spans="1:7" ht="14.25" customHeight="1" x14ac:dyDescent="0.25">
      <c r="A9" s="590" t="s">
        <v>1538</v>
      </c>
      <c r="B9" s="826">
        <f>НМЦ!C5</f>
        <v>8.9</v>
      </c>
      <c r="C9" s="1009" t="s">
        <v>1224</v>
      </c>
      <c r="D9" s="1009"/>
      <c r="E9" s="1009"/>
      <c r="F9" s="1009"/>
      <c r="G9" s="563"/>
    </row>
    <row r="10" spans="1:7" ht="15.75" x14ac:dyDescent="0.25">
      <c r="A10" s="563"/>
      <c r="B10" s="563"/>
      <c r="C10" s="563"/>
      <c r="D10" s="563"/>
      <c r="E10" s="563"/>
      <c r="F10" s="563"/>
      <c r="G10" s="591" t="s">
        <v>1209</v>
      </c>
    </row>
    <row r="11" spans="1:7" ht="131.25" customHeight="1" x14ac:dyDescent="0.25">
      <c r="A11" s="1010" t="s">
        <v>1523</v>
      </c>
      <c r="B11" s="1012" t="s">
        <v>1558</v>
      </c>
      <c r="C11" s="1012" t="s">
        <v>1524</v>
      </c>
      <c r="D11" s="1012" t="s">
        <v>1539</v>
      </c>
      <c r="E11" s="1012" t="s">
        <v>1525</v>
      </c>
      <c r="F11" s="1012" t="s">
        <v>1526</v>
      </c>
      <c r="G11" s="605" t="s">
        <v>1540</v>
      </c>
    </row>
    <row r="12" spans="1:7" ht="21.75" customHeight="1" x14ac:dyDescent="0.25">
      <c r="A12" s="1011"/>
      <c r="B12" s="1013"/>
      <c r="C12" s="1013"/>
      <c r="D12" s="1013"/>
      <c r="E12" s="1013"/>
      <c r="F12" s="1013"/>
      <c r="G12" s="606">
        <v>0.01</v>
      </c>
    </row>
    <row r="13" spans="1:7" ht="15.75" x14ac:dyDescent="0.25">
      <c r="A13" s="607">
        <v>1</v>
      </c>
      <c r="B13" s="608">
        <v>2</v>
      </c>
      <c r="C13" s="607">
        <v>3</v>
      </c>
      <c r="D13" s="607">
        <v>4</v>
      </c>
      <c r="E13" s="607">
        <v>5</v>
      </c>
      <c r="F13" s="607">
        <v>6</v>
      </c>
      <c r="G13" s="609">
        <v>7</v>
      </c>
    </row>
    <row r="14" spans="1:7" ht="47.25" x14ac:dyDescent="0.25">
      <c r="A14" s="592" t="s">
        <v>2428</v>
      </c>
      <c r="B14" s="593">
        <f>10000000/1.2</f>
        <v>8333333.333333334</v>
      </c>
      <c r="C14" s="594">
        <v>1</v>
      </c>
      <c r="D14" s="593">
        <f>B14*C14</f>
        <v>8333333.333333334</v>
      </c>
      <c r="E14" s="610">
        <v>1</v>
      </c>
      <c r="F14" s="593">
        <f>ROUND(D14*E14,2)</f>
        <v>8333333.3300000001</v>
      </c>
      <c r="G14" s="609"/>
    </row>
    <row r="15" spans="1:7" ht="15.75" x14ac:dyDescent="0.25">
      <c r="A15" s="592" t="s">
        <v>1527</v>
      </c>
      <c r="B15" s="593">
        <f>'Cводная смета ПИР'!G19</f>
        <v>10365243.9</v>
      </c>
      <c r="C15" s="594">
        <v>1</v>
      </c>
      <c r="D15" s="593">
        <f t="shared" ref="D15:D18" si="0">B15*C15</f>
        <v>10365243.9</v>
      </c>
      <c r="E15" s="610">
        <f>$F$41</f>
        <v>1.0318694223340537</v>
      </c>
      <c r="F15" s="593">
        <f>ROUND(D15*E15,0)</f>
        <v>10695578</v>
      </c>
      <c r="G15" s="595">
        <f t="shared" ref="G15:G18" si="1">D15+(F15-D15)*(1-$G$12)</f>
        <v>10692274.659</v>
      </c>
    </row>
    <row r="16" spans="1:7" ht="19.5" customHeight="1" x14ac:dyDescent="0.25">
      <c r="A16" s="596" t="s">
        <v>1528</v>
      </c>
      <c r="B16" s="593">
        <f>'Cводная смета ПИР'!G32</f>
        <v>35251198</v>
      </c>
      <c r="C16" s="594">
        <v>1</v>
      </c>
      <c r="D16" s="593">
        <f t="shared" si="0"/>
        <v>35251198</v>
      </c>
      <c r="E16" s="610">
        <f>$F$41</f>
        <v>1.0318694223340537</v>
      </c>
      <c r="F16" s="593">
        <f>ROUND(D16*E16,0)</f>
        <v>36374633</v>
      </c>
      <c r="G16" s="595">
        <f t="shared" si="1"/>
        <v>36363398.649999999</v>
      </c>
    </row>
    <row r="17" spans="1:9" ht="15.75" hidden="1" x14ac:dyDescent="0.25">
      <c r="A17" s="596" t="s">
        <v>1529</v>
      </c>
      <c r="B17" s="593"/>
      <c r="C17" s="594">
        <v>1</v>
      </c>
      <c r="D17" s="593">
        <f t="shared" si="0"/>
        <v>0</v>
      </c>
      <c r="E17" s="610">
        <v>1</v>
      </c>
      <c r="F17" s="593">
        <f>D17*E17</f>
        <v>0</v>
      </c>
      <c r="G17" s="595">
        <f t="shared" si="1"/>
        <v>0</v>
      </c>
    </row>
    <row r="18" spans="1:9" ht="19.5" hidden="1" customHeight="1" x14ac:dyDescent="0.25">
      <c r="A18" s="596" t="s">
        <v>1541</v>
      </c>
      <c r="B18" s="827"/>
      <c r="C18" s="594">
        <v>1</v>
      </c>
      <c r="D18" s="593">
        <f t="shared" si="0"/>
        <v>0</v>
      </c>
      <c r="E18" s="610">
        <v>1</v>
      </c>
      <c r="F18" s="593">
        <f>D18*E18</f>
        <v>0</v>
      </c>
      <c r="G18" s="595">
        <f t="shared" si="1"/>
        <v>0</v>
      </c>
    </row>
    <row r="19" spans="1:9" ht="31.5" x14ac:dyDescent="0.25">
      <c r="A19" s="592" t="s">
        <v>1542</v>
      </c>
      <c r="B19" s="593">
        <f>B15*10%</f>
        <v>1036524.3900000001</v>
      </c>
      <c r="C19" s="597">
        <v>1</v>
      </c>
      <c r="D19" s="593">
        <f>B19*C19</f>
        <v>1036524.3900000001</v>
      </c>
      <c r="E19" s="610"/>
      <c r="F19" s="593">
        <f>F15*10%</f>
        <v>1069557.8</v>
      </c>
      <c r="G19" s="595">
        <f>D19+(F19-D19)*(1-$G$12)</f>
        <v>1069227.4659</v>
      </c>
    </row>
    <row r="20" spans="1:9" ht="36" customHeight="1" x14ac:dyDescent="0.25">
      <c r="A20" s="592" t="s">
        <v>2429</v>
      </c>
      <c r="B20" s="593">
        <f>(B16)*0.02</f>
        <v>705023.96</v>
      </c>
      <c r="C20" s="594"/>
      <c r="D20" s="593">
        <f>(D16)*0.02</f>
        <v>705023.96</v>
      </c>
      <c r="E20" s="610"/>
      <c r="F20" s="593">
        <f>(F16)*0.02</f>
        <v>727492.66</v>
      </c>
      <c r="G20" s="595">
        <f>D20+(F20-D20)*(1-$G$12)</f>
        <v>727267.973</v>
      </c>
    </row>
    <row r="21" spans="1:9" ht="15.75" x14ac:dyDescent="0.25">
      <c r="A21" s="596" t="s">
        <v>1530</v>
      </c>
      <c r="B21" s="593">
        <f>ROUND(SUM(B14:B20),0)</f>
        <v>55691324</v>
      </c>
      <c r="C21" s="594"/>
      <c r="D21" s="593">
        <f>ROUND(SUM(D14:D20),0)</f>
        <v>55691324</v>
      </c>
      <c r="E21" s="610"/>
      <c r="F21" s="593">
        <f>ROUND(SUM(F14:F20),2)</f>
        <v>57200594.789999999</v>
      </c>
      <c r="G21" s="593">
        <f>SUM(G15:G20)</f>
        <v>48852168.747899994</v>
      </c>
    </row>
    <row r="22" spans="1:9" ht="15.75" x14ac:dyDescent="0.25">
      <c r="A22" s="596" t="s">
        <v>1531</v>
      </c>
      <c r="B22" s="598">
        <f>B21*0.2</f>
        <v>11138264.800000001</v>
      </c>
      <c r="C22" s="594"/>
      <c r="D22" s="598">
        <f>D21*0.2</f>
        <v>11138264.800000001</v>
      </c>
      <c r="E22" s="610"/>
      <c r="F22" s="598">
        <f>F21*0.2</f>
        <v>11440118.958000001</v>
      </c>
      <c r="G22" s="599">
        <f>G21*0.2</f>
        <v>9770433.7495799996</v>
      </c>
    </row>
    <row r="23" spans="1:9" ht="15.75" x14ac:dyDescent="0.25">
      <c r="A23" s="596" t="s">
        <v>1532</v>
      </c>
      <c r="B23" s="598">
        <f>B21+B22</f>
        <v>66829588.799999997</v>
      </c>
      <c r="C23" s="594"/>
      <c r="D23" s="598">
        <f>D21+D22</f>
        <v>66829588.799999997</v>
      </c>
      <c r="E23" s="610"/>
      <c r="F23" s="598">
        <f>F21+F22</f>
        <v>68640713.747999996</v>
      </c>
      <c r="G23" s="599">
        <f>G21+G22</f>
        <v>58622602.49747999</v>
      </c>
    </row>
    <row r="24" spans="1:9" ht="15.75" x14ac:dyDescent="0.25">
      <c r="A24" s="600"/>
      <c r="B24" s="601"/>
      <c r="C24" s="601"/>
      <c r="D24" s="601"/>
      <c r="E24" s="601"/>
      <c r="F24" s="601"/>
      <c r="G24" s="563"/>
    </row>
    <row r="25" spans="1:9" ht="36" customHeight="1" x14ac:dyDescent="0.25">
      <c r="A25" s="1015" t="s">
        <v>1533</v>
      </c>
      <c r="B25" s="1015"/>
      <c r="C25" s="611">
        <v>1</v>
      </c>
      <c r="D25" s="589"/>
      <c r="E25" s="589"/>
      <c r="F25" s="589"/>
      <c r="G25" s="584"/>
    </row>
    <row r="26" spans="1:9" ht="23.45" customHeight="1" x14ac:dyDescent="0.25">
      <c r="A26" s="612"/>
      <c r="B26" s="612"/>
      <c r="C26" s="612"/>
      <c r="D26" s="612"/>
      <c r="E26" s="612"/>
      <c r="F26" s="612"/>
      <c r="G26" s="584"/>
    </row>
    <row r="27" spans="1:9" ht="15.75" x14ac:dyDescent="0.25">
      <c r="A27" s="1016" t="s">
        <v>1535</v>
      </c>
      <c r="B27" s="1016"/>
      <c r="C27" s="1016"/>
      <c r="D27" s="1016"/>
      <c r="E27" s="584"/>
      <c r="F27" s="584"/>
      <c r="G27" s="584"/>
    </row>
    <row r="29" spans="1:9" x14ac:dyDescent="0.25">
      <c r="A29" s="1017" t="s">
        <v>1543</v>
      </c>
      <c r="B29" s="1017"/>
      <c r="C29" s="1017"/>
      <c r="D29" s="1017"/>
      <c r="E29" s="1017"/>
      <c r="F29" s="940">
        <v>45017</v>
      </c>
    </row>
    <row r="30" spans="1:9" ht="15.75" x14ac:dyDescent="0.25">
      <c r="A30" s="1018" t="s">
        <v>1544</v>
      </c>
      <c r="B30" s="1019"/>
      <c r="C30" s="1019"/>
      <c r="D30" s="1019"/>
      <c r="E30" s="1020"/>
      <c r="F30" s="941">
        <f>ROUNDUP((F32-F31)/30.5,1)</f>
        <v>8.9</v>
      </c>
    </row>
    <row r="31" spans="1:9" ht="15.75" x14ac:dyDescent="0.25">
      <c r="A31" s="1018" t="s">
        <v>1536</v>
      </c>
      <c r="B31" s="1019"/>
      <c r="C31" s="1019"/>
      <c r="D31" s="1019"/>
      <c r="E31" s="1020"/>
      <c r="F31" s="940">
        <f>НМЦ!C6</f>
        <v>45078</v>
      </c>
      <c r="H31" s="618">
        <v>45291</v>
      </c>
      <c r="I31" s="559" t="s">
        <v>1545</v>
      </c>
    </row>
    <row r="32" spans="1:9" ht="15.75" x14ac:dyDescent="0.25">
      <c r="A32" s="1018" t="s">
        <v>1537</v>
      </c>
      <c r="B32" s="1019"/>
      <c r="C32" s="1019"/>
      <c r="D32" s="1019"/>
      <c r="E32" s="1020"/>
      <c r="F32" s="940">
        <f>НМЦ!C7</f>
        <v>45347</v>
      </c>
      <c r="H32" s="618">
        <v>45292</v>
      </c>
      <c r="I32" s="559" t="s">
        <v>1546</v>
      </c>
    </row>
    <row r="33" spans="1:7" ht="15.75" x14ac:dyDescent="0.25">
      <c r="A33" s="1021" t="s">
        <v>1547</v>
      </c>
      <c r="B33" s="1021"/>
      <c r="C33" s="1021"/>
      <c r="D33" s="1021"/>
      <c r="E33" s="1021"/>
      <c r="F33" s="942">
        <f>(H31-F31)/30.5/F30</f>
        <v>0.78467489408730884</v>
      </c>
    </row>
    <row r="34" spans="1:7" ht="15.75" x14ac:dyDescent="0.25">
      <c r="A34" s="1022" t="s">
        <v>1552</v>
      </c>
      <c r="B34" s="1022"/>
      <c r="C34" s="1022"/>
      <c r="D34" s="1022"/>
      <c r="E34" s="1022"/>
      <c r="F34" s="942">
        <f>1-F33</f>
        <v>0.21532510591269116</v>
      </c>
    </row>
    <row r="35" spans="1:7" ht="35.25" customHeight="1" x14ac:dyDescent="0.25">
      <c r="A35" s="1023" t="s">
        <v>1556</v>
      </c>
      <c r="B35" s="1024"/>
      <c r="C35" s="1024"/>
      <c r="D35" s="1024"/>
      <c r="E35" s="1025"/>
      <c r="F35" s="943">
        <f>Дефляторы!D91/100</f>
        <v>1.0590000000000002</v>
      </c>
    </row>
    <row r="36" spans="1:7" ht="15.75" x14ac:dyDescent="0.25">
      <c r="A36" s="1014" t="s">
        <v>1549</v>
      </c>
      <c r="B36" s="1014"/>
      <c r="C36" s="1014"/>
      <c r="D36" s="613">
        <f>F35</f>
        <v>1.0590000000000002</v>
      </c>
      <c r="E36" s="614" t="s">
        <v>1548</v>
      </c>
      <c r="F36" s="944">
        <f>F35^(1/12)</f>
        <v>1.0047885173650881</v>
      </c>
    </row>
    <row r="37" spans="1:7" ht="33" customHeight="1" x14ac:dyDescent="0.25">
      <c r="A37" s="1026" t="s">
        <v>1555</v>
      </c>
      <c r="B37" s="1026"/>
      <c r="C37" s="1026"/>
      <c r="D37" s="1026"/>
      <c r="E37" s="1026"/>
      <c r="F37" s="945">
        <f>Дефляторы!E91/100</f>
        <v>1.0529999999999999</v>
      </c>
    </row>
    <row r="38" spans="1:7" ht="15.75" x14ac:dyDescent="0.25">
      <c r="A38" s="1014" t="s">
        <v>1553</v>
      </c>
      <c r="B38" s="1014"/>
      <c r="C38" s="1014"/>
      <c r="D38" s="613">
        <f>F37</f>
        <v>1.0529999999999999</v>
      </c>
      <c r="E38" s="614" t="s">
        <v>1548</v>
      </c>
      <c r="F38" s="615">
        <f>F37^(1/12)</f>
        <v>1.0043128765598297</v>
      </c>
    </row>
    <row r="39" spans="1:7" ht="15.75" x14ac:dyDescent="0.25">
      <c r="A39" s="616" t="s">
        <v>1550</v>
      </c>
      <c r="B39" s="616"/>
      <c r="C39" s="1027" t="str">
        <f>CONCATENATE("(",F36,"^",ROUND((F31-F29)/30.5,1),"+",F36,"^",ROUND((H31-F29)/30.5,1),")","/2")</f>
        <v>(1,00478851736509^2+1,00478851736509^9)/2</v>
      </c>
      <c r="D39" s="1028"/>
      <c r="E39" s="1029"/>
      <c r="F39" s="617">
        <f>(F36^ROUND((F31-F29)/30.5,1)+F36^ROUND((H31-F29)/30.5,1))/2</f>
        <v>1.026765693523676</v>
      </c>
    </row>
    <row r="40" spans="1:7" ht="40.5" customHeight="1" x14ac:dyDescent="0.25">
      <c r="A40" s="616" t="s">
        <v>1554</v>
      </c>
      <c r="B40" s="616"/>
      <c r="C40" s="1027" t="str">
        <f>CONCATENATE(F36,"^",ROUND((H32-F29)/30.5,1),"*","(",F38,"^1","+",F38,"^",ROUNDUP((F32-H32)/30.5,1),")","/2")</f>
        <v>1,00478851736509^9*(1,00431287655983^1+1,00431287655983^1,9)/2</v>
      </c>
      <c r="D40" s="1028"/>
      <c r="E40" s="1029"/>
      <c r="F40" s="617">
        <f>F36^ROUND((H32-F29)/30.5,1)*(F38^1+F38^ROUNDUP((F32-H32)/30.5,1))/"2"</f>
        <v>1.0504681261255064</v>
      </c>
    </row>
    <row r="41" spans="1:7" ht="34.5" customHeight="1" x14ac:dyDescent="0.25">
      <c r="A41" s="1030" t="s">
        <v>1551</v>
      </c>
      <c r="B41" s="1031"/>
      <c r="C41" s="1027" t="str">
        <f>CONCATENATE(F33,"*",F39,"+",F34,"*",F40)</f>
        <v>0,784674894087309*1,02676569352368+0,215325105912691*1,05046812612551</v>
      </c>
      <c r="D41" s="1028"/>
      <c r="E41" s="1029"/>
      <c r="F41" s="617">
        <f>F33*F39+F34*F40</f>
        <v>1.0318694223340537</v>
      </c>
    </row>
    <row r="43" spans="1:7" ht="15.75" x14ac:dyDescent="0.25">
      <c r="A43" s="602" t="s">
        <v>1534</v>
      </c>
      <c r="B43" s="602"/>
      <c r="C43" s="611"/>
      <c r="D43" s="589"/>
      <c r="E43" s="589"/>
      <c r="F43" s="589"/>
      <c r="G43" s="584"/>
    </row>
    <row r="44" spans="1:7" ht="23.45" customHeight="1" x14ac:dyDescent="0.25">
      <c r="A44" s="1009" t="s">
        <v>1557</v>
      </c>
      <c r="B44" s="1009"/>
      <c r="C44" s="1009"/>
      <c r="D44" s="1009"/>
      <c r="E44" s="1009"/>
      <c r="F44" s="1009"/>
      <c r="G44" s="584"/>
    </row>
  </sheetData>
  <mergeCells count="28">
    <mergeCell ref="C39:E39"/>
    <mergeCell ref="C40:E40"/>
    <mergeCell ref="A41:B41"/>
    <mergeCell ref="C41:E41"/>
    <mergeCell ref="A44:F44"/>
    <mergeCell ref="A38:C38"/>
    <mergeCell ref="A25:B25"/>
    <mergeCell ref="A27:D27"/>
    <mergeCell ref="A29:E29"/>
    <mergeCell ref="A30:E30"/>
    <mergeCell ref="A31:E31"/>
    <mergeCell ref="A32:E32"/>
    <mergeCell ref="A33:E33"/>
    <mergeCell ref="A34:E34"/>
    <mergeCell ref="A35:E35"/>
    <mergeCell ref="A36:C36"/>
    <mergeCell ref="A37:E37"/>
    <mergeCell ref="A1:G1"/>
    <mergeCell ref="B2:G2"/>
    <mergeCell ref="B3:G3"/>
    <mergeCell ref="A6:G6"/>
    <mergeCell ref="A11:A12"/>
    <mergeCell ref="B11:B12"/>
    <mergeCell ref="C11:C12"/>
    <mergeCell ref="D11:D12"/>
    <mergeCell ref="E11:E12"/>
    <mergeCell ref="F11:F12"/>
    <mergeCell ref="C9:F9"/>
  </mergeCells>
  <pageMargins left="0.25" right="0.25" top="0.75" bottom="0.75" header="0.3" footer="0.3"/>
  <pageSetup paperSize="9" scale="6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view="pageBreakPreview" topLeftCell="A31" zoomScale="85" zoomScaleNormal="90" zoomScaleSheetLayoutView="85" workbookViewId="0">
      <selection activeCell="E118" sqref="E118"/>
    </sheetView>
  </sheetViews>
  <sheetFormatPr defaultColWidth="8.7109375" defaultRowHeight="12.75" outlineLevelRow="1" x14ac:dyDescent="0.2"/>
  <cols>
    <col min="1" max="1" width="6.42578125" style="409" customWidth="1"/>
    <col min="2" max="2" width="46.5703125" style="409" customWidth="1"/>
    <col min="3" max="3" width="20.42578125" style="409" customWidth="1"/>
    <col min="4" max="4" width="29.85546875" style="409" customWidth="1"/>
    <col min="5" max="5" width="22.7109375" style="409" customWidth="1"/>
    <col min="6" max="6" width="14" style="409" customWidth="1"/>
    <col min="7" max="7" width="17.7109375" style="409" customWidth="1"/>
    <col min="8" max="8" width="17.140625" style="409" customWidth="1"/>
    <col min="9" max="9" width="21.7109375" style="652" customWidth="1"/>
    <col min="10" max="10" width="11.5703125" style="409" customWidth="1"/>
    <col min="11" max="11" width="14" style="409" customWidth="1"/>
    <col min="12" max="14" width="8.7109375" style="409"/>
    <col min="15" max="15" width="40" style="409" customWidth="1"/>
    <col min="16" max="224" width="8.7109375" style="409"/>
    <col min="225" max="225" width="6.42578125" style="409" customWidth="1"/>
    <col min="226" max="226" width="22.28515625" style="409" customWidth="1"/>
    <col min="227" max="227" width="11.5703125" style="409" customWidth="1"/>
    <col min="228" max="228" width="11.85546875" style="409" customWidth="1"/>
    <col min="229" max="229" width="16.5703125" style="409" customWidth="1"/>
    <col min="230" max="230" width="15.5703125" style="409" customWidth="1"/>
    <col min="231" max="231" width="18.28515625" style="409" customWidth="1"/>
    <col min="232" max="232" width="0" style="409" hidden="1" customWidth="1"/>
    <col min="233" max="233" width="4.140625" style="409" customWidth="1"/>
    <col min="234" max="234" width="1.7109375" style="409" customWidth="1"/>
    <col min="235" max="235" width="3.42578125" style="409" customWidth="1"/>
    <col min="236" max="238" width="1.7109375" style="409" customWidth="1"/>
    <col min="239" max="239" width="3" style="409" bestFit="1" customWidth="1"/>
    <col min="240" max="480" width="8.7109375" style="409"/>
    <col min="481" max="481" width="6.42578125" style="409" customWidth="1"/>
    <col min="482" max="482" width="22.28515625" style="409" customWidth="1"/>
    <col min="483" max="483" width="11.5703125" style="409" customWidth="1"/>
    <col min="484" max="484" width="11.85546875" style="409" customWidth="1"/>
    <col min="485" max="485" width="16.5703125" style="409" customWidth="1"/>
    <col min="486" max="486" width="15.5703125" style="409" customWidth="1"/>
    <col min="487" max="487" width="18.28515625" style="409" customWidth="1"/>
    <col min="488" max="488" width="0" style="409" hidden="1" customWidth="1"/>
    <col min="489" max="489" width="4.140625" style="409" customWidth="1"/>
    <col min="490" max="490" width="1.7109375" style="409" customWidth="1"/>
    <col min="491" max="491" width="3.42578125" style="409" customWidth="1"/>
    <col min="492" max="494" width="1.7109375" style="409" customWidth="1"/>
    <col min="495" max="495" width="3" style="409" bestFit="1" customWidth="1"/>
    <col min="496" max="736" width="8.7109375" style="409"/>
    <col min="737" max="737" width="6.42578125" style="409" customWidth="1"/>
    <col min="738" max="738" width="22.28515625" style="409" customWidth="1"/>
    <col min="739" max="739" width="11.5703125" style="409" customWidth="1"/>
    <col min="740" max="740" width="11.85546875" style="409" customWidth="1"/>
    <col min="741" max="741" width="16.5703125" style="409" customWidth="1"/>
    <col min="742" max="742" width="15.5703125" style="409" customWidth="1"/>
    <col min="743" max="743" width="18.28515625" style="409" customWidth="1"/>
    <col min="744" max="744" width="0" style="409" hidden="1" customWidth="1"/>
    <col min="745" max="745" width="4.140625" style="409" customWidth="1"/>
    <col min="746" max="746" width="1.7109375" style="409" customWidth="1"/>
    <col min="747" max="747" width="3.42578125" style="409" customWidth="1"/>
    <col min="748" max="750" width="1.7109375" style="409" customWidth="1"/>
    <col min="751" max="751" width="3" style="409" bestFit="1" customWidth="1"/>
    <col min="752" max="992" width="8.7109375" style="409"/>
    <col min="993" max="993" width="6.42578125" style="409" customWidth="1"/>
    <col min="994" max="994" width="22.28515625" style="409" customWidth="1"/>
    <col min="995" max="995" width="11.5703125" style="409" customWidth="1"/>
    <col min="996" max="996" width="11.85546875" style="409" customWidth="1"/>
    <col min="997" max="997" width="16.5703125" style="409" customWidth="1"/>
    <col min="998" max="998" width="15.5703125" style="409" customWidth="1"/>
    <col min="999" max="999" width="18.28515625" style="409" customWidth="1"/>
    <col min="1000" max="1000" width="0" style="409" hidden="1" customWidth="1"/>
    <col min="1001" max="1001" width="4.140625" style="409" customWidth="1"/>
    <col min="1002" max="1002" width="1.7109375" style="409" customWidth="1"/>
    <col min="1003" max="1003" width="3.42578125" style="409" customWidth="1"/>
    <col min="1004" max="1006" width="1.7109375" style="409" customWidth="1"/>
    <col min="1007" max="1007" width="3" style="409" bestFit="1" customWidth="1"/>
    <col min="1008" max="1248" width="8.7109375" style="409"/>
    <col min="1249" max="1249" width="6.42578125" style="409" customWidth="1"/>
    <col min="1250" max="1250" width="22.28515625" style="409" customWidth="1"/>
    <col min="1251" max="1251" width="11.5703125" style="409" customWidth="1"/>
    <col min="1252" max="1252" width="11.85546875" style="409" customWidth="1"/>
    <col min="1253" max="1253" width="16.5703125" style="409" customWidth="1"/>
    <col min="1254" max="1254" width="15.5703125" style="409" customWidth="1"/>
    <col min="1255" max="1255" width="18.28515625" style="409" customWidth="1"/>
    <col min="1256" max="1256" width="0" style="409" hidden="1" customWidth="1"/>
    <col min="1257" max="1257" width="4.140625" style="409" customWidth="1"/>
    <col min="1258" max="1258" width="1.7109375" style="409" customWidth="1"/>
    <col min="1259" max="1259" width="3.42578125" style="409" customWidth="1"/>
    <col min="1260" max="1262" width="1.7109375" style="409" customWidth="1"/>
    <col min="1263" max="1263" width="3" style="409" bestFit="1" customWidth="1"/>
    <col min="1264" max="1504" width="8.7109375" style="409"/>
    <col min="1505" max="1505" width="6.42578125" style="409" customWidth="1"/>
    <col min="1506" max="1506" width="22.28515625" style="409" customWidth="1"/>
    <col min="1507" max="1507" width="11.5703125" style="409" customWidth="1"/>
    <col min="1508" max="1508" width="11.85546875" style="409" customWidth="1"/>
    <col min="1509" max="1509" width="16.5703125" style="409" customWidth="1"/>
    <col min="1510" max="1510" width="15.5703125" style="409" customWidth="1"/>
    <col min="1511" max="1511" width="18.28515625" style="409" customWidth="1"/>
    <col min="1512" max="1512" width="0" style="409" hidden="1" customWidth="1"/>
    <col min="1513" max="1513" width="4.140625" style="409" customWidth="1"/>
    <col min="1514" max="1514" width="1.7109375" style="409" customWidth="1"/>
    <col min="1515" max="1515" width="3.42578125" style="409" customWidth="1"/>
    <col min="1516" max="1518" width="1.7109375" style="409" customWidth="1"/>
    <col min="1519" max="1519" width="3" style="409" bestFit="1" customWidth="1"/>
    <col min="1520" max="1760" width="8.7109375" style="409"/>
    <col min="1761" max="1761" width="6.42578125" style="409" customWidth="1"/>
    <col min="1762" max="1762" width="22.28515625" style="409" customWidth="1"/>
    <col min="1763" max="1763" width="11.5703125" style="409" customWidth="1"/>
    <col min="1764" max="1764" width="11.85546875" style="409" customWidth="1"/>
    <col min="1765" max="1765" width="16.5703125" style="409" customWidth="1"/>
    <col min="1766" max="1766" width="15.5703125" style="409" customWidth="1"/>
    <col min="1767" max="1767" width="18.28515625" style="409" customWidth="1"/>
    <col min="1768" max="1768" width="0" style="409" hidden="1" customWidth="1"/>
    <col min="1769" max="1769" width="4.140625" style="409" customWidth="1"/>
    <col min="1770" max="1770" width="1.7109375" style="409" customWidth="1"/>
    <col min="1771" max="1771" width="3.42578125" style="409" customWidth="1"/>
    <col min="1772" max="1774" width="1.7109375" style="409" customWidth="1"/>
    <col min="1775" max="1775" width="3" style="409" bestFit="1" customWidth="1"/>
    <col min="1776" max="2016" width="8.7109375" style="409"/>
    <col min="2017" max="2017" width="6.42578125" style="409" customWidth="1"/>
    <col min="2018" max="2018" width="22.28515625" style="409" customWidth="1"/>
    <col min="2019" max="2019" width="11.5703125" style="409" customWidth="1"/>
    <col min="2020" max="2020" width="11.85546875" style="409" customWidth="1"/>
    <col min="2021" max="2021" width="16.5703125" style="409" customWidth="1"/>
    <col min="2022" max="2022" width="15.5703125" style="409" customWidth="1"/>
    <col min="2023" max="2023" width="18.28515625" style="409" customWidth="1"/>
    <col min="2024" max="2024" width="0" style="409" hidden="1" customWidth="1"/>
    <col min="2025" max="2025" width="4.140625" style="409" customWidth="1"/>
    <col min="2026" max="2026" width="1.7109375" style="409" customWidth="1"/>
    <col min="2027" max="2027" width="3.42578125" style="409" customWidth="1"/>
    <col min="2028" max="2030" width="1.7109375" style="409" customWidth="1"/>
    <col min="2031" max="2031" width="3" style="409" bestFit="1" customWidth="1"/>
    <col min="2032" max="2272" width="8.7109375" style="409"/>
    <col min="2273" max="2273" width="6.42578125" style="409" customWidth="1"/>
    <col min="2274" max="2274" width="22.28515625" style="409" customWidth="1"/>
    <col min="2275" max="2275" width="11.5703125" style="409" customWidth="1"/>
    <col min="2276" max="2276" width="11.85546875" style="409" customWidth="1"/>
    <col min="2277" max="2277" width="16.5703125" style="409" customWidth="1"/>
    <col min="2278" max="2278" width="15.5703125" style="409" customWidth="1"/>
    <col min="2279" max="2279" width="18.28515625" style="409" customWidth="1"/>
    <col min="2280" max="2280" width="0" style="409" hidden="1" customWidth="1"/>
    <col min="2281" max="2281" width="4.140625" style="409" customWidth="1"/>
    <col min="2282" max="2282" width="1.7109375" style="409" customWidth="1"/>
    <col min="2283" max="2283" width="3.42578125" style="409" customWidth="1"/>
    <col min="2284" max="2286" width="1.7109375" style="409" customWidth="1"/>
    <col min="2287" max="2287" width="3" style="409" bestFit="1" customWidth="1"/>
    <col min="2288" max="2528" width="8.7109375" style="409"/>
    <col min="2529" max="2529" width="6.42578125" style="409" customWidth="1"/>
    <col min="2530" max="2530" width="22.28515625" style="409" customWidth="1"/>
    <col min="2531" max="2531" width="11.5703125" style="409" customWidth="1"/>
    <col min="2532" max="2532" width="11.85546875" style="409" customWidth="1"/>
    <col min="2533" max="2533" width="16.5703125" style="409" customWidth="1"/>
    <col min="2534" max="2534" width="15.5703125" style="409" customWidth="1"/>
    <col min="2535" max="2535" width="18.28515625" style="409" customWidth="1"/>
    <col min="2536" max="2536" width="0" style="409" hidden="1" customWidth="1"/>
    <col min="2537" max="2537" width="4.140625" style="409" customWidth="1"/>
    <col min="2538" max="2538" width="1.7109375" style="409" customWidth="1"/>
    <col min="2539" max="2539" width="3.42578125" style="409" customWidth="1"/>
    <col min="2540" max="2542" width="1.7109375" style="409" customWidth="1"/>
    <col min="2543" max="2543" width="3" style="409" bestFit="1" customWidth="1"/>
    <col min="2544" max="2784" width="8.7109375" style="409"/>
    <col min="2785" max="2785" width="6.42578125" style="409" customWidth="1"/>
    <col min="2786" max="2786" width="22.28515625" style="409" customWidth="1"/>
    <col min="2787" max="2787" width="11.5703125" style="409" customWidth="1"/>
    <col min="2788" max="2788" width="11.85546875" style="409" customWidth="1"/>
    <col min="2789" max="2789" width="16.5703125" style="409" customWidth="1"/>
    <col min="2790" max="2790" width="15.5703125" style="409" customWidth="1"/>
    <col min="2791" max="2791" width="18.28515625" style="409" customWidth="1"/>
    <col min="2792" max="2792" width="0" style="409" hidden="1" customWidth="1"/>
    <col min="2793" max="2793" width="4.140625" style="409" customWidth="1"/>
    <col min="2794" max="2794" width="1.7109375" style="409" customWidth="1"/>
    <col min="2795" max="2795" width="3.42578125" style="409" customWidth="1"/>
    <col min="2796" max="2798" width="1.7109375" style="409" customWidth="1"/>
    <col min="2799" max="2799" width="3" style="409" bestFit="1" customWidth="1"/>
    <col min="2800" max="3040" width="8.7109375" style="409"/>
    <col min="3041" max="3041" width="6.42578125" style="409" customWidth="1"/>
    <col min="3042" max="3042" width="22.28515625" style="409" customWidth="1"/>
    <col min="3043" max="3043" width="11.5703125" style="409" customWidth="1"/>
    <col min="3044" max="3044" width="11.85546875" style="409" customWidth="1"/>
    <col min="3045" max="3045" width="16.5703125" style="409" customWidth="1"/>
    <col min="3046" max="3046" width="15.5703125" style="409" customWidth="1"/>
    <col min="3047" max="3047" width="18.28515625" style="409" customWidth="1"/>
    <col min="3048" max="3048" width="0" style="409" hidden="1" customWidth="1"/>
    <col min="3049" max="3049" width="4.140625" style="409" customWidth="1"/>
    <col min="3050" max="3050" width="1.7109375" style="409" customWidth="1"/>
    <col min="3051" max="3051" width="3.42578125" style="409" customWidth="1"/>
    <col min="3052" max="3054" width="1.7109375" style="409" customWidth="1"/>
    <col min="3055" max="3055" width="3" style="409" bestFit="1" customWidth="1"/>
    <col min="3056" max="3296" width="8.7109375" style="409"/>
    <col min="3297" max="3297" width="6.42578125" style="409" customWidth="1"/>
    <col min="3298" max="3298" width="22.28515625" style="409" customWidth="1"/>
    <col min="3299" max="3299" width="11.5703125" style="409" customWidth="1"/>
    <col min="3300" max="3300" width="11.85546875" style="409" customWidth="1"/>
    <col min="3301" max="3301" width="16.5703125" style="409" customWidth="1"/>
    <col min="3302" max="3302" width="15.5703125" style="409" customWidth="1"/>
    <col min="3303" max="3303" width="18.28515625" style="409" customWidth="1"/>
    <col min="3304" max="3304" width="0" style="409" hidden="1" customWidth="1"/>
    <col min="3305" max="3305" width="4.140625" style="409" customWidth="1"/>
    <col min="3306" max="3306" width="1.7109375" style="409" customWidth="1"/>
    <col min="3307" max="3307" width="3.42578125" style="409" customWidth="1"/>
    <col min="3308" max="3310" width="1.7109375" style="409" customWidth="1"/>
    <col min="3311" max="3311" width="3" style="409" bestFit="1" customWidth="1"/>
    <col min="3312" max="3552" width="8.7109375" style="409"/>
    <col min="3553" max="3553" width="6.42578125" style="409" customWidth="1"/>
    <col min="3554" max="3554" width="22.28515625" style="409" customWidth="1"/>
    <col min="3555" max="3555" width="11.5703125" style="409" customWidth="1"/>
    <col min="3556" max="3556" width="11.85546875" style="409" customWidth="1"/>
    <col min="3557" max="3557" width="16.5703125" style="409" customWidth="1"/>
    <col min="3558" max="3558" width="15.5703125" style="409" customWidth="1"/>
    <col min="3559" max="3559" width="18.28515625" style="409" customWidth="1"/>
    <col min="3560" max="3560" width="0" style="409" hidden="1" customWidth="1"/>
    <col min="3561" max="3561" width="4.140625" style="409" customWidth="1"/>
    <col min="3562" max="3562" width="1.7109375" style="409" customWidth="1"/>
    <col min="3563" max="3563" width="3.42578125" style="409" customWidth="1"/>
    <col min="3564" max="3566" width="1.7109375" style="409" customWidth="1"/>
    <col min="3567" max="3567" width="3" style="409" bestFit="1" customWidth="1"/>
    <col min="3568" max="3808" width="8.7109375" style="409"/>
    <col min="3809" max="3809" width="6.42578125" style="409" customWidth="1"/>
    <col min="3810" max="3810" width="22.28515625" style="409" customWidth="1"/>
    <col min="3811" max="3811" width="11.5703125" style="409" customWidth="1"/>
    <col min="3812" max="3812" width="11.85546875" style="409" customWidth="1"/>
    <col min="3813" max="3813" width="16.5703125" style="409" customWidth="1"/>
    <col min="3814" max="3814" width="15.5703125" style="409" customWidth="1"/>
    <col min="3815" max="3815" width="18.28515625" style="409" customWidth="1"/>
    <col min="3816" max="3816" width="0" style="409" hidden="1" customWidth="1"/>
    <col min="3817" max="3817" width="4.140625" style="409" customWidth="1"/>
    <col min="3818" max="3818" width="1.7109375" style="409" customWidth="1"/>
    <col min="3819" max="3819" width="3.42578125" style="409" customWidth="1"/>
    <col min="3820" max="3822" width="1.7109375" style="409" customWidth="1"/>
    <col min="3823" max="3823" width="3" style="409" bestFit="1" customWidth="1"/>
    <col min="3824" max="4064" width="8.7109375" style="409"/>
    <col min="4065" max="4065" width="6.42578125" style="409" customWidth="1"/>
    <col min="4066" max="4066" width="22.28515625" style="409" customWidth="1"/>
    <col min="4067" max="4067" width="11.5703125" style="409" customWidth="1"/>
    <col min="4068" max="4068" width="11.85546875" style="409" customWidth="1"/>
    <col min="4069" max="4069" width="16.5703125" style="409" customWidth="1"/>
    <col min="4070" max="4070" width="15.5703125" style="409" customWidth="1"/>
    <col min="4071" max="4071" width="18.28515625" style="409" customWidth="1"/>
    <col min="4072" max="4072" width="0" style="409" hidden="1" customWidth="1"/>
    <col min="4073" max="4073" width="4.140625" style="409" customWidth="1"/>
    <col min="4074" max="4074" width="1.7109375" style="409" customWidth="1"/>
    <col min="4075" max="4075" width="3.42578125" style="409" customWidth="1"/>
    <col min="4076" max="4078" width="1.7109375" style="409" customWidth="1"/>
    <col min="4079" max="4079" width="3" style="409" bestFit="1" customWidth="1"/>
    <col min="4080" max="4320" width="8.7109375" style="409"/>
    <col min="4321" max="4321" width="6.42578125" style="409" customWidth="1"/>
    <col min="4322" max="4322" width="22.28515625" style="409" customWidth="1"/>
    <col min="4323" max="4323" width="11.5703125" style="409" customWidth="1"/>
    <col min="4324" max="4324" width="11.85546875" style="409" customWidth="1"/>
    <col min="4325" max="4325" width="16.5703125" style="409" customWidth="1"/>
    <col min="4326" max="4326" width="15.5703125" style="409" customWidth="1"/>
    <col min="4327" max="4327" width="18.28515625" style="409" customWidth="1"/>
    <col min="4328" max="4328" width="0" style="409" hidden="1" customWidth="1"/>
    <col min="4329" max="4329" width="4.140625" style="409" customWidth="1"/>
    <col min="4330" max="4330" width="1.7109375" style="409" customWidth="1"/>
    <col min="4331" max="4331" width="3.42578125" style="409" customWidth="1"/>
    <col min="4332" max="4334" width="1.7109375" style="409" customWidth="1"/>
    <col min="4335" max="4335" width="3" style="409" bestFit="1" customWidth="1"/>
    <col min="4336" max="4576" width="8.7109375" style="409"/>
    <col min="4577" max="4577" width="6.42578125" style="409" customWidth="1"/>
    <col min="4578" max="4578" width="22.28515625" style="409" customWidth="1"/>
    <col min="4579" max="4579" width="11.5703125" style="409" customWidth="1"/>
    <col min="4580" max="4580" width="11.85546875" style="409" customWidth="1"/>
    <col min="4581" max="4581" width="16.5703125" style="409" customWidth="1"/>
    <col min="4582" max="4582" width="15.5703125" style="409" customWidth="1"/>
    <col min="4583" max="4583" width="18.28515625" style="409" customWidth="1"/>
    <col min="4584" max="4584" width="0" style="409" hidden="1" customWidth="1"/>
    <col min="4585" max="4585" width="4.140625" style="409" customWidth="1"/>
    <col min="4586" max="4586" width="1.7109375" style="409" customWidth="1"/>
    <col min="4587" max="4587" width="3.42578125" style="409" customWidth="1"/>
    <col min="4588" max="4590" width="1.7109375" style="409" customWidth="1"/>
    <col min="4591" max="4591" width="3" style="409" bestFit="1" customWidth="1"/>
    <col min="4592" max="4832" width="8.7109375" style="409"/>
    <col min="4833" max="4833" width="6.42578125" style="409" customWidth="1"/>
    <col min="4834" max="4834" width="22.28515625" style="409" customWidth="1"/>
    <col min="4835" max="4835" width="11.5703125" style="409" customWidth="1"/>
    <col min="4836" max="4836" width="11.85546875" style="409" customWidth="1"/>
    <col min="4837" max="4837" width="16.5703125" style="409" customWidth="1"/>
    <col min="4838" max="4838" width="15.5703125" style="409" customWidth="1"/>
    <col min="4839" max="4839" width="18.28515625" style="409" customWidth="1"/>
    <col min="4840" max="4840" width="0" style="409" hidden="1" customWidth="1"/>
    <col min="4841" max="4841" width="4.140625" style="409" customWidth="1"/>
    <col min="4842" max="4842" width="1.7109375" style="409" customWidth="1"/>
    <col min="4843" max="4843" width="3.42578125" style="409" customWidth="1"/>
    <col min="4844" max="4846" width="1.7109375" style="409" customWidth="1"/>
    <col min="4847" max="4847" width="3" style="409" bestFit="1" customWidth="1"/>
    <col min="4848" max="5088" width="8.7109375" style="409"/>
    <col min="5089" max="5089" width="6.42578125" style="409" customWidth="1"/>
    <col min="5090" max="5090" width="22.28515625" style="409" customWidth="1"/>
    <col min="5091" max="5091" width="11.5703125" style="409" customWidth="1"/>
    <col min="5092" max="5092" width="11.85546875" style="409" customWidth="1"/>
    <col min="5093" max="5093" width="16.5703125" style="409" customWidth="1"/>
    <col min="5094" max="5094" width="15.5703125" style="409" customWidth="1"/>
    <col min="5095" max="5095" width="18.28515625" style="409" customWidth="1"/>
    <col min="5096" max="5096" width="0" style="409" hidden="1" customWidth="1"/>
    <col min="5097" max="5097" width="4.140625" style="409" customWidth="1"/>
    <col min="5098" max="5098" width="1.7109375" style="409" customWidth="1"/>
    <col min="5099" max="5099" width="3.42578125" style="409" customWidth="1"/>
    <col min="5100" max="5102" width="1.7109375" style="409" customWidth="1"/>
    <col min="5103" max="5103" width="3" style="409" bestFit="1" customWidth="1"/>
    <col min="5104" max="5344" width="8.7109375" style="409"/>
    <col min="5345" max="5345" width="6.42578125" style="409" customWidth="1"/>
    <col min="5346" max="5346" width="22.28515625" style="409" customWidth="1"/>
    <col min="5347" max="5347" width="11.5703125" style="409" customWidth="1"/>
    <col min="5348" max="5348" width="11.85546875" style="409" customWidth="1"/>
    <col min="5349" max="5349" width="16.5703125" style="409" customWidth="1"/>
    <col min="5350" max="5350" width="15.5703125" style="409" customWidth="1"/>
    <col min="5351" max="5351" width="18.28515625" style="409" customWidth="1"/>
    <col min="5352" max="5352" width="0" style="409" hidden="1" customWidth="1"/>
    <col min="5353" max="5353" width="4.140625" style="409" customWidth="1"/>
    <col min="5354" max="5354" width="1.7109375" style="409" customWidth="1"/>
    <col min="5355" max="5355" width="3.42578125" style="409" customWidth="1"/>
    <col min="5356" max="5358" width="1.7109375" style="409" customWidth="1"/>
    <col min="5359" max="5359" width="3" style="409" bestFit="1" customWidth="1"/>
    <col min="5360" max="5600" width="8.7109375" style="409"/>
    <col min="5601" max="5601" width="6.42578125" style="409" customWidth="1"/>
    <col min="5602" max="5602" width="22.28515625" style="409" customWidth="1"/>
    <col min="5603" max="5603" width="11.5703125" style="409" customWidth="1"/>
    <col min="5604" max="5604" width="11.85546875" style="409" customWidth="1"/>
    <col min="5605" max="5605" width="16.5703125" style="409" customWidth="1"/>
    <col min="5606" max="5606" width="15.5703125" style="409" customWidth="1"/>
    <col min="5607" max="5607" width="18.28515625" style="409" customWidth="1"/>
    <col min="5608" max="5608" width="0" style="409" hidden="1" customWidth="1"/>
    <col min="5609" max="5609" width="4.140625" style="409" customWidth="1"/>
    <col min="5610" max="5610" width="1.7109375" style="409" customWidth="1"/>
    <col min="5611" max="5611" width="3.42578125" style="409" customWidth="1"/>
    <col min="5612" max="5614" width="1.7109375" style="409" customWidth="1"/>
    <col min="5615" max="5615" width="3" style="409" bestFit="1" customWidth="1"/>
    <col min="5616" max="5856" width="8.7109375" style="409"/>
    <col min="5857" max="5857" width="6.42578125" style="409" customWidth="1"/>
    <col min="5858" max="5858" width="22.28515625" style="409" customWidth="1"/>
    <col min="5859" max="5859" width="11.5703125" style="409" customWidth="1"/>
    <col min="5860" max="5860" width="11.85546875" style="409" customWidth="1"/>
    <col min="5861" max="5861" width="16.5703125" style="409" customWidth="1"/>
    <col min="5862" max="5862" width="15.5703125" style="409" customWidth="1"/>
    <col min="5863" max="5863" width="18.28515625" style="409" customWidth="1"/>
    <col min="5864" max="5864" width="0" style="409" hidden="1" customWidth="1"/>
    <col min="5865" max="5865" width="4.140625" style="409" customWidth="1"/>
    <col min="5866" max="5866" width="1.7109375" style="409" customWidth="1"/>
    <col min="5867" max="5867" width="3.42578125" style="409" customWidth="1"/>
    <col min="5868" max="5870" width="1.7109375" style="409" customWidth="1"/>
    <col min="5871" max="5871" width="3" style="409" bestFit="1" customWidth="1"/>
    <col min="5872" max="6112" width="8.7109375" style="409"/>
    <col min="6113" max="6113" width="6.42578125" style="409" customWidth="1"/>
    <col min="6114" max="6114" width="22.28515625" style="409" customWidth="1"/>
    <col min="6115" max="6115" width="11.5703125" style="409" customWidth="1"/>
    <col min="6116" max="6116" width="11.85546875" style="409" customWidth="1"/>
    <col min="6117" max="6117" width="16.5703125" style="409" customWidth="1"/>
    <col min="6118" max="6118" width="15.5703125" style="409" customWidth="1"/>
    <col min="6119" max="6119" width="18.28515625" style="409" customWidth="1"/>
    <col min="6120" max="6120" width="0" style="409" hidden="1" customWidth="1"/>
    <col min="6121" max="6121" width="4.140625" style="409" customWidth="1"/>
    <col min="6122" max="6122" width="1.7109375" style="409" customWidth="1"/>
    <col min="6123" max="6123" width="3.42578125" style="409" customWidth="1"/>
    <col min="6124" max="6126" width="1.7109375" style="409" customWidth="1"/>
    <col min="6127" max="6127" width="3" style="409" bestFit="1" customWidth="1"/>
    <col min="6128" max="6368" width="8.7109375" style="409"/>
    <col min="6369" max="6369" width="6.42578125" style="409" customWidth="1"/>
    <col min="6370" max="6370" width="22.28515625" style="409" customWidth="1"/>
    <col min="6371" max="6371" width="11.5703125" style="409" customWidth="1"/>
    <col min="6372" max="6372" width="11.85546875" style="409" customWidth="1"/>
    <col min="6373" max="6373" width="16.5703125" style="409" customWidth="1"/>
    <col min="6374" max="6374" width="15.5703125" style="409" customWidth="1"/>
    <col min="6375" max="6375" width="18.28515625" style="409" customWidth="1"/>
    <col min="6376" max="6376" width="0" style="409" hidden="1" customWidth="1"/>
    <col min="6377" max="6377" width="4.140625" style="409" customWidth="1"/>
    <col min="6378" max="6378" width="1.7109375" style="409" customWidth="1"/>
    <col min="6379" max="6379" width="3.42578125" style="409" customWidth="1"/>
    <col min="6380" max="6382" width="1.7109375" style="409" customWidth="1"/>
    <col min="6383" max="6383" width="3" style="409" bestFit="1" customWidth="1"/>
    <col min="6384" max="6624" width="8.7109375" style="409"/>
    <col min="6625" max="6625" width="6.42578125" style="409" customWidth="1"/>
    <col min="6626" max="6626" width="22.28515625" style="409" customWidth="1"/>
    <col min="6627" max="6627" width="11.5703125" style="409" customWidth="1"/>
    <col min="6628" max="6628" width="11.85546875" style="409" customWidth="1"/>
    <col min="6629" max="6629" width="16.5703125" style="409" customWidth="1"/>
    <col min="6630" max="6630" width="15.5703125" style="409" customWidth="1"/>
    <col min="6631" max="6631" width="18.28515625" style="409" customWidth="1"/>
    <col min="6632" max="6632" width="0" style="409" hidden="1" customWidth="1"/>
    <col min="6633" max="6633" width="4.140625" style="409" customWidth="1"/>
    <col min="6634" max="6634" width="1.7109375" style="409" customWidth="1"/>
    <col min="6635" max="6635" width="3.42578125" style="409" customWidth="1"/>
    <col min="6636" max="6638" width="1.7109375" style="409" customWidth="1"/>
    <col min="6639" max="6639" width="3" style="409" bestFit="1" customWidth="1"/>
    <col min="6640" max="6880" width="8.7109375" style="409"/>
    <col min="6881" max="6881" width="6.42578125" style="409" customWidth="1"/>
    <col min="6882" max="6882" width="22.28515625" style="409" customWidth="1"/>
    <col min="6883" max="6883" width="11.5703125" style="409" customWidth="1"/>
    <col min="6884" max="6884" width="11.85546875" style="409" customWidth="1"/>
    <col min="6885" max="6885" width="16.5703125" style="409" customWidth="1"/>
    <col min="6886" max="6886" width="15.5703125" style="409" customWidth="1"/>
    <col min="6887" max="6887" width="18.28515625" style="409" customWidth="1"/>
    <col min="6888" max="6888" width="0" style="409" hidden="1" customWidth="1"/>
    <col min="6889" max="6889" width="4.140625" style="409" customWidth="1"/>
    <col min="6890" max="6890" width="1.7109375" style="409" customWidth="1"/>
    <col min="6891" max="6891" width="3.42578125" style="409" customWidth="1"/>
    <col min="6892" max="6894" width="1.7109375" style="409" customWidth="1"/>
    <col min="6895" max="6895" width="3" style="409" bestFit="1" customWidth="1"/>
    <col min="6896" max="7136" width="8.7109375" style="409"/>
    <col min="7137" max="7137" width="6.42578125" style="409" customWidth="1"/>
    <col min="7138" max="7138" width="22.28515625" style="409" customWidth="1"/>
    <col min="7139" max="7139" width="11.5703125" style="409" customWidth="1"/>
    <col min="7140" max="7140" width="11.85546875" style="409" customWidth="1"/>
    <col min="7141" max="7141" width="16.5703125" style="409" customWidth="1"/>
    <col min="7142" max="7142" width="15.5703125" style="409" customWidth="1"/>
    <col min="7143" max="7143" width="18.28515625" style="409" customWidth="1"/>
    <col min="7144" max="7144" width="0" style="409" hidden="1" customWidth="1"/>
    <col min="7145" max="7145" width="4.140625" style="409" customWidth="1"/>
    <col min="7146" max="7146" width="1.7109375" style="409" customWidth="1"/>
    <col min="7147" max="7147" width="3.42578125" style="409" customWidth="1"/>
    <col min="7148" max="7150" width="1.7109375" style="409" customWidth="1"/>
    <col min="7151" max="7151" width="3" style="409" bestFit="1" customWidth="1"/>
    <col min="7152" max="7392" width="8.7109375" style="409"/>
    <col min="7393" max="7393" width="6.42578125" style="409" customWidth="1"/>
    <col min="7394" max="7394" width="22.28515625" style="409" customWidth="1"/>
    <col min="7395" max="7395" width="11.5703125" style="409" customWidth="1"/>
    <col min="7396" max="7396" width="11.85546875" style="409" customWidth="1"/>
    <col min="7397" max="7397" width="16.5703125" style="409" customWidth="1"/>
    <col min="7398" max="7398" width="15.5703125" style="409" customWidth="1"/>
    <col min="7399" max="7399" width="18.28515625" style="409" customWidth="1"/>
    <col min="7400" max="7400" width="0" style="409" hidden="1" customWidth="1"/>
    <col min="7401" max="7401" width="4.140625" style="409" customWidth="1"/>
    <col min="7402" max="7402" width="1.7109375" style="409" customWidth="1"/>
    <col min="7403" max="7403" width="3.42578125" style="409" customWidth="1"/>
    <col min="7404" max="7406" width="1.7109375" style="409" customWidth="1"/>
    <col min="7407" max="7407" width="3" style="409" bestFit="1" customWidth="1"/>
    <col min="7408" max="7648" width="8.7109375" style="409"/>
    <col min="7649" max="7649" width="6.42578125" style="409" customWidth="1"/>
    <col min="7650" max="7650" width="22.28515625" style="409" customWidth="1"/>
    <col min="7651" max="7651" width="11.5703125" style="409" customWidth="1"/>
    <col min="7652" max="7652" width="11.85546875" style="409" customWidth="1"/>
    <col min="7653" max="7653" width="16.5703125" style="409" customWidth="1"/>
    <col min="7654" max="7654" width="15.5703125" style="409" customWidth="1"/>
    <col min="7655" max="7655" width="18.28515625" style="409" customWidth="1"/>
    <col min="7656" max="7656" width="0" style="409" hidden="1" customWidth="1"/>
    <col min="7657" max="7657" width="4.140625" style="409" customWidth="1"/>
    <col min="7658" max="7658" width="1.7109375" style="409" customWidth="1"/>
    <col min="7659" max="7659" width="3.42578125" style="409" customWidth="1"/>
    <col min="7660" max="7662" width="1.7109375" style="409" customWidth="1"/>
    <col min="7663" max="7663" width="3" style="409" bestFit="1" customWidth="1"/>
    <col min="7664" max="7904" width="8.7109375" style="409"/>
    <col min="7905" max="7905" width="6.42578125" style="409" customWidth="1"/>
    <col min="7906" max="7906" width="22.28515625" style="409" customWidth="1"/>
    <col min="7907" max="7907" width="11.5703125" style="409" customWidth="1"/>
    <col min="7908" max="7908" width="11.85546875" style="409" customWidth="1"/>
    <col min="7909" max="7909" width="16.5703125" style="409" customWidth="1"/>
    <col min="7910" max="7910" width="15.5703125" style="409" customWidth="1"/>
    <col min="7911" max="7911" width="18.28515625" style="409" customWidth="1"/>
    <col min="7912" max="7912" width="0" style="409" hidden="1" customWidth="1"/>
    <col min="7913" max="7913" width="4.140625" style="409" customWidth="1"/>
    <col min="7914" max="7914" width="1.7109375" style="409" customWidth="1"/>
    <col min="7915" max="7915" width="3.42578125" style="409" customWidth="1"/>
    <col min="7916" max="7918" width="1.7109375" style="409" customWidth="1"/>
    <col min="7919" max="7919" width="3" style="409" bestFit="1" customWidth="1"/>
    <col min="7920" max="8160" width="8.7109375" style="409"/>
    <col min="8161" max="8161" width="6.42578125" style="409" customWidth="1"/>
    <col min="8162" max="8162" width="22.28515625" style="409" customWidth="1"/>
    <col min="8163" max="8163" width="11.5703125" style="409" customWidth="1"/>
    <col min="8164" max="8164" width="11.85546875" style="409" customWidth="1"/>
    <col min="8165" max="8165" width="16.5703125" style="409" customWidth="1"/>
    <col min="8166" max="8166" width="15.5703125" style="409" customWidth="1"/>
    <col min="8167" max="8167" width="18.28515625" style="409" customWidth="1"/>
    <col min="8168" max="8168" width="0" style="409" hidden="1" customWidth="1"/>
    <col min="8169" max="8169" width="4.140625" style="409" customWidth="1"/>
    <col min="8170" max="8170" width="1.7109375" style="409" customWidth="1"/>
    <col min="8171" max="8171" width="3.42578125" style="409" customWidth="1"/>
    <col min="8172" max="8174" width="1.7109375" style="409" customWidth="1"/>
    <col min="8175" max="8175" width="3" style="409" bestFit="1" customWidth="1"/>
    <col min="8176" max="8416" width="8.7109375" style="409"/>
    <col min="8417" max="8417" width="6.42578125" style="409" customWidth="1"/>
    <col min="8418" max="8418" width="22.28515625" style="409" customWidth="1"/>
    <col min="8419" max="8419" width="11.5703125" style="409" customWidth="1"/>
    <col min="8420" max="8420" width="11.85546875" style="409" customWidth="1"/>
    <col min="8421" max="8421" width="16.5703125" style="409" customWidth="1"/>
    <col min="8422" max="8422" width="15.5703125" style="409" customWidth="1"/>
    <col min="8423" max="8423" width="18.28515625" style="409" customWidth="1"/>
    <col min="8424" max="8424" width="0" style="409" hidden="1" customWidth="1"/>
    <col min="8425" max="8425" width="4.140625" style="409" customWidth="1"/>
    <col min="8426" max="8426" width="1.7109375" style="409" customWidth="1"/>
    <col min="8427" max="8427" width="3.42578125" style="409" customWidth="1"/>
    <col min="8428" max="8430" width="1.7109375" style="409" customWidth="1"/>
    <col min="8431" max="8431" width="3" style="409" bestFit="1" customWidth="1"/>
    <col min="8432" max="8672" width="8.7109375" style="409"/>
    <col min="8673" max="8673" width="6.42578125" style="409" customWidth="1"/>
    <col min="8674" max="8674" width="22.28515625" style="409" customWidth="1"/>
    <col min="8675" max="8675" width="11.5703125" style="409" customWidth="1"/>
    <col min="8676" max="8676" width="11.85546875" style="409" customWidth="1"/>
    <col min="8677" max="8677" width="16.5703125" style="409" customWidth="1"/>
    <col min="8678" max="8678" width="15.5703125" style="409" customWidth="1"/>
    <col min="8679" max="8679" width="18.28515625" style="409" customWidth="1"/>
    <col min="8680" max="8680" width="0" style="409" hidden="1" customWidth="1"/>
    <col min="8681" max="8681" width="4.140625" style="409" customWidth="1"/>
    <col min="8682" max="8682" width="1.7109375" style="409" customWidth="1"/>
    <col min="8683" max="8683" width="3.42578125" style="409" customWidth="1"/>
    <col min="8684" max="8686" width="1.7109375" style="409" customWidth="1"/>
    <col min="8687" max="8687" width="3" style="409" bestFit="1" customWidth="1"/>
    <col min="8688" max="8928" width="8.7109375" style="409"/>
    <col min="8929" max="8929" width="6.42578125" style="409" customWidth="1"/>
    <col min="8930" max="8930" width="22.28515625" style="409" customWidth="1"/>
    <col min="8931" max="8931" width="11.5703125" style="409" customWidth="1"/>
    <col min="8932" max="8932" width="11.85546875" style="409" customWidth="1"/>
    <col min="8933" max="8933" width="16.5703125" style="409" customWidth="1"/>
    <col min="8934" max="8934" width="15.5703125" style="409" customWidth="1"/>
    <col min="8935" max="8935" width="18.28515625" style="409" customWidth="1"/>
    <col min="8936" max="8936" width="0" style="409" hidden="1" customWidth="1"/>
    <col min="8937" max="8937" width="4.140625" style="409" customWidth="1"/>
    <col min="8938" max="8938" width="1.7109375" style="409" customWidth="1"/>
    <col min="8939" max="8939" width="3.42578125" style="409" customWidth="1"/>
    <col min="8940" max="8942" width="1.7109375" style="409" customWidth="1"/>
    <col min="8943" max="8943" width="3" style="409" bestFit="1" customWidth="1"/>
    <col min="8944" max="9184" width="8.7109375" style="409"/>
    <col min="9185" max="9185" width="6.42578125" style="409" customWidth="1"/>
    <col min="9186" max="9186" width="22.28515625" style="409" customWidth="1"/>
    <col min="9187" max="9187" width="11.5703125" style="409" customWidth="1"/>
    <col min="9188" max="9188" width="11.85546875" style="409" customWidth="1"/>
    <col min="9189" max="9189" width="16.5703125" style="409" customWidth="1"/>
    <col min="9190" max="9190" width="15.5703125" style="409" customWidth="1"/>
    <col min="9191" max="9191" width="18.28515625" style="409" customWidth="1"/>
    <col min="9192" max="9192" width="0" style="409" hidden="1" customWidth="1"/>
    <col min="9193" max="9193" width="4.140625" style="409" customWidth="1"/>
    <col min="9194" max="9194" width="1.7109375" style="409" customWidth="1"/>
    <col min="9195" max="9195" width="3.42578125" style="409" customWidth="1"/>
    <col min="9196" max="9198" width="1.7109375" style="409" customWidth="1"/>
    <col min="9199" max="9199" width="3" style="409" bestFit="1" customWidth="1"/>
    <col min="9200" max="9440" width="8.7109375" style="409"/>
    <col min="9441" max="9441" width="6.42578125" style="409" customWidth="1"/>
    <col min="9442" max="9442" width="22.28515625" style="409" customWidth="1"/>
    <col min="9443" max="9443" width="11.5703125" style="409" customWidth="1"/>
    <col min="9444" max="9444" width="11.85546875" style="409" customWidth="1"/>
    <col min="9445" max="9445" width="16.5703125" style="409" customWidth="1"/>
    <col min="9446" max="9446" width="15.5703125" style="409" customWidth="1"/>
    <col min="9447" max="9447" width="18.28515625" style="409" customWidth="1"/>
    <col min="9448" max="9448" width="0" style="409" hidden="1" customWidth="1"/>
    <col min="9449" max="9449" width="4.140625" style="409" customWidth="1"/>
    <col min="9450" max="9450" width="1.7109375" style="409" customWidth="1"/>
    <col min="9451" max="9451" width="3.42578125" style="409" customWidth="1"/>
    <col min="9452" max="9454" width="1.7109375" style="409" customWidth="1"/>
    <col min="9455" max="9455" width="3" style="409" bestFit="1" customWidth="1"/>
    <col min="9456" max="9696" width="8.7109375" style="409"/>
    <col min="9697" max="9697" width="6.42578125" style="409" customWidth="1"/>
    <col min="9698" max="9698" width="22.28515625" style="409" customWidth="1"/>
    <col min="9699" max="9699" width="11.5703125" style="409" customWidth="1"/>
    <col min="9700" max="9700" width="11.85546875" style="409" customWidth="1"/>
    <col min="9701" max="9701" width="16.5703125" style="409" customWidth="1"/>
    <col min="9702" max="9702" width="15.5703125" style="409" customWidth="1"/>
    <col min="9703" max="9703" width="18.28515625" style="409" customWidth="1"/>
    <col min="9704" max="9704" width="0" style="409" hidden="1" customWidth="1"/>
    <col min="9705" max="9705" width="4.140625" style="409" customWidth="1"/>
    <col min="9706" max="9706" width="1.7109375" style="409" customWidth="1"/>
    <col min="9707" max="9707" width="3.42578125" style="409" customWidth="1"/>
    <col min="9708" max="9710" width="1.7109375" style="409" customWidth="1"/>
    <col min="9711" max="9711" width="3" style="409" bestFit="1" customWidth="1"/>
    <col min="9712" max="9952" width="8.7109375" style="409"/>
    <col min="9953" max="9953" width="6.42578125" style="409" customWidth="1"/>
    <col min="9954" max="9954" width="22.28515625" style="409" customWidth="1"/>
    <col min="9955" max="9955" width="11.5703125" style="409" customWidth="1"/>
    <col min="9956" max="9956" width="11.85546875" style="409" customWidth="1"/>
    <col min="9957" max="9957" width="16.5703125" style="409" customWidth="1"/>
    <col min="9958" max="9958" width="15.5703125" style="409" customWidth="1"/>
    <col min="9959" max="9959" width="18.28515625" style="409" customWidth="1"/>
    <col min="9960" max="9960" width="0" style="409" hidden="1" customWidth="1"/>
    <col min="9961" max="9961" width="4.140625" style="409" customWidth="1"/>
    <col min="9962" max="9962" width="1.7109375" style="409" customWidth="1"/>
    <col min="9963" max="9963" width="3.42578125" style="409" customWidth="1"/>
    <col min="9964" max="9966" width="1.7109375" style="409" customWidth="1"/>
    <col min="9967" max="9967" width="3" style="409" bestFit="1" customWidth="1"/>
    <col min="9968" max="10208" width="8.7109375" style="409"/>
    <col min="10209" max="10209" width="6.42578125" style="409" customWidth="1"/>
    <col min="10210" max="10210" width="22.28515625" style="409" customWidth="1"/>
    <col min="10211" max="10211" width="11.5703125" style="409" customWidth="1"/>
    <col min="10212" max="10212" width="11.85546875" style="409" customWidth="1"/>
    <col min="10213" max="10213" width="16.5703125" style="409" customWidth="1"/>
    <col min="10214" max="10214" width="15.5703125" style="409" customWidth="1"/>
    <col min="10215" max="10215" width="18.28515625" style="409" customWidth="1"/>
    <col min="10216" max="10216" width="0" style="409" hidden="1" customWidth="1"/>
    <col min="10217" max="10217" width="4.140625" style="409" customWidth="1"/>
    <col min="10218" max="10218" width="1.7109375" style="409" customWidth="1"/>
    <col min="10219" max="10219" width="3.42578125" style="409" customWidth="1"/>
    <col min="10220" max="10222" width="1.7109375" style="409" customWidth="1"/>
    <col min="10223" max="10223" width="3" style="409" bestFit="1" customWidth="1"/>
    <col min="10224" max="10464" width="8.7109375" style="409"/>
    <col min="10465" max="10465" width="6.42578125" style="409" customWidth="1"/>
    <col min="10466" max="10466" width="22.28515625" style="409" customWidth="1"/>
    <col min="10467" max="10467" width="11.5703125" style="409" customWidth="1"/>
    <col min="10468" max="10468" width="11.85546875" style="409" customWidth="1"/>
    <col min="10469" max="10469" width="16.5703125" style="409" customWidth="1"/>
    <col min="10470" max="10470" width="15.5703125" style="409" customWidth="1"/>
    <col min="10471" max="10471" width="18.28515625" style="409" customWidth="1"/>
    <col min="10472" max="10472" width="0" style="409" hidden="1" customWidth="1"/>
    <col min="10473" max="10473" width="4.140625" style="409" customWidth="1"/>
    <col min="10474" max="10474" width="1.7109375" style="409" customWidth="1"/>
    <col min="10475" max="10475" width="3.42578125" style="409" customWidth="1"/>
    <col min="10476" max="10478" width="1.7109375" style="409" customWidth="1"/>
    <col min="10479" max="10479" width="3" style="409" bestFit="1" customWidth="1"/>
    <col min="10480" max="10720" width="8.7109375" style="409"/>
    <col min="10721" max="10721" width="6.42578125" style="409" customWidth="1"/>
    <col min="10722" max="10722" width="22.28515625" style="409" customWidth="1"/>
    <col min="10723" max="10723" width="11.5703125" style="409" customWidth="1"/>
    <col min="10724" max="10724" width="11.85546875" style="409" customWidth="1"/>
    <col min="10725" max="10725" width="16.5703125" style="409" customWidth="1"/>
    <col min="10726" max="10726" width="15.5703125" style="409" customWidth="1"/>
    <col min="10727" max="10727" width="18.28515625" style="409" customWidth="1"/>
    <col min="10728" max="10728" width="0" style="409" hidden="1" customWidth="1"/>
    <col min="10729" max="10729" width="4.140625" style="409" customWidth="1"/>
    <col min="10730" max="10730" width="1.7109375" style="409" customWidth="1"/>
    <col min="10731" max="10731" width="3.42578125" style="409" customWidth="1"/>
    <col min="10732" max="10734" width="1.7109375" style="409" customWidth="1"/>
    <col min="10735" max="10735" width="3" style="409" bestFit="1" customWidth="1"/>
    <col min="10736" max="10976" width="8.7109375" style="409"/>
    <col min="10977" max="10977" width="6.42578125" style="409" customWidth="1"/>
    <col min="10978" max="10978" width="22.28515625" style="409" customWidth="1"/>
    <col min="10979" max="10979" width="11.5703125" style="409" customWidth="1"/>
    <col min="10980" max="10980" width="11.85546875" style="409" customWidth="1"/>
    <col min="10981" max="10981" width="16.5703125" style="409" customWidth="1"/>
    <col min="10982" max="10982" width="15.5703125" style="409" customWidth="1"/>
    <col min="10983" max="10983" width="18.28515625" style="409" customWidth="1"/>
    <col min="10984" max="10984" width="0" style="409" hidden="1" customWidth="1"/>
    <col min="10985" max="10985" width="4.140625" style="409" customWidth="1"/>
    <col min="10986" max="10986" width="1.7109375" style="409" customWidth="1"/>
    <col min="10987" max="10987" width="3.42578125" style="409" customWidth="1"/>
    <col min="10988" max="10990" width="1.7109375" style="409" customWidth="1"/>
    <col min="10991" max="10991" width="3" style="409" bestFit="1" customWidth="1"/>
    <col min="10992" max="11232" width="8.7109375" style="409"/>
    <col min="11233" max="11233" width="6.42578125" style="409" customWidth="1"/>
    <col min="11234" max="11234" width="22.28515625" style="409" customWidth="1"/>
    <col min="11235" max="11235" width="11.5703125" style="409" customWidth="1"/>
    <col min="11236" max="11236" width="11.85546875" style="409" customWidth="1"/>
    <col min="11237" max="11237" width="16.5703125" style="409" customWidth="1"/>
    <col min="11238" max="11238" width="15.5703125" style="409" customWidth="1"/>
    <col min="11239" max="11239" width="18.28515625" style="409" customWidth="1"/>
    <col min="11240" max="11240" width="0" style="409" hidden="1" customWidth="1"/>
    <col min="11241" max="11241" width="4.140625" style="409" customWidth="1"/>
    <col min="11242" max="11242" width="1.7109375" style="409" customWidth="1"/>
    <col min="11243" max="11243" width="3.42578125" style="409" customWidth="1"/>
    <col min="11244" max="11246" width="1.7109375" style="409" customWidth="1"/>
    <col min="11247" max="11247" width="3" style="409" bestFit="1" customWidth="1"/>
    <col min="11248" max="11488" width="8.7109375" style="409"/>
    <col min="11489" max="11489" width="6.42578125" style="409" customWidth="1"/>
    <col min="11490" max="11490" width="22.28515625" style="409" customWidth="1"/>
    <col min="11491" max="11491" width="11.5703125" style="409" customWidth="1"/>
    <col min="11492" max="11492" width="11.85546875" style="409" customWidth="1"/>
    <col min="11493" max="11493" width="16.5703125" style="409" customWidth="1"/>
    <col min="11494" max="11494" width="15.5703125" style="409" customWidth="1"/>
    <col min="11495" max="11495" width="18.28515625" style="409" customWidth="1"/>
    <col min="11496" max="11496" width="0" style="409" hidden="1" customWidth="1"/>
    <col min="11497" max="11497" width="4.140625" style="409" customWidth="1"/>
    <col min="11498" max="11498" width="1.7109375" style="409" customWidth="1"/>
    <col min="11499" max="11499" width="3.42578125" style="409" customWidth="1"/>
    <col min="11500" max="11502" width="1.7109375" style="409" customWidth="1"/>
    <col min="11503" max="11503" width="3" style="409" bestFit="1" customWidth="1"/>
    <col min="11504" max="11744" width="8.7109375" style="409"/>
    <col min="11745" max="11745" width="6.42578125" style="409" customWidth="1"/>
    <col min="11746" max="11746" width="22.28515625" style="409" customWidth="1"/>
    <col min="11747" max="11747" width="11.5703125" style="409" customWidth="1"/>
    <col min="11748" max="11748" width="11.85546875" style="409" customWidth="1"/>
    <col min="11749" max="11749" width="16.5703125" style="409" customWidth="1"/>
    <col min="11750" max="11750" width="15.5703125" style="409" customWidth="1"/>
    <col min="11751" max="11751" width="18.28515625" style="409" customWidth="1"/>
    <col min="11752" max="11752" width="0" style="409" hidden="1" customWidth="1"/>
    <col min="11753" max="11753" width="4.140625" style="409" customWidth="1"/>
    <col min="11754" max="11754" width="1.7109375" style="409" customWidth="1"/>
    <col min="11755" max="11755" width="3.42578125" style="409" customWidth="1"/>
    <col min="11756" max="11758" width="1.7109375" style="409" customWidth="1"/>
    <col min="11759" max="11759" width="3" style="409" bestFit="1" customWidth="1"/>
    <col min="11760" max="12000" width="8.7109375" style="409"/>
    <col min="12001" max="12001" width="6.42578125" style="409" customWidth="1"/>
    <col min="12002" max="12002" width="22.28515625" style="409" customWidth="1"/>
    <col min="12003" max="12003" width="11.5703125" style="409" customWidth="1"/>
    <col min="12004" max="12004" width="11.85546875" style="409" customWidth="1"/>
    <col min="12005" max="12005" width="16.5703125" style="409" customWidth="1"/>
    <col min="12006" max="12006" width="15.5703125" style="409" customWidth="1"/>
    <col min="12007" max="12007" width="18.28515625" style="409" customWidth="1"/>
    <col min="12008" max="12008" width="0" style="409" hidden="1" customWidth="1"/>
    <col min="12009" max="12009" width="4.140625" style="409" customWidth="1"/>
    <col min="12010" max="12010" width="1.7109375" style="409" customWidth="1"/>
    <col min="12011" max="12011" width="3.42578125" style="409" customWidth="1"/>
    <col min="12012" max="12014" width="1.7109375" style="409" customWidth="1"/>
    <col min="12015" max="12015" width="3" style="409" bestFit="1" customWidth="1"/>
    <col min="12016" max="12256" width="8.7109375" style="409"/>
    <col min="12257" max="12257" width="6.42578125" style="409" customWidth="1"/>
    <col min="12258" max="12258" width="22.28515625" style="409" customWidth="1"/>
    <col min="12259" max="12259" width="11.5703125" style="409" customWidth="1"/>
    <col min="12260" max="12260" width="11.85546875" style="409" customWidth="1"/>
    <col min="12261" max="12261" width="16.5703125" style="409" customWidth="1"/>
    <col min="12262" max="12262" width="15.5703125" style="409" customWidth="1"/>
    <col min="12263" max="12263" width="18.28515625" style="409" customWidth="1"/>
    <col min="12264" max="12264" width="0" style="409" hidden="1" customWidth="1"/>
    <col min="12265" max="12265" width="4.140625" style="409" customWidth="1"/>
    <col min="12266" max="12266" width="1.7109375" style="409" customWidth="1"/>
    <col min="12267" max="12267" width="3.42578125" style="409" customWidth="1"/>
    <col min="12268" max="12270" width="1.7109375" style="409" customWidth="1"/>
    <col min="12271" max="12271" width="3" style="409" bestFit="1" customWidth="1"/>
    <col min="12272" max="12512" width="8.7109375" style="409"/>
    <col min="12513" max="12513" width="6.42578125" style="409" customWidth="1"/>
    <col min="12514" max="12514" width="22.28515625" style="409" customWidth="1"/>
    <col min="12515" max="12515" width="11.5703125" style="409" customWidth="1"/>
    <col min="12516" max="12516" width="11.85546875" style="409" customWidth="1"/>
    <col min="12517" max="12517" width="16.5703125" style="409" customWidth="1"/>
    <col min="12518" max="12518" width="15.5703125" style="409" customWidth="1"/>
    <col min="12519" max="12519" width="18.28515625" style="409" customWidth="1"/>
    <col min="12520" max="12520" width="0" style="409" hidden="1" customWidth="1"/>
    <col min="12521" max="12521" width="4.140625" style="409" customWidth="1"/>
    <col min="12522" max="12522" width="1.7109375" style="409" customWidth="1"/>
    <col min="12523" max="12523" width="3.42578125" style="409" customWidth="1"/>
    <col min="12524" max="12526" width="1.7109375" style="409" customWidth="1"/>
    <col min="12527" max="12527" width="3" style="409" bestFit="1" customWidth="1"/>
    <col min="12528" max="12768" width="8.7109375" style="409"/>
    <col min="12769" max="12769" width="6.42578125" style="409" customWidth="1"/>
    <col min="12770" max="12770" width="22.28515625" style="409" customWidth="1"/>
    <col min="12771" max="12771" width="11.5703125" style="409" customWidth="1"/>
    <col min="12772" max="12772" width="11.85546875" style="409" customWidth="1"/>
    <col min="12773" max="12773" width="16.5703125" style="409" customWidth="1"/>
    <col min="12774" max="12774" width="15.5703125" style="409" customWidth="1"/>
    <col min="12775" max="12775" width="18.28515625" style="409" customWidth="1"/>
    <col min="12776" max="12776" width="0" style="409" hidden="1" customWidth="1"/>
    <col min="12777" max="12777" width="4.140625" style="409" customWidth="1"/>
    <col min="12778" max="12778" width="1.7109375" style="409" customWidth="1"/>
    <col min="12779" max="12779" width="3.42578125" style="409" customWidth="1"/>
    <col min="12780" max="12782" width="1.7109375" style="409" customWidth="1"/>
    <col min="12783" max="12783" width="3" style="409" bestFit="1" customWidth="1"/>
    <col min="12784" max="13024" width="8.7109375" style="409"/>
    <col min="13025" max="13025" width="6.42578125" style="409" customWidth="1"/>
    <col min="13026" max="13026" width="22.28515625" style="409" customWidth="1"/>
    <col min="13027" max="13027" width="11.5703125" style="409" customWidth="1"/>
    <col min="13028" max="13028" width="11.85546875" style="409" customWidth="1"/>
    <col min="13029" max="13029" width="16.5703125" style="409" customWidth="1"/>
    <col min="13030" max="13030" width="15.5703125" style="409" customWidth="1"/>
    <col min="13031" max="13031" width="18.28515625" style="409" customWidth="1"/>
    <col min="13032" max="13032" width="0" style="409" hidden="1" customWidth="1"/>
    <col min="13033" max="13033" width="4.140625" style="409" customWidth="1"/>
    <col min="13034" max="13034" width="1.7109375" style="409" customWidth="1"/>
    <col min="13035" max="13035" width="3.42578125" style="409" customWidth="1"/>
    <col min="13036" max="13038" width="1.7109375" style="409" customWidth="1"/>
    <col min="13039" max="13039" width="3" style="409" bestFit="1" customWidth="1"/>
    <col min="13040" max="13280" width="8.7109375" style="409"/>
    <col min="13281" max="13281" width="6.42578125" style="409" customWidth="1"/>
    <col min="13282" max="13282" width="22.28515625" style="409" customWidth="1"/>
    <col min="13283" max="13283" width="11.5703125" style="409" customWidth="1"/>
    <col min="13284" max="13284" width="11.85546875" style="409" customWidth="1"/>
    <col min="13285" max="13285" width="16.5703125" style="409" customWidth="1"/>
    <col min="13286" max="13286" width="15.5703125" style="409" customWidth="1"/>
    <col min="13287" max="13287" width="18.28515625" style="409" customWidth="1"/>
    <col min="13288" max="13288" width="0" style="409" hidden="1" customWidth="1"/>
    <col min="13289" max="13289" width="4.140625" style="409" customWidth="1"/>
    <col min="13290" max="13290" width="1.7109375" style="409" customWidth="1"/>
    <col min="13291" max="13291" width="3.42578125" style="409" customWidth="1"/>
    <col min="13292" max="13294" width="1.7109375" style="409" customWidth="1"/>
    <col min="13295" max="13295" width="3" style="409" bestFit="1" customWidth="1"/>
    <col min="13296" max="13536" width="8.7109375" style="409"/>
    <col min="13537" max="13537" width="6.42578125" style="409" customWidth="1"/>
    <col min="13538" max="13538" width="22.28515625" style="409" customWidth="1"/>
    <col min="13539" max="13539" width="11.5703125" style="409" customWidth="1"/>
    <col min="13540" max="13540" width="11.85546875" style="409" customWidth="1"/>
    <col min="13541" max="13541" width="16.5703125" style="409" customWidth="1"/>
    <col min="13542" max="13542" width="15.5703125" style="409" customWidth="1"/>
    <col min="13543" max="13543" width="18.28515625" style="409" customWidth="1"/>
    <col min="13544" max="13544" width="0" style="409" hidden="1" customWidth="1"/>
    <col min="13545" max="13545" width="4.140625" style="409" customWidth="1"/>
    <col min="13546" max="13546" width="1.7109375" style="409" customWidth="1"/>
    <col min="13547" max="13547" width="3.42578125" style="409" customWidth="1"/>
    <col min="13548" max="13550" width="1.7109375" style="409" customWidth="1"/>
    <col min="13551" max="13551" width="3" style="409" bestFit="1" customWidth="1"/>
    <col min="13552" max="13792" width="8.7109375" style="409"/>
    <col min="13793" max="13793" width="6.42578125" style="409" customWidth="1"/>
    <col min="13794" max="13794" width="22.28515625" style="409" customWidth="1"/>
    <col min="13795" max="13795" width="11.5703125" style="409" customWidth="1"/>
    <col min="13796" max="13796" width="11.85546875" style="409" customWidth="1"/>
    <col min="13797" max="13797" width="16.5703125" style="409" customWidth="1"/>
    <col min="13798" max="13798" width="15.5703125" style="409" customWidth="1"/>
    <col min="13799" max="13799" width="18.28515625" style="409" customWidth="1"/>
    <col min="13800" max="13800" width="0" style="409" hidden="1" customWidth="1"/>
    <col min="13801" max="13801" width="4.140625" style="409" customWidth="1"/>
    <col min="13802" max="13802" width="1.7109375" style="409" customWidth="1"/>
    <col min="13803" max="13803" width="3.42578125" style="409" customWidth="1"/>
    <col min="13804" max="13806" width="1.7109375" style="409" customWidth="1"/>
    <col min="13807" max="13807" width="3" style="409" bestFit="1" customWidth="1"/>
    <col min="13808" max="14048" width="8.7109375" style="409"/>
    <col min="14049" max="14049" width="6.42578125" style="409" customWidth="1"/>
    <col min="14050" max="14050" width="22.28515625" style="409" customWidth="1"/>
    <col min="14051" max="14051" width="11.5703125" style="409" customWidth="1"/>
    <col min="14052" max="14052" width="11.85546875" style="409" customWidth="1"/>
    <col min="14053" max="14053" width="16.5703125" style="409" customWidth="1"/>
    <col min="14054" max="14054" width="15.5703125" style="409" customWidth="1"/>
    <col min="14055" max="14055" width="18.28515625" style="409" customWidth="1"/>
    <col min="14056" max="14056" width="0" style="409" hidden="1" customWidth="1"/>
    <col min="14057" max="14057" width="4.140625" style="409" customWidth="1"/>
    <col min="14058" max="14058" width="1.7109375" style="409" customWidth="1"/>
    <col min="14059" max="14059" width="3.42578125" style="409" customWidth="1"/>
    <col min="14060" max="14062" width="1.7109375" style="409" customWidth="1"/>
    <col min="14063" max="14063" width="3" style="409" bestFit="1" customWidth="1"/>
    <col min="14064" max="14304" width="8.7109375" style="409"/>
    <col min="14305" max="14305" width="6.42578125" style="409" customWidth="1"/>
    <col min="14306" max="14306" width="22.28515625" style="409" customWidth="1"/>
    <col min="14307" max="14307" width="11.5703125" style="409" customWidth="1"/>
    <col min="14308" max="14308" width="11.85546875" style="409" customWidth="1"/>
    <col min="14309" max="14309" width="16.5703125" style="409" customWidth="1"/>
    <col min="14310" max="14310" width="15.5703125" style="409" customWidth="1"/>
    <col min="14311" max="14311" width="18.28515625" style="409" customWidth="1"/>
    <col min="14312" max="14312" width="0" style="409" hidden="1" customWidth="1"/>
    <col min="14313" max="14313" width="4.140625" style="409" customWidth="1"/>
    <col min="14314" max="14314" width="1.7109375" style="409" customWidth="1"/>
    <col min="14315" max="14315" width="3.42578125" style="409" customWidth="1"/>
    <col min="14316" max="14318" width="1.7109375" style="409" customWidth="1"/>
    <col min="14319" max="14319" width="3" style="409" bestFit="1" customWidth="1"/>
    <col min="14320" max="14560" width="8.7109375" style="409"/>
    <col min="14561" max="14561" width="6.42578125" style="409" customWidth="1"/>
    <col min="14562" max="14562" width="22.28515625" style="409" customWidth="1"/>
    <col min="14563" max="14563" width="11.5703125" style="409" customWidth="1"/>
    <col min="14564" max="14564" width="11.85546875" style="409" customWidth="1"/>
    <col min="14565" max="14565" width="16.5703125" style="409" customWidth="1"/>
    <col min="14566" max="14566" width="15.5703125" style="409" customWidth="1"/>
    <col min="14567" max="14567" width="18.28515625" style="409" customWidth="1"/>
    <col min="14568" max="14568" width="0" style="409" hidden="1" customWidth="1"/>
    <col min="14569" max="14569" width="4.140625" style="409" customWidth="1"/>
    <col min="14570" max="14570" width="1.7109375" style="409" customWidth="1"/>
    <col min="14571" max="14571" width="3.42578125" style="409" customWidth="1"/>
    <col min="14572" max="14574" width="1.7109375" style="409" customWidth="1"/>
    <col min="14575" max="14575" width="3" style="409" bestFit="1" customWidth="1"/>
    <col min="14576" max="14816" width="8.7109375" style="409"/>
    <col min="14817" max="14817" width="6.42578125" style="409" customWidth="1"/>
    <col min="14818" max="14818" width="22.28515625" style="409" customWidth="1"/>
    <col min="14819" max="14819" width="11.5703125" style="409" customWidth="1"/>
    <col min="14820" max="14820" width="11.85546875" style="409" customWidth="1"/>
    <col min="14821" max="14821" width="16.5703125" style="409" customWidth="1"/>
    <col min="14822" max="14822" width="15.5703125" style="409" customWidth="1"/>
    <col min="14823" max="14823" width="18.28515625" style="409" customWidth="1"/>
    <col min="14824" max="14824" width="0" style="409" hidden="1" customWidth="1"/>
    <col min="14825" max="14825" width="4.140625" style="409" customWidth="1"/>
    <col min="14826" max="14826" width="1.7109375" style="409" customWidth="1"/>
    <col min="14827" max="14827" width="3.42578125" style="409" customWidth="1"/>
    <col min="14828" max="14830" width="1.7109375" style="409" customWidth="1"/>
    <col min="14831" max="14831" width="3" style="409" bestFit="1" customWidth="1"/>
    <col min="14832" max="15072" width="8.7109375" style="409"/>
    <col min="15073" max="15073" width="6.42578125" style="409" customWidth="1"/>
    <col min="15074" max="15074" width="22.28515625" style="409" customWidth="1"/>
    <col min="15075" max="15075" width="11.5703125" style="409" customWidth="1"/>
    <col min="15076" max="15076" width="11.85546875" style="409" customWidth="1"/>
    <col min="15077" max="15077" width="16.5703125" style="409" customWidth="1"/>
    <col min="15078" max="15078" width="15.5703125" style="409" customWidth="1"/>
    <col min="15079" max="15079" width="18.28515625" style="409" customWidth="1"/>
    <col min="15080" max="15080" width="0" style="409" hidden="1" customWidth="1"/>
    <col min="15081" max="15081" width="4.140625" style="409" customWidth="1"/>
    <col min="15082" max="15082" width="1.7109375" style="409" customWidth="1"/>
    <col min="15083" max="15083" width="3.42578125" style="409" customWidth="1"/>
    <col min="15084" max="15086" width="1.7109375" style="409" customWidth="1"/>
    <col min="15087" max="15087" width="3" style="409" bestFit="1" customWidth="1"/>
    <col min="15088" max="15328" width="8.7109375" style="409"/>
    <col min="15329" max="15329" width="6.42578125" style="409" customWidth="1"/>
    <col min="15330" max="15330" width="22.28515625" style="409" customWidth="1"/>
    <col min="15331" max="15331" width="11.5703125" style="409" customWidth="1"/>
    <col min="15332" max="15332" width="11.85546875" style="409" customWidth="1"/>
    <col min="15333" max="15333" width="16.5703125" style="409" customWidth="1"/>
    <col min="15334" max="15334" width="15.5703125" style="409" customWidth="1"/>
    <col min="15335" max="15335" width="18.28515625" style="409" customWidth="1"/>
    <col min="15336" max="15336" width="0" style="409" hidden="1" customWidth="1"/>
    <col min="15337" max="15337" width="4.140625" style="409" customWidth="1"/>
    <col min="15338" max="15338" width="1.7109375" style="409" customWidth="1"/>
    <col min="15339" max="15339" width="3.42578125" style="409" customWidth="1"/>
    <col min="15340" max="15342" width="1.7109375" style="409" customWidth="1"/>
    <col min="15343" max="15343" width="3" style="409" bestFit="1" customWidth="1"/>
    <col min="15344" max="15584" width="8.7109375" style="409"/>
    <col min="15585" max="15585" width="6.42578125" style="409" customWidth="1"/>
    <col min="15586" max="15586" width="22.28515625" style="409" customWidth="1"/>
    <col min="15587" max="15587" width="11.5703125" style="409" customWidth="1"/>
    <col min="15588" max="15588" width="11.85546875" style="409" customWidth="1"/>
    <col min="15589" max="15589" width="16.5703125" style="409" customWidth="1"/>
    <col min="15590" max="15590" width="15.5703125" style="409" customWidth="1"/>
    <col min="15591" max="15591" width="18.28515625" style="409" customWidth="1"/>
    <col min="15592" max="15592" width="0" style="409" hidden="1" customWidth="1"/>
    <col min="15593" max="15593" width="4.140625" style="409" customWidth="1"/>
    <col min="15594" max="15594" width="1.7109375" style="409" customWidth="1"/>
    <col min="15595" max="15595" width="3.42578125" style="409" customWidth="1"/>
    <col min="15596" max="15598" width="1.7109375" style="409" customWidth="1"/>
    <col min="15599" max="15599" width="3" style="409" bestFit="1" customWidth="1"/>
    <col min="15600" max="15840" width="8.7109375" style="409"/>
    <col min="15841" max="15841" width="6.42578125" style="409" customWidth="1"/>
    <col min="15842" max="15842" width="22.28515625" style="409" customWidth="1"/>
    <col min="15843" max="15843" width="11.5703125" style="409" customWidth="1"/>
    <col min="15844" max="15844" width="11.85546875" style="409" customWidth="1"/>
    <col min="15845" max="15845" width="16.5703125" style="409" customWidth="1"/>
    <col min="15846" max="15846" width="15.5703125" style="409" customWidth="1"/>
    <col min="15847" max="15847" width="18.28515625" style="409" customWidth="1"/>
    <col min="15848" max="15848" width="0" style="409" hidden="1" customWidth="1"/>
    <col min="15849" max="15849" width="4.140625" style="409" customWidth="1"/>
    <col min="15850" max="15850" width="1.7109375" style="409" customWidth="1"/>
    <col min="15851" max="15851" width="3.42578125" style="409" customWidth="1"/>
    <col min="15852" max="15854" width="1.7109375" style="409" customWidth="1"/>
    <col min="15855" max="15855" width="3" style="409" bestFit="1" customWidth="1"/>
    <col min="15856" max="16096" width="8.7109375" style="409"/>
    <col min="16097" max="16097" width="6.42578125" style="409" customWidth="1"/>
    <col min="16098" max="16098" width="22.28515625" style="409" customWidth="1"/>
    <col min="16099" max="16099" width="11.5703125" style="409" customWidth="1"/>
    <col min="16100" max="16100" width="11.85546875" style="409" customWidth="1"/>
    <col min="16101" max="16101" width="16.5703125" style="409" customWidth="1"/>
    <col min="16102" max="16102" width="15.5703125" style="409" customWidth="1"/>
    <col min="16103" max="16103" width="18.28515625" style="409" customWidth="1"/>
    <col min="16104" max="16104" width="0" style="409" hidden="1" customWidth="1"/>
    <col min="16105" max="16105" width="4.140625" style="409" customWidth="1"/>
    <col min="16106" max="16106" width="1.7109375" style="409" customWidth="1"/>
    <col min="16107" max="16107" width="3.42578125" style="409" customWidth="1"/>
    <col min="16108" max="16110" width="1.7109375" style="409" customWidth="1"/>
    <col min="16111" max="16111" width="3" style="409" bestFit="1" customWidth="1"/>
    <col min="16112" max="16384" width="8.7109375" style="409"/>
  </cols>
  <sheetData>
    <row r="1" spans="1:9" ht="15.75" x14ac:dyDescent="0.25">
      <c r="A1" s="408"/>
      <c r="B1" s="408"/>
      <c r="C1" s="408"/>
      <c r="D1" s="408"/>
      <c r="E1" s="408"/>
      <c r="F1" s="408"/>
      <c r="G1" s="408"/>
    </row>
    <row r="2" spans="1:9" ht="15.75" x14ac:dyDescent="0.2">
      <c r="A2" s="1032" t="s">
        <v>1111</v>
      </c>
      <c r="B2" s="1032"/>
      <c r="C2" s="1032"/>
      <c r="D2" s="1032"/>
      <c r="E2" s="1032"/>
      <c r="F2" s="1032"/>
      <c r="G2" s="1032"/>
    </row>
    <row r="3" spans="1:9" ht="15.75" x14ac:dyDescent="0.2">
      <c r="A3" s="1032" t="s">
        <v>1112</v>
      </c>
      <c r="B3" s="1032"/>
      <c r="C3" s="1032"/>
      <c r="D3" s="1032"/>
      <c r="E3" s="1032"/>
      <c r="F3" s="1032"/>
      <c r="G3" s="1032"/>
    </row>
    <row r="4" spans="1:9" ht="15.75" x14ac:dyDescent="0.25">
      <c r="A4" s="408"/>
      <c r="B4" s="408"/>
      <c r="C4" s="408"/>
      <c r="D4" s="408"/>
      <c r="E4" s="408"/>
      <c r="F4" s="408"/>
      <c r="G4" s="408"/>
    </row>
    <row r="5" spans="1:9" ht="53.45" customHeight="1" x14ac:dyDescent="0.2">
      <c r="A5" s="1033" t="s">
        <v>1113</v>
      </c>
      <c r="B5" s="1034"/>
      <c r="C5" s="1035" t="s">
        <v>1180</v>
      </c>
      <c r="D5" s="1035"/>
      <c r="E5" s="1035"/>
      <c r="F5" s="1035"/>
      <c r="G5" s="1035"/>
    </row>
    <row r="6" spans="1:9" s="410" customFormat="1" ht="35.25" customHeight="1" x14ac:dyDescent="0.25">
      <c r="A6" s="1036" t="s">
        <v>1114</v>
      </c>
      <c r="B6" s="1036"/>
      <c r="C6" s="1037"/>
      <c r="D6" s="1037"/>
      <c r="E6" s="1038"/>
      <c r="F6" s="1038"/>
      <c r="G6" s="1038"/>
      <c r="I6" s="653"/>
    </row>
    <row r="7" spans="1:9" ht="29.25" customHeight="1" x14ac:dyDescent="0.2">
      <c r="A7" s="1036" t="s">
        <v>1115</v>
      </c>
      <c r="B7" s="1036"/>
      <c r="C7" s="1037" t="s">
        <v>1116</v>
      </c>
      <c r="D7" s="1037"/>
      <c r="E7" s="1038"/>
      <c r="F7" s="1038"/>
      <c r="G7" s="1038"/>
    </row>
    <row r="8" spans="1:9" ht="15.75" x14ac:dyDescent="0.25">
      <c r="A8" s="411"/>
      <c r="B8" s="412"/>
      <c r="C8" s="411"/>
      <c r="D8" s="411"/>
      <c r="E8" s="411"/>
      <c r="F8" s="411"/>
      <c r="G8" s="413" t="s">
        <v>1117</v>
      </c>
    </row>
    <row r="9" spans="1:9" ht="15.75" x14ac:dyDescent="0.25">
      <c r="A9" s="1039" t="s">
        <v>57</v>
      </c>
      <c r="B9" s="1039" t="s">
        <v>1118</v>
      </c>
      <c r="C9" s="1039" t="s">
        <v>1119</v>
      </c>
      <c r="D9" s="1039" t="s">
        <v>1120</v>
      </c>
      <c r="E9" s="1042" t="s">
        <v>1121</v>
      </c>
      <c r="F9" s="1042"/>
      <c r="G9" s="1042"/>
    </row>
    <row r="10" spans="1:9" ht="34.5" customHeight="1" x14ac:dyDescent="0.2">
      <c r="A10" s="1040"/>
      <c r="B10" s="1040"/>
      <c r="C10" s="1040"/>
      <c r="D10" s="1041"/>
      <c r="E10" s="414" t="s">
        <v>1122</v>
      </c>
      <c r="F10" s="414" t="s">
        <v>1123</v>
      </c>
      <c r="G10" s="414" t="s">
        <v>368</v>
      </c>
    </row>
    <row r="11" spans="1:9" ht="15.75" x14ac:dyDescent="0.2">
      <c r="A11" s="415">
        <v>1</v>
      </c>
      <c r="B11" s="415">
        <v>2</v>
      </c>
      <c r="C11" s="415"/>
      <c r="D11" s="415"/>
      <c r="E11" s="415">
        <v>4</v>
      </c>
      <c r="F11" s="415">
        <v>5</v>
      </c>
      <c r="G11" s="415">
        <v>6</v>
      </c>
    </row>
    <row r="12" spans="1:9" ht="15.75" x14ac:dyDescent="0.2">
      <c r="A12" s="1044" t="s">
        <v>1124</v>
      </c>
      <c r="B12" s="1045"/>
      <c r="C12" s="1045"/>
      <c r="D12" s="1045"/>
      <c r="E12" s="1045"/>
      <c r="F12" s="1045"/>
      <c r="G12" s="1046"/>
    </row>
    <row r="13" spans="1:9" ht="32.25" customHeight="1" x14ac:dyDescent="0.2">
      <c r="A13" s="416" t="s">
        <v>366</v>
      </c>
      <c r="B13" s="417" t="s">
        <v>1125</v>
      </c>
      <c r="C13" s="418" t="s">
        <v>1126</v>
      </c>
      <c r="D13" s="416" t="s">
        <v>1127</v>
      </c>
      <c r="E13" s="419">
        <f>ROUND(геодез!G97,0)</f>
        <v>2934509</v>
      </c>
      <c r="F13" s="420"/>
      <c r="G13" s="420">
        <f>SUM(E13:F13)</f>
        <v>2934509</v>
      </c>
      <c r="I13" s="654"/>
    </row>
    <row r="14" spans="1:9" ht="36.6" customHeight="1" x14ac:dyDescent="0.2">
      <c r="A14" s="416" t="s">
        <v>367</v>
      </c>
      <c r="B14" s="417" t="s">
        <v>1128</v>
      </c>
      <c r="C14" s="418" t="s">
        <v>1126</v>
      </c>
      <c r="D14" s="416" t="s">
        <v>1129</v>
      </c>
      <c r="E14" s="421">
        <f>ROUND(геолог.!G110,0)</f>
        <v>4816992</v>
      </c>
      <c r="F14" s="421"/>
      <c r="G14" s="420">
        <f t="shared" ref="G14:G18" si="0">SUM(E14:F14)</f>
        <v>4816992</v>
      </c>
      <c r="I14" s="654"/>
    </row>
    <row r="15" spans="1:9" ht="36.6" customHeight="1" x14ac:dyDescent="0.2">
      <c r="A15" s="416" t="s">
        <v>1130</v>
      </c>
      <c r="B15" s="417" t="s">
        <v>1131</v>
      </c>
      <c r="C15" s="418" t="s">
        <v>1126</v>
      </c>
      <c r="D15" s="416" t="s">
        <v>1132</v>
      </c>
      <c r="E15" s="421">
        <f>геофиз.!G61</f>
        <v>324464.89999999997</v>
      </c>
      <c r="F15" s="421"/>
      <c r="G15" s="420">
        <f t="shared" si="0"/>
        <v>324464.89999999997</v>
      </c>
      <c r="I15" s="654"/>
    </row>
    <row r="16" spans="1:9" ht="36.6" customHeight="1" x14ac:dyDescent="0.2">
      <c r="A16" s="416" t="s">
        <v>1133</v>
      </c>
      <c r="B16" s="417" t="s">
        <v>1134</v>
      </c>
      <c r="C16" s="418" t="s">
        <v>1126</v>
      </c>
      <c r="D16" s="416" t="s">
        <v>1135</v>
      </c>
      <c r="E16" s="421">
        <f>ROUND(гидромет!G134,0)</f>
        <v>931317</v>
      </c>
      <c r="F16" s="421"/>
      <c r="G16" s="420">
        <f t="shared" si="0"/>
        <v>931317</v>
      </c>
      <c r="I16" s="654"/>
    </row>
    <row r="17" spans="1:9" ht="36.6" customHeight="1" x14ac:dyDescent="0.2">
      <c r="A17" s="416" t="s">
        <v>1133</v>
      </c>
      <c r="B17" s="417" t="s">
        <v>1467</v>
      </c>
      <c r="C17" s="418" t="s">
        <v>1126</v>
      </c>
      <c r="D17" s="416" t="s">
        <v>1498</v>
      </c>
      <c r="E17" s="421">
        <f>ROUND('Сели Лавины'!J44,0)</f>
        <v>484313</v>
      </c>
      <c r="F17" s="421"/>
      <c r="G17" s="420">
        <f t="shared" si="0"/>
        <v>484313</v>
      </c>
      <c r="I17" s="654"/>
    </row>
    <row r="18" spans="1:9" ht="36.6" customHeight="1" x14ac:dyDescent="0.2">
      <c r="A18" s="416" t="s">
        <v>1136</v>
      </c>
      <c r="B18" s="417" t="s">
        <v>1137</v>
      </c>
      <c r="C18" s="418" t="s">
        <v>1126</v>
      </c>
      <c r="D18" s="416" t="s">
        <v>1138</v>
      </c>
      <c r="E18" s="421">
        <f>ROUND(эколог!G420,0)</f>
        <v>873648</v>
      </c>
      <c r="F18" s="421"/>
      <c r="G18" s="420">
        <f t="shared" si="0"/>
        <v>873648</v>
      </c>
      <c r="I18" s="654"/>
    </row>
    <row r="19" spans="1:9" ht="25.5" customHeight="1" x14ac:dyDescent="0.2">
      <c r="A19" s="1047" t="s">
        <v>1139</v>
      </c>
      <c r="B19" s="1048"/>
      <c r="C19" s="1048"/>
      <c r="D19" s="1048"/>
      <c r="E19" s="1048"/>
      <c r="F19" s="1049"/>
      <c r="G19" s="422">
        <f>SUM(G13:G18)</f>
        <v>10365243.9</v>
      </c>
    </row>
    <row r="20" spans="1:9" ht="25.5" customHeight="1" x14ac:dyDescent="0.2">
      <c r="A20" s="1050" t="s">
        <v>1140</v>
      </c>
      <c r="B20" s="1051"/>
      <c r="C20" s="1051"/>
      <c r="D20" s="1051"/>
      <c r="E20" s="1051"/>
      <c r="F20" s="1051"/>
      <c r="G20" s="1051"/>
    </row>
    <row r="21" spans="1:9" ht="54" customHeight="1" x14ac:dyDescent="0.2">
      <c r="A21" s="416" t="s">
        <v>372</v>
      </c>
      <c r="B21" s="456" t="str">
        <f>CONCATENATE("Проектная документация " &amp; 'СВОД (объемов работ)'!B7)</f>
        <v>Проектная документация Этап 1. Благоустройство въездной группы</v>
      </c>
      <c r="C21" s="418"/>
      <c r="D21" s="416" t="s">
        <v>1141</v>
      </c>
      <c r="E21" s="424"/>
      <c r="F21" s="420">
        <f>'Этап 1. (ПД)'!F377</f>
        <v>1970211.8798849157</v>
      </c>
      <c r="G21" s="420">
        <f t="shared" ref="G21" si="1">F21</f>
        <v>1970211.8798849157</v>
      </c>
    </row>
    <row r="22" spans="1:9" ht="59.25" customHeight="1" x14ac:dyDescent="0.2">
      <c r="A22" s="416" t="s">
        <v>375</v>
      </c>
      <c r="B22" s="456" t="str">
        <f>CONCATENATE("Проектная документация " &amp; 'СВОД (объемов работ)'!B29)</f>
        <v>Проектная документация Этап 2. Благоустройство центральной площади и площади зоны выката</v>
      </c>
      <c r="C22" s="418"/>
      <c r="D22" s="416" t="s">
        <v>1181</v>
      </c>
      <c r="E22" s="424"/>
      <c r="F22" s="420">
        <f>'Этап 2. (ПД)'!F487</f>
        <v>3702033.0555356005</v>
      </c>
      <c r="G22" s="420">
        <f t="shared" ref="G22:G23" si="2">F22</f>
        <v>3702033.0555356005</v>
      </c>
    </row>
    <row r="23" spans="1:9" ht="44.25" customHeight="1" x14ac:dyDescent="0.2">
      <c r="A23" s="416" t="s">
        <v>378</v>
      </c>
      <c r="B23" s="456" t="str">
        <f>CONCATENATE("Проектная документация " &amp; 'СВОД (объемов работ)'!B57)</f>
        <v>Проектная документация Этап 3. Благоустройство дорожной (уличной) сети</v>
      </c>
      <c r="C23" s="418"/>
      <c r="D23" s="416" t="s">
        <v>1182</v>
      </c>
      <c r="E23" s="424"/>
      <c r="F23" s="420">
        <f>'Этап 3. (ПД)'!F418</f>
        <v>4842980.968533135</v>
      </c>
      <c r="G23" s="420">
        <f t="shared" si="2"/>
        <v>4842980.968533135</v>
      </c>
    </row>
    <row r="24" spans="1:9" ht="42" customHeight="1" x14ac:dyDescent="0.2">
      <c r="A24" s="416" t="s">
        <v>1191</v>
      </c>
      <c r="B24" s="456" t="str">
        <f>CONCATENATE("Проектная документация " &amp; 'СВОД (объемов работ)'!B82)</f>
        <v>Проектная документация Этап 4 (Лот №1). Благоустройство зоны рекреации</v>
      </c>
      <c r="C24" s="418"/>
      <c r="D24" s="416" t="s">
        <v>1183</v>
      </c>
      <c r="E24" s="424"/>
      <c r="F24" s="420">
        <f>'Этап 4 (Лот №1) (ПД)'!F471</f>
        <v>4262848.7770729186</v>
      </c>
      <c r="G24" s="420">
        <f t="shared" ref="G24:G27" si="3">F24</f>
        <v>4262848.7770729186</v>
      </c>
    </row>
    <row r="25" spans="1:9" ht="39" customHeight="1" x14ac:dyDescent="0.2">
      <c r="A25" s="416" t="s">
        <v>1192</v>
      </c>
      <c r="B25" s="456" t="str">
        <f>CONCATENATE("Проектная документация " &amp; 'СВОД (объемов работ)'!B108)</f>
        <v>Проектная документация Этап 5 (Лот №2). Благоустройство зоны рекреации</v>
      </c>
      <c r="C25" s="418"/>
      <c r="D25" s="416" t="s">
        <v>1184</v>
      </c>
      <c r="E25" s="424"/>
      <c r="F25" s="420">
        <f>'Этап 5 (Лот №2) (ПД)'!F220</f>
        <v>3741613.9301381912</v>
      </c>
      <c r="G25" s="420">
        <f t="shared" si="3"/>
        <v>3741613.9301381912</v>
      </c>
    </row>
    <row r="26" spans="1:9" ht="54.75" customHeight="1" x14ac:dyDescent="0.2">
      <c r="A26" s="416" t="s">
        <v>1193</v>
      </c>
      <c r="B26" s="456" t="str">
        <f>CONCATENATE("Проектная документация " &amp; 'СВОД (объемов работ)'!B124)</f>
        <v>Проектная документация Подэтап 6.1 – Благоустройство парковой зоны</v>
      </c>
      <c r="C26" s="418"/>
      <c r="D26" s="416" t="s">
        <v>1185</v>
      </c>
      <c r="E26" s="424"/>
      <c r="F26" s="420">
        <f>'Подэтап 6.1  (ПД)'!F270</f>
        <v>4812182.6317749284</v>
      </c>
      <c r="G26" s="420">
        <f t="shared" si="3"/>
        <v>4812182.6317749284</v>
      </c>
    </row>
    <row r="27" spans="1:9" ht="50.25" customHeight="1" x14ac:dyDescent="0.2">
      <c r="A27" s="416" t="s">
        <v>1194</v>
      </c>
      <c r="B27" s="456" t="str">
        <f>CONCATENATE("Проектная документация " &amp; 'СВОД (объемов работ)'!B139)</f>
        <v>Проектная документация Подэтап 6.2 - Благоустройство детского парка</v>
      </c>
      <c r="C27" s="418"/>
      <c r="D27" s="416" t="s">
        <v>1186</v>
      </c>
      <c r="E27" s="424"/>
      <c r="F27" s="420">
        <f>'Подэтап 6.2  (ПД)'!F209</f>
        <v>1251172.6154560251</v>
      </c>
      <c r="G27" s="420">
        <f t="shared" si="3"/>
        <v>1251172.6154560251</v>
      </c>
    </row>
    <row r="28" spans="1:9" ht="39" customHeight="1" x14ac:dyDescent="0.2">
      <c r="A28" s="416" t="s">
        <v>1195</v>
      </c>
      <c r="B28" s="456" t="str">
        <f>CONCATENATE("Проектная документация " &amp; 'СВОД (объемов работ)'!B152)</f>
        <v>Проектная документация Подэтап 6.3 – Благоустройство зоны воркаута</v>
      </c>
      <c r="C28" s="418"/>
      <c r="D28" s="416" t="s">
        <v>1187</v>
      </c>
      <c r="E28" s="424"/>
      <c r="F28" s="420">
        <f>'Подэтап 6.3  (ПД)'!F147</f>
        <v>759590.81378843053</v>
      </c>
      <c r="G28" s="420">
        <f t="shared" ref="G28:G31" si="4">F28</f>
        <v>759590.81378843053</v>
      </c>
    </row>
    <row r="29" spans="1:9" ht="48" customHeight="1" x14ac:dyDescent="0.2">
      <c r="A29" s="416" t="s">
        <v>1196</v>
      </c>
      <c r="B29" s="456" t="str">
        <f>CONCATENATE("Проектная документация " &amp; 'СВОД (объемов работ)'!B164)</f>
        <v>Проектная документация Подэтап 6.4 – Благоустройство парка активного отдыха</v>
      </c>
      <c r="C29" s="418"/>
      <c r="D29" s="416" t="s">
        <v>1188</v>
      </c>
      <c r="E29" s="424"/>
      <c r="F29" s="420">
        <f>'Подэтап 6.4  (ПД)'!F585</f>
        <v>6015093.8479340626</v>
      </c>
      <c r="G29" s="420">
        <f t="shared" si="4"/>
        <v>6015093.8479340626</v>
      </c>
    </row>
    <row r="30" spans="1:9" ht="43.5" customHeight="1" x14ac:dyDescent="0.2">
      <c r="A30" s="416" t="s">
        <v>1197</v>
      </c>
      <c r="B30" s="456" t="str">
        <f>CONCATENATE("Проектная документация " &amp; 'СВОД (объемов работ)'!B194)</f>
        <v>Проектная документация Подэтап 7.1 Благоустройство зоны рекреации</v>
      </c>
      <c r="C30" s="418"/>
      <c r="D30" s="416" t="s">
        <v>1189</v>
      </c>
      <c r="E30" s="424"/>
      <c r="F30" s="420">
        <f>'Подэтап 7.1 (ПД) '!F220</f>
        <v>3874289.409036153</v>
      </c>
      <c r="G30" s="420">
        <f t="shared" si="4"/>
        <v>3874289.409036153</v>
      </c>
    </row>
    <row r="31" spans="1:9" ht="52.5" customHeight="1" x14ac:dyDescent="0.2">
      <c r="A31" s="416" t="s">
        <v>1198</v>
      </c>
      <c r="B31" s="456" t="str">
        <f>CONCATENATE("Проектная документация " &amp; 'СВОД (объемов работ)'!B208)</f>
        <v>Проектная документация Подэтап 7.2 Благоустройство санитарной зоны</v>
      </c>
      <c r="C31" s="418"/>
      <c r="D31" s="416" t="s">
        <v>1190</v>
      </c>
      <c r="E31" s="424"/>
      <c r="F31" s="420">
        <f>'Подэтап 7.2 (ПД)'!F30</f>
        <v>19179.779018400004</v>
      </c>
      <c r="G31" s="420">
        <f t="shared" si="4"/>
        <v>19179.779018400004</v>
      </c>
    </row>
    <row r="32" spans="1:9" ht="29.25" customHeight="1" x14ac:dyDescent="0.2">
      <c r="A32" s="1047" t="s">
        <v>1142</v>
      </c>
      <c r="B32" s="1048"/>
      <c r="C32" s="1048"/>
      <c r="D32" s="1048"/>
      <c r="E32" s="1048"/>
      <c r="F32" s="1049"/>
      <c r="G32" s="422">
        <f>ROUND(SUM(G21:G31),0)</f>
        <v>35251198</v>
      </c>
    </row>
    <row r="33" spans="1:10" ht="29.25" customHeight="1" x14ac:dyDescent="0.2">
      <c r="A33" s="1050" t="s">
        <v>1143</v>
      </c>
      <c r="B33" s="1051"/>
      <c r="C33" s="1051"/>
      <c r="D33" s="1051"/>
      <c r="E33" s="1051"/>
      <c r="F33" s="1051"/>
      <c r="G33" s="1051"/>
    </row>
    <row r="34" spans="1:10" ht="65.25" customHeight="1" x14ac:dyDescent="0.2">
      <c r="A34" s="416" t="s">
        <v>556</v>
      </c>
      <c r="B34" s="423" t="s">
        <v>1144</v>
      </c>
      <c r="C34" s="418"/>
      <c r="D34" s="416" t="s">
        <v>1145</v>
      </c>
      <c r="E34" s="424"/>
      <c r="F34" s="425"/>
      <c r="G34" s="420">
        <f>'Экспертиза ПД и ИЗ'!H21</f>
        <v>2800654</v>
      </c>
    </row>
    <row r="35" spans="1:10" ht="19.5" customHeight="1" x14ac:dyDescent="0.2">
      <c r="A35" s="1047" t="s">
        <v>1146</v>
      </c>
      <c r="B35" s="1048"/>
      <c r="C35" s="1048"/>
      <c r="D35" s="1048"/>
      <c r="E35" s="1048"/>
      <c r="F35" s="1049"/>
      <c r="G35" s="422">
        <f>G34</f>
        <v>2800654</v>
      </c>
    </row>
    <row r="36" spans="1:10" ht="19.5" customHeight="1" x14ac:dyDescent="0.2">
      <c r="A36" s="426"/>
      <c r="B36" s="426"/>
      <c r="C36" s="426"/>
      <c r="D36" s="426"/>
      <c r="E36" s="426"/>
      <c r="F36" s="426" t="s">
        <v>1147</v>
      </c>
      <c r="G36" s="427">
        <f>G19+G32+G35</f>
        <v>48417095.899999999</v>
      </c>
      <c r="J36" s="502"/>
    </row>
    <row r="37" spans="1:10" ht="19.5" customHeight="1" x14ac:dyDescent="0.2">
      <c r="A37" s="426"/>
      <c r="B37" s="426"/>
      <c r="C37" s="426"/>
      <c r="D37" s="426"/>
      <c r="E37" s="426"/>
      <c r="F37" s="426"/>
      <c r="G37" s="428"/>
    </row>
    <row r="38" spans="1:10" ht="19.5" customHeight="1" x14ac:dyDescent="0.2">
      <c r="A38" s="426"/>
      <c r="B38" s="426"/>
      <c r="C38" s="426"/>
      <c r="D38" s="426"/>
      <c r="E38" s="426"/>
      <c r="F38" s="426"/>
      <c r="G38" s="428"/>
    </row>
    <row r="39" spans="1:10" ht="19.5" customHeight="1" x14ac:dyDescent="0.2">
      <c r="A39" s="426"/>
      <c r="B39" s="426"/>
      <c r="C39" s="426"/>
      <c r="D39" s="426"/>
      <c r="E39" s="426"/>
      <c r="F39" s="426"/>
      <c r="G39" s="428"/>
    </row>
    <row r="40" spans="1:10" ht="19.5" customHeight="1" x14ac:dyDescent="0.2">
      <c r="A40" s="426"/>
      <c r="B40" s="426"/>
      <c r="C40" s="426"/>
      <c r="D40" s="426"/>
      <c r="E40" s="426"/>
      <c r="F40" s="426"/>
      <c r="G40" s="428"/>
    </row>
    <row r="41" spans="1:10" ht="19.5" customHeight="1" x14ac:dyDescent="0.2">
      <c r="A41" s="426"/>
      <c r="B41" s="426"/>
      <c r="C41" s="426"/>
      <c r="D41" s="426"/>
      <c r="E41" s="426"/>
      <c r="F41" s="426"/>
      <c r="G41" s="428"/>
    </row>
    <row r="42" spans="1:10" ht="19.5" customHeight="1" x14ac:dyDescent="0.2">
      <c r="A42" s="426"/>
      <c r="B42" s="426"/>
      <c r="C42" s="426"/>
      <c r="D42" s="426"/>
      <c r="E42" s="426"/>
      <c r="F42" s="426"/>
      <c r="G42" s="428"/>
    </row>
    <row r="43" spans="1:10" ht="19.5" customHeight="1" x14ac:dyDescent="0.2">
      <c r="A43" s="426"/>
      <c r="B43" s="426"/>
      <c r="C43" s="426"/>
      <c r="D43" s="426"/>
      <c r="E43" s="426"/>
      <c r="F43" s="426"/>
      <c r="G43" s="428"/>
    </row>
    <row r="44" spans="1:10" ht="19.5" customHeight="1" x14ac:dyDescent="0.2">
      <c r="A44" s="426"/>
      <c r="B44" s="426"/>
      <c r="C44" s="426"/>
      <c r="D44" s="426"/>
      <c r="E44" s="426"/>
      <c r="F44" s="426"/>
      <c r="G44" s="428"/>
    </row>
    <row r="45" spans="1:10" ht="50.25" hidden="1" customHeight="1" outlineLevel="1" x14ac:dyDescent="0.2">
      <c r="A45" s="1052" t="s">
        <v>1148</v>
      </c>
      <c r="B45" s="1052"/>
      <c r="C45" s="1052"/>
      <c r="D45" s="1052"/>
      <c r="E45" s="1052"/>
      <c r="F45" s="429"/>
      <c r="G45" s="430"/>
    </row>
    <row r="46" spans="1:10" hidden="1" outlineLevel="1" x14ac:dyDescent="0.2"/>
    <row r="47" spans="1:10" hidden="1" outlineLevel="1" x14ac:dyDescent="0.2">
      <c r="A47" s="431" t="s">
        <v>1149</v>
      </c>
      <c r="B47" s="431"/>
      <c r="C47" s="431"/>
      <c r="D47" s="432"/>
      <c r="E47" s="431"/>
    </row>
    <row r="48" spans="1:10" hidden="1" outlineLevel="1" x14ac:dyDescent="0.2">
      <c r="A48" s="431" t="s">
        <v>1150</v>
      </c>
      <c r="B48" s="431"/>
      <c r="C48" s="431"/>
      <c r="D48" s="433">
        <v>2023</v>
      </c>
      <c r="E48" s="431"/>
    </row>
    <row r="49" spans="1:5" hidden="1" outlineLevel="1" x14ac:dyDescent="0.2">
      <c r="A49" s="431" t="s">
        <v>1151</v>
      </c>
      <c r="B49" s="431"/>
      <c r="C49" s="431"/>
      <c r="D49" s="432">
        <v>2025</v>
      </c>
      <c r="E49" s="431"/>
    </row>
    <row r="50" spans="1:5" hidden="1" outlineLevel="1" x14ac:dyDescent="0.2"/>
    <row r="51" spans="1:5" hidden="1" outlineLevel="1" x14ac:dyDescent="0.2">
      <c r="A51" s="1053" t="s">
        <v>1152</v>
      </c>
      <c r="B51" s="1053"/>
      <c r="C51" s="1053"/>
      <c r="D51" s="1053"/>
      <c r="E51" s="1053"/>
    </row>
    <row r="52" spans="1:5" hidden="1" outlineLevel="1" x14ac:dyDescent="0.2">
      <c r="A52" s="1043" t="s">
        <v>1221</v>
      </c>
      <c r="B52" s="1043"/>
      <c r="C52" s="1043"/>
      <c r="D52" s="1043"/>
      <c r="E52" s="1043"/>
    </row>
    <row r="53" spans="1:5" ht="76.5" hidden="1" outlineLevel="1" x14ac:dyDescent="0.2">
      <c r="A53" s="434" t="s">
        <v>57</v>
      </c>
      <c r="B53" s="435" t="s">
        <v>1154</v>
      </c>
      <c r="C53" s="435" t="s">
        <v>1155</v>
      </c>
      <c r="D53" s="435" t="s">
        <v>1156</v>
      </c>
      <c r="E53" s="435" t="s">
        <v>1157</v>
      </c>
    </row>
    <row r="54" spans="1:5" hidden="1" outlineLevel="1" x14ac:dyDescent="0.2">
      <c r="A54" s="1043" t="s">
        <v>1222</v>
      </c>
      <c r="B54" s="1043"/>
      <c r="C54" s="1043"/>
      <c r="D54" s="1043"/>
      <c r="E54" s="1043"/>
    </row>
    <row r="55" spans="1:5" hidden="1" outlineLevel="1" x14ac:dyDescent="0.2">
      <c r="A55" s="436">
        <v>1</v>
      </c>
      <c r="B55" s="437">
        <f>Дефляторы!D91</f>
        <v>105.9</v>
      </c>
      <c r="C55" s="437">
        <v>2.5</v>
      </c>
      <c r="D55" s="438">
        <f>(B55-100)/100*C55/12</f>
        <v>1.229166666666668E-2</v>
      </c>
      <c r="E55" s="438">
        <f>1+D55</f>
        <v>1.0122916666666666</v>
      </c>
    </row>
    <row r="56" spans="1:5" hidden="1" outlineLevel="1" x14ac:dyDescent="0.2">
      <c r="A56" s="1043" t="s">
        <v>1220</v>
      </c>
      <c r="B56" s="1043"/>
      <c r="C56" s="1043"/>
      <c r="D56" s="1043"/>
      <c r="E56" s="1043"/>
    </row>
    <row r="57" spans="1:5" ht="63.75" hidden="1" outlineLevel="1" x14ac:dyDescent="0.2">
      <c r="A57" s="436"/>
      <c r="B57" s="435" t="s">
        <v>1158</v>
      </c>
      <c r="C57" s="435" t="s">
        <v>1159</v>
      </c>
      <c r="D57" s="435" t="s">
        <v>1160</v>
      </c>
      <c r="E57" s="435" t="s">
        <v>1161</v>
      </c>
    </row>
    <row r="58" spans="1:5" hidden="1" outlineLevel="1" x14ac:dyDescent="0.2">
      <c r="A58" s="437">
        <v>2</v>
      </c>
      <c r="B58" s="437">
        <f>Дефляторы!E91</f>
        <v>105.3</v>
      </c>
      <c r="C58" s="437">
        <v>0.5</v>
      </c>
      <c r="D58" s="438">
        <f>(B58-100)/100*C58/12</f>
        <v>2.2083333333333321E-3</v>
      </c>
      <c r="E58" s="438">
        <f>1+D58</f>
        <v>1.0022083333333334</v>
      </c>
    </row>
    <row r="59" spans="1:5" hidden="1" outlineLevel="1" x14ac:dyDescent="0.2">
      <c r="A59" s="1043" t="s">
        <v>1223</v>
      </c>
      <c r="B59" s="1043"/>
      <c r="C59" s="1043"/>
      <c r="D59" s="1043"/>
      <c r="E59" s="1043"/>
    </row>
    <row r="60" spans="1:5" ht="63.75" hidden="1" outlineLevel="1" x14ac:dyDescent="0.2">
      <c r="A60" s="436"/>
      <c r="B60" s="435" t="s">
        <v>1162</v>
      </c>
      <c r="C60" s="435" t="s">
        <v>1163</v>
      </c>
      <c r="D60" s="435" t="s">
        <v>1164</v>
      </c>
      <c r="E60" s="435" t="s">
        <v>1165</v>
      </c>
    </row>
    <row r="61" spans="1:5" hidden="1" outlineLevel="1" x14ac:dyDescent="0.2">
      <c r="A61" s="437">
        <v>2</v>
      </c>
      <c r="B61" s="437">
        <f>Дефляторы!F91</f>
        <v>104.8</v>
      </c>
      <c r="C61" s="437">
        <v>1.5</v>
      </c>
      <c r="D61" s="438">
        <f>(B61-100)/100*C61/12</f>
        <v>5.9999999999999958E-3</v>
      </c>
      <c r="E61" s="438">
        <f>1+0.5*D61</f>
        <v>1.0029999999999999</v>
      </c>
    </row>
    <row r="62" spans="1:5" ht="15" hidden="1" outlineLevel="1" x14ac:dyDescent="0.25">
      <c r="A62" s="439"/>
      <c r="B62" s="440" t="s">
        <v>1166</v>
      </c>
      <c r="C62" s="439"/>
      <c r="D62" s="441" t="s">
        <v>1167</v>
      </c>
      <c r="E62" s="442" t="s">
        <v>1168</v>
      </c>
    </row>
    <row r="63" spans="1:5" hidden="1" outlineLevel="1" x14ac:dyDescent="0.2">
      <c r="A63" s="440"/>
      <c r="B63" s="440"/>
      <c r="C63" s="440"/>
      <c r="D63" s="443">
        <f>D58+D61</f>
        <v>8.2083333333333279E-3</v>
      </c>
      <c r="E63" s="444">
        <f>(1+0.5*D63)</f>
        <v>1.0041041666666666</v>
      </c>
    </row>
    <row r="64" spans="1:5" hidden="1" outlineLevel="1" x14ac:dyDescent="0.2">
      <c r="A64" s="437">
        <v>3</v>
      </c>
      <c r="B64" s="445" t="s">
        <v>1169</v>
      </c>
      <c r="C64" s="445"/>
      <c r="D64" s="435" t="s">
        <v>1170</v>
      </c>
      <c r="E64" s="438">
        <f>E55*E63</f>
        <v>1.0164462803819443</v>
      </c>
    </row>
    <row r="65" spans="1:6" hidden="1" outlineLevel="1" x14ac:dyDescent="0.2">
      <c r="A65" s="1060" t="s">
        <v>1171</v>
      </c>
      <c r="B65" s="1060"/>
      <c r="C65" s="1060"/>
      <c r="D65" s="1060"/>
      <c r="E65" s="1060"/>
    </row>
    <row r="66" spans="1:6" hidden="1" outlineLevel="1" x14ac:dyDescent="0.2">
      <c r="A66" s="1061" t="s">
        <v>1172</v>
      </c>
      <c r="B66" s="1061"/>
      <c r="C66" s="1061"/>
      <c r="D66" s="446"/>
      <c r="E66" s="447">
        <f>G19</f>
        <v>10365243.9</v>
      </c>
    </row>
    <row r="67" spans="1:6" hidden="1" outlineLevel="1" x14ac:dyDescent="0.2">
      <c r="A67" s="1054" t="s">
        <v>1173</v>
      </c>
      <c r="B67" s="1055"/>
      <c r="C67" s="1056"/>
      <c r="D67" s="446"/>
      <c r="E67" s="438">
        <f>E63</f>
        <v>1.0041041666666666</v>
      </c>
    </row>
    <row r="68" spans="1:6" hidden="1" outlineLevel="1" x14ac:dyDescent="0.2">
      <c r="A68" s="1054" t="s">
        <v>1174</v>
      </c>
      <c r="B68" s="1055"/>
      <c r="C68" s="1056"/>
      <c r="D68" s="445"/>
      <c r="E68" s="447">
        <f>E66*E67</f>
        <v>10407784.58850625</v>
      </c>
    </row>
    <row r="69" spans="1:6" ht="25.5" hidden="1" outlineLevel="1" x14ac:dyDescent="0.2">
      <c r="A69" s="1057" t="s">
        <v>1175</v>
      </c>
      <c r="B69" s="1058"/>
      <c r="C69" s="1059"/>
      <c r="D69" s="448" t="s">
        <v>1176</v>
      </c>
      <c r="E69" s="449">
        <f>E66+(E68-E66)*(1-30/100)</f>
        <v>10395022.381954376</v>
      </c>
      <c r="F69" s="409">
        <f>E69/E66</f>
        <v>1.0028729166666668</v>
      </c>
    </row>
    <row r="70" spans="1:6" hidden="1" outlineLevel="1" x14ac:dyDescent="0.2">
      <c r="A70" s="450"/>
      <c r="B70" s="450"/>
      <c r="D70" s="451" t="s">
        <v>1177</v>
      </c>
      <c r="E70" s="452">
        <f>E69-E66</f>
        <v>29778.481954375282</v>
      </c>
    </row>
    <row r="71" spans="1:6" ht="15" hidden="1" outlineLevel="1" x14ac:dyDescent="0.25">
      <c r="A71" s="453"/>
      <c r="B71" s="453"/>
      <c r="D71" s="454"/>
      <c r="E71" s="455"/>
    </row>
    <row r="72" spans="1:6" hidden="1" outlineLevel="1" x14ac:dyDescent="0.2">
      <c r="A72" s="431" t="s">
        <v>1149</v>
      </c>
      <c r="B72" s="431"/>
      <c r="C72" s="431"/>
      <c r="D72" s="503"/>
      <c r="E72" s="431"/>
    </row>
    <row r="73" spans="1:6" hidden="1" outlineLevel="1" x14ac:dyDescent="0.2">
      <c r="A73" s="431" t="s">
        <v>1150</v>
      </c>
      <c r="B73" s="431"/>
      <c r="C73" s="431"/>
      <c r="D73" s="433">
        <v>2023</v>
      </c>
      <c r="E73" s="431" t="s">
        <v>1178</v>
      </c>
    </row>
    <row r="74" spans="1:6" hidden="1" outlineLevel="1" x14ac:dyDescent="0.2">
      <c r="A74" s="431" t="s">
        <v>1151</v>
      </c>
      <c r="B74" s="431"/>
      <c r="C74" s="431"/>
      <c r="D74" s="432">
        <v>2025</v>
      </c>
      <c r="E74" s="431"/>
    </row>
    <row r="75" spans="1:6" hidden="1" outlineLevel="1" x14ac:dyDescent="0.2"/>
    <row r="76" spans="1:6" hidden="1" outlineLevel="1" x14ac:dyDescent="0.2">
      <c r="A76" s="1053" t="s">
        <v>1179</v>
      </c>
      <c r="B76" s="1053"/>
      <c r="C76" s="1053"/>
      <c r="D76" s="1053"/>
      <c r="E76" s="1053"/>
    </row>
    <row r="77" spans="1:6" hidden="1" outlineLevel="1" x14ac:dyDescent="0.2">
      <c r="A77" s="1043" t="s">
        <v>1153</v>
      </c>
      <c r="B77" s="1043"/>
      <c r="C77" s="1043"/>
      <c r="D77" s="1043"/>
      <c r="E77" s="1043"/>
    </row>
    <row r="78" spans="1:6" ht="76.5" hidden="1" outlineLevel="1" x14ac:dyDescent="0.2">
      <c r="A78" s="434" t="s">
        <v>57</v>
      </c>
      <c r="B78" s="435" t="s">
        <v>1154</v>
      </c>
      <c r="C78" s="435" t="s">
        <v>1155</v>
      </c>
      <c r="D78" s="435" t="s">
        <v>1156</v>
      </c>
      <c r="E78" s="435" t="s">
        <v>1157</v>
      </c>
    </row>
    <row r="79" spans="1:6" hidden="1" outlineLevel="1" x14ac:dyDescent="0.2">
      <c r="A79" s="436">
        <v>1</v>
      </c>
      <c r="B79" s="437">
        <v>105</v>
      </c>
      <c r="C79" s="437">
        <v>2.5</v>
      </c>
      <c r="D79" s="438">
        <f>(B79-100)/100*C79/12</f>
        <v>1.0416666666666666E-2</v>
      </c>
      <c r="E79" s="438">
        <f>1+D79</f>
        <v>1.0104166666666667</v>
      </c>
    </row>
    <row r="80" spans="1:6" hidden="1" outlineLevel="1" x14ac:dyDescent="0.2">
      <c r="A80" s="1043" t="s">
        <v>1222</v>
      </c>
      <c r="B80" s="1043"/>
      <c r="C80" s="1043"/>
      <c r="D80" s="1043"/>
      <c r="E80" s="1043"/>
    </row>
    <row r="81" spans="1:5" ht="63.75" hidden="1" outlineLevel="1" x14ac:dyDescent="0.2">
      <c r="A81" s="436"/>
      <c r="B81" s="435" t="s">
        <v>1158</v>
      </c>
      <c r="C81" s="435" t="s">
        <v>1159</v>
      </c>
      <c r="D81" s="435" t="s">
        <v>1160</v>
      </c>
      <c r="E81" s="435" t="s">
        <v>1161</v>
      </c>
    </row>
    <row r="82" spans="1:5" hidden="1" outlineLevel="1" x14ac:dyDescent="0.2">
      <c r="A82" s="437">
        <v>2</v>
      </c>
      <c r="B82" s="437">
        <v>105</v>
      </c>
      <c r="C82" s="437">
        <v>0.5</v>
      </c>
      <c r="D82" s="438">
        <f>(B82-100)/100*C82/12</f>
        <v>2.0833333333333333E-3</v>
      </c>
      <c r="E82" s="438">
        <f>1+D82</f>
        <v>1.0020833333333334</v>
      </c>
    </row>
    <row r="83" spans="1:5" hidden="1" outlineLevel="1" x14ac:dyDescent="0.2">
      <c r="A83" s="1043" t="s">
        <v>1220</v>
      </c>
      <c r="B83" s="1043"/>
      <c r="C83" s="1043"/>
      <c r="D83" s="1043"/>
      <c r="E83" s="1043"/>
    </row>
    <row r="84" spans="1:5" ht="63.75" hidden="1" outlineLevel="1" x14ac:dyDescent="0.2">
      <c r="A84" s="436"/>
      <c r="B84" s="435" t="s">
        <v>1162</v>
      </c>
      <c r="C84" s="435" t="s">
        <v>1163</v>
      </c>
      <c r="D84" s="435" t="s">
        <v>1164</v>
      </c>
      <c r="E84" s="435" t="s">
        <v>1165</v>
      </c>
    </row>
    <row r="85" spans="1:5" hidden="1" outlineLevel="1" x14ac:dyDescent="0.2">
      <c r="A85" s="437">
        <v>2</v>
      </c>
      <c r="B85" s="437">
        <v>105.1</v>
      </c>
      <c r="C85" s="437">
        <v>5.4</v>
      </c>
      <c r="D85" s="438">
        <f>(B85-100)/100*C85/12</f>
        <v>2.2949999999999974E-2</v>
      </c>
      <c r="E85" s="438">
        <f>1+0.5*D85</f>
        <v>1.0114749999999999</v>
      </c>
    </row>
    <row r="86" spans="1:5" ht="15" hidden="1" outlineLevel="1" x14ac:dyDescent="0.25">
      <c r="A86" s="439"/>
      <c r="B86" s="440" t="s">
        <v>1166</v>
      </c>
      <c r="C86" s="439"/>
      <c r="D86" s="441" t="s">
        <v>1167</v>
      </c>
      <c r="E86" s="442" t="s">
        <v>1168</v>
      </c>
    </row>
    <row r="87" spans="1:5" hidden="1" outlineLevel="1" x14ac:dyDescent="0.2">
      <c r="A87" s="440"/>
      <c r="B87" s="440"/>
      <c r="C87" s="440"/>
      <c r="D87" s="443">
        <f>D82+D85</f>
        <v>2.5033333333333307E-2</v>
      </c>
      <c r="E87" s="444">
        <f>(1+0.5*D87)</f>
        <v>1.0125166666666667</v>
      </c>
    </row>
    <row r="88" spans="1:5" hidden="1" outlineLevel="1" x14ac:dyDescent="0.2">
      <c r="A88" s="437">
        <v>3</v>
      </c>
      <c r="B88" s="445" t="s">
        <v>1169</v>
      </c>
      <c r="C88" s="445"/>
      <c r="D88" s="435" t="s">
        <v>1170</v>
      </c>
      <c r="E88" s="438">
        <f>E79*E87</f>
        <v>1.023063715277778</v>
      </c>
    </row>
    <row r="89" spans="1:5" hidden="1" outlineLevel="1" x14ac:dyDescent="0.2">
      <c r="A89" s="1043" t="s">
        <v>1223</v>
      </c>
      <c r="B89" s="1043"/>
      <c r="C89" s="1043"/>
      <c r="D89" s="1043"/>
      <c r="E89" s="1043"/>
    </row>
    <row r="90" spans="1:5" ht="63.75" hidden="1" outlineLevel="1" x14ac:dyDescent="0.2">
      <c r="A90" s="436"/>
      <c r="B90" s="435" t="s">
        <v>1162</v>
      </c>
      <c r="C90" s="435" t="s">
        <v>1163</v>
      </c>
      <c r="D90" s="435" t="s">
        <v>1164</v>
      </c>
      <c r="E90" s="435" t="s">
        <v>1165</v>
      </c>
    </row>
    <row r="91" spans="1:5" hidden="1" outlineLevel="1" x14ac:dyDescent="0.2">
      <c r="A91" s="437">
        <v>2</v>
      </c>
      <c r="B91" s="437">
        <f>Дефляторы!F121</f>
        <v>0</v>
      </c>
      <c r="C91" s="437">
        <v>1.5</v>
      </c>
      <c r="D91" s="438">
        <f>(B91-100)/100*C91/12</f>
        <v>-0.125</v>
      </c>
      <c r="E91" s="438">
        <f>1+0.5*D91</f>
        <v>0.9375</v>
      </c>
    </row>
    <row r="92" spans="1:5" ht="15" hidden="1" outlineLevel="1" x14ac:dyDescent="0.25">
      <c r="A92" s="439"/>
      <c r="B92" s="440" t="s">
        <v>1166</v>
      </c>
      <c r="C92" s="439"/>
      <c r="D92" s="441" t="s">
        <v>1167</v>
      </c>
      <c r="E92" s="442" t="s">
        <v>1168</v>
      </c>
    </row>
    <row r="93" spans="1:5" hidden="1" outlineLevel="1" x14ac:dyDescent="0.2">
      <c r="A93" s="440"/>
      <c r="B93" s="440"/>
      <c r="C93" s="440"/>
      <c r="D93" s="443" t="e">
        <f>D88+D91</f>
        <v>#VALUE!</v>
      </c>
      <c r="E93" s="444" t="e">
        <f>(1+0.5*D93)</f>
        <v>#VALUE!</v>
      </c>
    </row>
    <row r="94" spans="1:5" hidden="1" outlineLevel="1" x14ac:dyDescent="0.2">
      <c r="A94" s="437">
        <v>3</v>
      </c>
      <c r="B94" s="445" t="s">
        <v>1169</v>
      </c>
      <c r="C94" s="445"/>
      <c r="D94" s="435" t="s">
        <v>1170</v>
      </c>
      <c r="E94" s="438" t="e">
        <f>E85*E93</f>
        <v>#VALUE!</v>
      </c>
    </row>
    <row r="95" spans="1:5" hidden="1" outlineLevel="1" x14ac:dyDescent="0.2">
      <c r="A95" s="1060" t="s">
        <v>1171</v>
      </c>
      <c r="B95" s="1060"/>
      <c r="C95" s="1060"/>
      <c r="D95" s="1060"/>
      <c r="E95" s="1060"/>
    </row>
    <row r="96" spans="1:5" hidden="1" outlineLevel="1" x14ac:dyDescent="0.2">
      <c r="A96" s="1061" t="s">
        <v>1172</v>
      </c>
      <c r="B96" s="1061"/>
      <c r="C96" s="1061"/>
      <c r="D96" s="446"/>
      <c r="E96" s="447">
        <f>G32</f>
        <v>35251198</v>
      </c>
    </row>
    <row r="97" spans="1:6" hidden="1" outlineLevel="1" x14ac:dyDescent="0.2">
      <c r="A97" s="1054" t="s">
        <v>1173</v>
      </c>
      <c r="B97" s="1055"/>
      <c r="C97" s="1056"/>
      <c r="D97" s="446"/>
      <c r="E97" s="438">
        <f>E87</f>
        <v>1.0125166666666667</v>
      </c>
    </row>
    <row r="98" spans="1:6" hidden="1" outlineLevel="1" x14ac:dyDescent="0.2">
      <c r="A98" s="1054" t="s">
        <v>1174</v>
      </c>
      <c r="B98" s="1055"/>
      <c r="C98" s="1056"/>
      <c r="D98" s="445"/>
      <c r="E98" s="447">
        <f>E96*E97</f>
        <v>35692425.494966671</v>
      </c>
    </row>
    <row r="99" spans="1:6" ht="25.5" hidden="1" outlineLevel="1" x14ac:dyDescent="0.2">
      <c r="A99" s="1057" t="s">
        <v>1175</v>
      </c>
      <c r="B99" s="1058"/>
      <c r="C99" s="1059"/>
      <c r="D99" s="448" t="s">
        <v>1176</v>
      </c>
      <c r="E99" s="449">
        <f>E96+(E98-E96)*(1-30/100)</f>
        <v>35560057.246476673</v>
      </c>
      <c r="F99" s="409">
        <f>E99/E96</f>
        <v>1.0087616666666668</v>
      </c>
    </row>
    <row r="100" spans="1:6" hidden="1" outlineLevel="1" x14ac:dyDescent="0.2">
      <c r="A100" s="450"/>
      <c r="B100" s="450"/>
      <c r="D100" s="451" t="s">
        <v>1177</v>
      </c>
      <c r="E100" s="452">
        <f>E99-E96</f>
        <v>308859.24647667259</v>
      </c>
    </row>
    <row r="101" spans="1:6" hidden="1" outlineLevel="1" x14ac:dyDescent="0.2"/>
    <row r="102" spans="1:6" collapsed="1" x14ac:dyDescent="0.2"/>
  </sheetData>
  <mergeCells count="40">
    <mergeCell ref="A98:C98"/>
    <mergeCell ref="A99:C99"/>
    <mergeCell ref="A54:E54"/>
    <mergeCell ref="A89:E89"/>
    <mergeCell ref="A77:E77"/>
    <mergeCell ref="A80:E80"/>
    <mergeCell ref="A83:E83"/>
    <mergeCell ref="A95:E95"/>
    <mergeCell ref="A96:C96"/>
    <mergeCell ref="A97:C97"/>
    <mergeCell ref="A65:E65"/>
    <mergeCell ref="A66:C66"/>
    <mergeCell ref="A67:C67"/>
    <mergeCell ref="A68:C68"/>
    <mergeCell ref="A69:C69"/>
    <mergeCell ref="A76:E76"/>
    <mergeCell ref="A59:E59"/>
    <mergeCell ref="A12:G12"/>
    <mergeCell ref="A19:F19"/>
    <mergeCell ref="A20:G20"/>
    <mergeCell ref="A32:F32"/>
    <mergeCell ref="A33:G33"/>
    <mergeCell ref="A35:F35"/>
    <mergeCell ref="A45:E45"/>
    <mergeCell ref="A51:E51"/>
    <mergeCell ref="A52:E52"/>
    <mergeCell ref="A56:E56"/>
    <mergeCell ref="A7:B7"/>
    <mergeCell ref="C7:G7"/>
    <mergeCell ref="A9:A10"/>
    <mergeCell ref="B9:B10"/>
    <mergeCell ref="C9:C10"/>
    <mergeCell ref="D9:D10"/>
    <mergeCell ref="E9:G9"/>
    <mergeCell ref="A2:G2"/>
    <mergeCell ref="A3:G3"/>
    <mergeCell ref="A5:B5"/>
    <mergeCell ref="C5:G5"/>
    <mergeCell ref="A6:B6"/>
    <mergeCell ref="C6:G6"/>
  </mergeCells>
  <pageMargins left="0.7" right="0.7" top="0.75" bottom="0.75" header="0.3" footer="0.3"/>
  <pageSetup paperSize="9" scale="5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7"/>
  <sheetViews>
    <sheetView view="pageBreakPreview" topLeftCell="A7" zoomScale="86" zoomScaleNormal="100" zoomScaleSheetLayoutView="86" workbookViewId="0">
      <selection activeCell="D20" sqref="D20"/>
    </sheetView>
  </sheetViews>
  <sheetFormatPr defaultColWidth="9.140625" defaultRowHeight="15" outlineLevelRow="1" x14ac:dyDescent="0.25"/>
  <cols>
    <col min="1" max="1" width="5.28515625" style="499" customWidth="1"/>
    <col min="2" max="2" width="21.85546875" style="463" customWidth="1"/>
    <col min="3" max="3" width="35" style="463" customWidth="1"/>
    <col min="4" max="4" width="16.5703125" style="463" customWidth="1"/>
    <col min="5" max="5" width="8.7109375" style="463" customWidth="1"/>
    <col min="6" max="6" width="11.7109375" style="463" customWidth="1"/>
    <col min="7" max="7" width="23.7109375" style="463" customWidth="1"/>
    <col min="8" max="8" width="17.5703125" style="500" customWidth="1"/>
    <col min="9" max="16384" width="9.140625" style="463"/>
  </cols>
  <sheetData>
    <row r="1" spans="1:8" ht="15.75" x14ac:dyDescent="0.25">
      <c r="A1" s="459"/>
      <c r="B1" s="460"/>
      <c r="C1" s="461"/>
      <c r="D1" s="461"/>
      <c r="E1" s="461"/>
      <c r="F1" s="460"/>
      <c r="G1" s="460"/>
      <c r="H1" s="462"/>
    </row>
    <row r="2" spans="1:8" ht="15.75" x14ac:dyDescent="0.25">
      <c r="A2" s="1062" t="s">
        <v>1145</v>
      </c>
      <c r="B2" s="1063"/>
      <c r="C2" s="1063"/>
      <c r="D2" s="1063"/>
      <c r="E2" s="1063"/>
      <c r="F2" s="1063"/>
      <c r="G2" s="1063"/>
      <c r="H2" s="1063"/>
    </row>
    <row r="3" spans="1:8" ht="15.75" x14ac:dyDescent="0.25">
      <c r="A3" s="1064"/>
      <c r="B3" s="1063"/>
      <c r="C3" s="1063"/>
      <c r="D3" s="1063"/>
      <c r="E3" s="1063"/>
      <c r="F3" s="1063"/>
      <c r="G3" s="1063"/>
      <c r="H3" s="1063"/>
    </row>
    <row r="4" spans="1:8" ht="55.9" customHeight="1" x14ac:dyDescent="0.25">
      <c r="A4" s="1065" t="s">
        <v>1199</v>
      </c>
      <c r="B4" s="1063"/>
      <c r="C4" s="1066" t="str">
        <f>'Cводная смета ПИР'!C5:G5</f>
        <v>«Благоустройство туристической деревни поляна Азау и прилегающей территории»</v>
      </c>
      <c r="D4" s="1066"/>
      <c r="E4" s="1066"/>
      <c r="F4" s="1067"/>
      <c r="G4" s="1067"/>
      <c r="H4" s="1067"/>
    </row>
    <row r="5" spans="1:8" ht="17.25" customHeight="1" x14ac:dyDescent="0.25">
      <c r="A5" s="1065" t="s">
        <v>1200</v>
      </c>
      <c r="B5" s="1063"/>
      <c r="C5" s="1068"/>
      <c r="D5" s="1068"/>
      <c r="E5" s="1068"/>
      <c r="F5" s="1063"/>
      <c r="G5" s="1063"/>
      <c r="H5" s="1063"/>
    </row>
    <row r="6" spans="1:8" ht="30" customHeight="1" x14ac:dyDescent="0.25">
      <c r="A6" s="1079" t="s">
        <v>1201</v>
      </c>
      <c r="B6" s="1063"/>
      <c r="C6" s="1068" t="s">
        <v>1202</v>
      </c>
      <c r="D6" s="1068"/>
      <c r="E6" s="1068"/>
      <c r="F6" s="1063"/>
      <c r="G6" s="1063"/>
      <c r="H6" s="1063"/>
    </row>
    <row r="7" spans="1:8" ht="15.75" x14ac:dyDescent="0.25">
      <c r="A7" s="1065" t="s">
        <v>1203</v>
      </c>
      <c r="B7" s="1063"/>
      <c r="C7" s="1080"/>
      <c r="D7" s="1080"/>
      <c r="E7" s="1080"/>
      <c r="F7" s="1063"/>
      <c r="G7" s="1063"/>
      <c r="H7" s="1063"/>
    </row>
    <row r="8" spans="1:8" ht="15.75" x14ac:dyDescent="0.25">
      <c r="A8" s="1065" t="s">
        <v>1204</v>
      </c>
      <c r="B8" s="1063"/>
      <c r="C8" s="1080" t="s">
        <v>1116</v>
      </c>
      <c r="D8" s="1080"/>
      <c r="E8" s="1080"/>
      <c r="F8" s="1063"/>
      <c r="G8" s="1063"/>
      <c r="H8" s="1063"/>
    </row>
    <row r="9" spans="1:8" ht="15.75" x14ac:dyDescent="0.25">
      <c r="A9" s="459"/>
      <c r="B9" s="460"/>
      <c r="C9" s="461"/>
      <c r="D9" s="461"/>
      <c r="E9" s="461"/>
      <c r="F9" s="460"/>
      <c r="G9" s="460"/>
      <c r="H9" s="462"/>
    </row>
    <row r="10" spans="1:8" ht="109.5" customHeight="1" x14ac:dyDescent="0.25">
      <c r="A10" s="464" t="s">
        <v>57</v>
      </c>
      <c r="B10" s="464" t="s">
        <v>528</v>
      </c>
      <c r="C10" s="1081" t="s">
        <v>1205</v>
      </c>
      <c r="D10" s="1082"/>
      <c r="E10" s="1082"/>
      <c r="F10" s="464" t="s">
        <v>1206</v>
      </c>
      <c r="G10" s="464" t="s">
        <v>1207</v>
      </c>
      <c r="H10" s="465" t="s">
        <v>1208</v>
      </c>
    </row>
    <row r="11" spans="1:8" ht="15" customHeight="1" x14ac:dyDescent="0.25">
      <c r="A11" s="1072">
        <v>1</v>
      </c>
      <c r="B11" s="1074" t="s">
        <v>1122</v>
      </c>
      <c r="C11" s="1076"/>
      <c r="D11" s="1077"/>
      <c r="E11" s="1078"/>
      <c r="F11" s="466"/>
      <c r="G11" s="1083"/>
      <c r="H11" s="1069"/>
    </row>
    <row r="12" spans="1:8" ht="45" customHeight="1" x14ac:dyDescent="0.25">
      <c r="A12" s="1073"/>
      <c r="B12" s="1075"/>
      <c r="C12" s="467" t="s">
        <v>1218</v>
      </c>
      <c r="D12" s="468">
        <f>'Cводная смета ПИР'!G19</f>
        <v>10365243.9</v>
      </c>
      <c r="E12" s="469" t="s">
        <v>1209</v>
      </c>
      <c r="F12" s="470"/>
      <c r="G12" s="1084"/>
      <c r="H12" s="1070"/>
    </row>
    <row r="13" spans="1:8" ht="33" customHeight="1" x14ac:dyDescent="0.25">
      <c r="A13" s="1073"/>
      <c r="B13" s="1075"/>
      <c r="C13" s="467" t="s">
        <v>1216</v>
      </c>
      <c r="D13" s="471">
        <v>5.36</v>
      </c>
      <c r="E13" s="472"/>
      <c r="F13" s="470"/>
      <c r="G13" s="1084"/>
      <c r="H13" s="1070"/>
    </row>
    <row r="14" spans="1:8" ht="31.5" x14ac:dyDescent="0.25">
      <c r="A14" s="1073"/>
      <c r="B14" s="1075"/>
      <c r="C14" s="467" t="s">
        <v>1210</v>
      </c>
      <c r="D14" s="468">
        <f>D12/D13</f>
        <v>1933814.1604477612</v>
      </c>
      <c r="E14" s="469" t="s">
        <v>1209</v>
      </c>
      <c r="F14" s="470"/>
      <c r="G14" s="1084"/>
      <c r="H14" s="1070"/>
    </row>
    <row r="15" spans="1:8" ht="15" customHeight="1" x14ac:dyDescent="0.25">
      <c r="A15" s="1072">
        <v>2</v>
      </c>
      <c r="B15" s="1074" t="s">
        <v>4</v>
      </c>
      <c r="C15" s="1076"/>
      <c r="D15" s="1077"/>
      <c r="E15" s="1078"/>
      <c r="F15" s="466"/>
      <c r="G15" s="1084"/>
      <c r="H15" s="1070"/>
    </row>
    <row r="16" spans="1:8" ht="32.450000000000003" customHeight="1" x14ac:dyDescent="0.25">
      <c r="A16" s="1073"/>
      <c r="B16" s="1075"/>
      <c r="C16" s="467" t="s">
        <v>1217</v>
      </c>
      <c r="D16" s="468">
        <f>'Cводная смета ПИР'!G32</f>
        <v>35251198</v>
      </c>
      <c r="E16" s="469" t="s">
        <v>1209</v>
      </c>
      <c r="F16" s="470"/>
      <c r="G16" s="1084"/>
      <c r="H16" s="1070"/>
    </row>
    <row r="17" spans="1:15" ht="25.9" customHeight="1" x14ac:dyDescent="0.25">
      <c r="A17" s="1073"/>
      <c r="B17" s="1075"/>
      <c r="C17" s="467" t="s">
        <v>1216</v>
      </c>
      <c r="D17" s="473">
        <v>5.32</v>
      </c>
      <c r="E17" s="472"/>
      <c r="F17" s="470"/>
      <c r="G17" s="1084"/>
      <c r="H17" s="1070"/>
    </row>
    <row r="18" spans="1:15" ht="31.5" x14ac:dyDescent="0.25">
      <c r="A18" s="1073"/>
      <c r="B18" s="1075"/>
      <c r="C18" s="467" t="s">
        <v>1211</v>
      </c>
      <c r="D18" s="468">
        <f>D16/D17</f>
        <v>6626165.037593985</v>
      </c>
      <c r="E18" s="469" t="s">
        <v>1209</v>
      </c>
      <c r="F18" s="470"/>
      <c r="G18" s="1085"/>
      <c r="H18" s="1071"/>
      <c r="O18" s="463" t="s">
        <v>1212</v>
      </c>
    </row>
    <row r="19" spans="1:15" ht="39.75" customHeight="1" x14ac:dyDescent="0.25">
      <c r="A19" s="474"/>
      <c r="B19" s="475"/>
      <c r="C19" s="476" t="s">
        <v>1213</v>
      </c>
      <c r="D19" s="477">
        <f>D14+D18</f>
        <v>8559979.1980417464</v>
      </c>
      <c r="E19" s="478" t="s">
        <v>1209</v>
      </c>
      <c r="F19" s="479"/>
      <c r="G19" s="480" t="s">
        <v>2140</v>
      </c>
      <c r="H19" s="481"/>
    </row>
    <row r="20" spans="1:15" ht="72" customHeight="1" x14ac:dyDescent="0.25">
      <c r="A20" s="482"/>
      <c r="B20" s="483" t="s">
        <v>1214</v>
      </c>
      <c r="C20" s="484" t="s">
        <v>1215</v>
      </c>
      <c r="D20" s="513">
        <f>D50/100</f>
        <v>6.1500000000000006E-2</v>
      </c>
      <c r="E20" s="485"/>
      <c r="F20" s="486"/>
      <c r="G20" s="487"/>
      <c r="H20" s="488">
        <f>D19*D20</f>
        <v>526438.72067956743</v>
      </c>
    </row>
    <row r="21" spans="1:15" ht="36.75" customHeight="1" x14ac:dyDescent="0.25">
      <c r="A21" s="482"/>
      <c r="B21" s="489"/>
      <c r="C21" s="490" t="s">
        <v>1219</v>
      </c>
      <c r="D21" s="501">
        <v>5.32</v>
      </c>
      <c r="E21" s="491"/>
      <c r="F21" s="492"/>
      <c r="G21" s="493"/>
      <c r="H21" s="494">
        <f>ROUND(H20*D21,0)</f>
        <v>2800654</v>
      </c>
    </row>
    <row r="22" spans="1:15" x14ac:dyDescent="0.25">
      <c r="A22" s="495"/>
      <c r="B22" s="496"/>
      <c r="C22" s="496"/>
      <c r="D22" s="496"/>
      <c r="E22" s="496"/>
      <c r="F22" s="496"/>
      <c r="G22" s="496"/>
      <c r="H22" s="497"/>
    </row>
    <row r="23" spans="1:15" x14ac:dyDescent="0.25">
      <c r="A23" s="495"/>
      <c r="B23" s="496"/>
      <c r="C23" s="496"/>
      <c r="D23" s="498"/>
      <c r="E23" s="496"/>
      <c r="F23" s="496"/>
      <c r="G23" s="496"/>
      <c r="H23" s="497"/>
    </row>
    <row r="24" spans="1:15" x14ac:dyDescent="0.25">
      <c r="A24" s="495"/>
      <c r="B24" s="496"/>
      <c r="C24" s="496"/>
      <c r="D24" s="496"/>
      <c r="E24" s="496"/>
      <c r="F24" s="496"/>
      <c r="G24" s="496"/>
      <c r="H24" s="497"/>
    </row>
    <row r="25" spans="1:15" x14ac:dyDescent="0.25">
      <c r="A25" s="495"/>
      <c r="B25" s="496"/>
      <c r="C25" s="496"/>
      <c r="D25" s="496"/>
      <c r="E25" s="496"/>
      <c r="F25" s="496"/>
      <c r="G25" s="496"/>
      <c r="H25" s="497"/>
    </row>
    <row r="26" spans="1:15" x14ac:dyDescent="0.25">
      <c r="A26" s="495"/>
      <c r="B26" s="496"/>
      <c r="C26" s="496"/>
      <c r="D26" s="496"/>
      <c r="E26" s="496"/>
      <c r="F26" s="496"/>
      <c r="G26" s="496"/>
      <c r="H26" s="497"/>
    </row>
    <row r="27" spans="1:15" x14ac:dyDescent="0.25">
      <c r="A27" s="495"/>
      <c r="B27" s="496"/>
      <c r="C27" s="496"/>
      <c r="D27" s="496"/>
      <c r="E27" s="496"/>
      <c r="F27" s="496"/>
      <c r="G27" s="496"/>
      <c r="H27" s="497"/>
    </row>
    <row r="28" spans="1:15" x14ac:dyDescent="0.25">
      <c r="A28" s="495"/>
      <c r="B28" s="496"/>
      <c r="C28" s="496"/>
      <c r="D28" s="496"/>
      <c r="E28" s="496"/>
      <c r="F28" s="496"/>
      <c r="G28" s="496"/>
      <c r="H28" s="497"/>
    </row>
    <row r="29" spans="1:15" ht="15.75" hidden="1" x14ac:dyDescent="0.25">
      <c r="A29" s="495"/>
      <c r="B29" s="496"/>
      <c r="C29" s="504" t="s">
        <v>1225</v>
      </c>
      <c r="D29"/>
      <c r="E29" s="496"/>
      <c r="F29" s="496"/>
      <c r="G29" s="496"/>
      <c r="H29" s="497"/>
    </row>
    <row r="30" spans="1:15" ht="31.5" hidden="1" x14ac:dyDescent="0.25">
      <c r="A30" s="495"/>
      <c r="B30" s="496"/>
      <c r="C30" s="504" t="s">
        <v>1226</v>
      </c>
      <c r="D30"/>
      <c r="E30" s="496"/>
      <c r="F30" s="496"/>
      <c r="G30" s="496"/>
      <c r="H30" s="497"/>
    </row>
    <row r="31" spans="1:15" ht="47.25" hidden="1" x14ac:dyDescent="0.25">
      <c r="A31" s="495"/>
      <c r="B31" s="496"/>
      <c r="C31" s="504" t="s">
        <v>1227</v>
      </c>
      <c r="D31"/>
      <c r="E31" s="496"/>
      <c r="F31" s="496"/>
      <c r="G31" s="496"/>
      <c r="H31" s="497"/>
    </row>
    <row r="32" spans="1:15" ht="47.25" hidden="1" x14ac:dyDescent="0.25">
      <c r="A32" s="495"/>
      <c r="B32" s="496"/>
      <c r="C32" s="504" t="s">
        <v>1228</v>
      </c>
      <c r="D32"/>
      <c r="E32" s="496"/>
      <c r="F32" s="496"/>
      <c r="G32" s="496"/>
      <c r="H32" s="497"/>
    </row>
    <row r="33" spans="1:8" ht="31.5" hidden="1" x14ac:dyDescent="0.25">
      <c r="A33" s="495"/>
      <c r="B33" s="496"/>
      <c r="C33" s="504" t="s">
        <v>1229</v>
      </c>
      <c r="D33"/>
      <c r="E33" s="496"/>
      <c r="F33" s="496"/>
      <c r="G33" s="496"/>
      <c r="H33" s="497"/>
    </row>
    <row r="34" spans="1:8" hidden="1" x14ac:dyDescent="0.25">
      <c r="A34" s="495"/>
      <c r="B34" s="496"/>
      <c r="C34"/>
      <c r="D34"/>
      <c r="E34" s="496"/>
      <c r="F34" s="496"/>
      <c r="G34" s="496"/>
      <c r="H34" s="497"/>
    </row>
    <row r="35" spans="1:8" ht="110.25" hidden="1" x14ac:dyDescent="0.25">
      <c r="A35" s="495"/>
      <c r="B35" s="496"/>
      <c r="C35" s="505" t="s">
        <v>1230</v>
      </c>
      <c r="D35"/>
      <c r="E35" s="496"/>
      <c r="F35" s="496"/>
      <c r="G35" s="496"/>
      <c r="H35" s="497"/>
    </row>
    <row r="36" spans="1:8" x14ac:dyDescent="0.25">
      <c r="A36" s="495"/>
      <c r="B36" s="496"/>
      <c r="C36" s="506"/>
      <c r="D36"/>
      <c r="E36" s="496"/>
      <c r="F36" s="496"/>
      <c r="G36" s="496"/>
      <c r="H36" s="497"/>
    </row>
    <row r="37" spans="1:8" x14ac:dyDescent="0.25">
      <c r="A37" s="495"/>
      <c r="B37" s="496"/>
      <c r="C37" s="507"/>
      <c r="D37" s="507"/>
      <c r="E37" s="496"/>
      <c r="F37" s="496"/>
      <c r="G37" s="496"/>
      <c r="H37" s="497"/>
    </row>
    <row r="38" spans="1:8" ht="45" hidden="1" outlineLevel="1" x14ac:dyDescent="0.25">
      <c r="A38" s="495"/>
      <c r="B38" s="496"/>
      <c r="C38" s="509" t="s">
        <v>1231</v>
      </c>
      <c r="D38" s="511" t="s">
        <v>1233</v>
      </c>
      <c r="E38" s="496"/>
      <c r="F38" s="496"/>
      <c r="G38" s="496"/>
      <c r="H38" s="497"/>
    </row>
    <row r="39" spans="1:8" ht="15.75" hidden="1" outlineLevel="1" thickBot="1" x14ac:dyDescent="0.3">
      <c r="A39" s="495"/>
      <c r="B39" s="496"/>
      <c r="C39" s="510" t="s">
        <v>1232</v>
      </c>
      <c r="D39" s="512" t="s">
        <v>1234</v>
      </c>
      <c r="E39" s="496"/>
      <c r="F39" s="496"/>
      <c r="G39" s="496"/>
      <c r="H39" s="497"/>
    </row>
    <row r="40" spans="1:8" hidden="1" outlineLevel="1" x14ac:dyDescent="0.25">
      <c r="A40" s="495"/>
      <c r="B40" s="496"/>
      <c r="C40" s="508" t="s">
        <v>1235</v>
      </c>
      <c r="D40" s="508">
        <v>33.75</v>
      </c>
      <c r="E40" s="496"/>
      <c r="F40" s="496"/>
      <c r="G40" s="496"/>
      <c r="H40" s="497"/>
    </row>
    <row r="41" spans="1:8" hidden="1" outlineLevel="1" x14ac:dyDescent="0.25">
      <c r="A41" s="495"/>
      <c r="B41" s="496"/>
      <c r="C41" s="508" t="s">
        <v>1236</v>
      </c>
      <c r="D41" s="508">
        <v>29.25</v>
      </c>
      <c r="E41" s="496"/>
      <c r="F41" s="496"/>
      <c r="G41" s="496"/>
      <c r="H41" s="497"/>
    </row>
    <row r="42" spans="1:8" hidden="1" outlineLevel="1" x14ac:dyDescent="0.25">
      <c r="A42" s="495"/>
      <c r="B42" s="496"/>
      <c r="C42" s="508" t="s">
        <v>1237</v>
      </c>
      <c r="D42" s="508">
        <v>27.3</v>
      </c>
      <c r="E42" s="496"/>
      <c r="F42" s="496"/>
      <c r="G42" s="496"/>
      <c r="H42" s="497"/>
    </row>
    <row r="43" spans="1:8" hidden="1" outlineLevel="1" x14ac:dyDescent="0.25">
      <c r="A43" s="495"/>
      <c r="B43" s="496"/>
      <c r="C43" s="508" t="s">
        <v>1238</v>
      </c>
      <c r="D43" s="508">
        <v>20.22</v>
      </c>
      <c r="E43" s="496"/>
      <c r="F43" s="496"/>
      <c r="G43" s="496"/>
      <c r="H43" s="497"/>
    </row>
    <row r="44" spans="1:8" hidden="1" outlineLevel="1" x14ac:dyDescent="0.25">
      <c r="A44" s="495"/>
      <c r="B44" s="496"/>
      <c r="C44" s="508" t="s">
        <v>1239</v>
      </c>
      <c r="D44" s="508">
        <v>16.649999999999999</v>
      </c>
      <c r="E44" s="496"/>
      <c r="F44" s="496"/>
      <c r="G44" s="496"/>
      <c r="H44" s="497"/>
    </row>
    <row r="45" spans="1:8" hidden="1" outlineLevel="1" x14ac:dyDescent="0.25">
      <c r="A45" s="495"/>
      <c r="B45" s="496"/>
      <c r="C45" s="508" t="s">
        <v>1240</v>
      </c>
      <c r="D45" s="508">
        <v>12.69</v>
      </c>
      <c r="E45" s="496"/>
      <c r="F45" s="496"/>
      <c r="G45" s="496"/>
      <c r="H45" s="497"/>
    </row>
    <row r="46" spans="1:8" hidden="1" outlineLevel="1" x14ac:dyDescent="0.25">
      <c r="A46" s="495"/>
      <c r="B46" s="496"/>
      <c r="C46" s="508" t="s">
        <v>1241</v>
      </c>
      <c r="D46" s="508">
        <v>11.88</v>
      </c>
      <c r="E46" s="496"/>
      <c r="F46" s="496"/>
      <c r="G46" s="496"/>
      <c r="H46" s="497"/>
    </row>
    <row r="47" spans="1:8" hidden="1" outlineLevel="1" x14ac:dyDescent="0.25">
      <c r="A47" s="495"/>
      <c r="B47" s="496"/>
      <c r="C47" s="508" t="s">
        <v>1242</v>
      </c>
      <c r="D47" s="508">
        <v>10.98</v>
      </c>
      <c r="E47" s="496"/>
      <c r="F47" s="496"/>
      <c r="G47" s="496"/>
      <c r="H47" s="497"/>
    </row>
    <row r="48" spans="1:8" hidden="1" outlineLevel="1" x14ac:dyDescent="0.25">
      <c r="A48" s="495"/>
      <c r="B48" s="496"/>
      <c r="C48" s="508" t="s">
        <v>1243</v>
      </c>
      <c r="D48" s="508">
        <v>8.77</v>
      </c>
      <c r="E48" s="496"/>
      <c r="F48" s="496"/>
      <c r="G48" s="496"/>
      <c r="H48" s="497"/>
    </row>
    <row r="49" spans="1:8" hidden="1" outlineLevel="1" x14ac:dyDescent="0.25">
      <c r="A49" s="495"/>
      <c r="B49" s="496"/>
      <c r="C49" s="508" t="s">
        <v>1244</v>
      </c>
      <c r="D49" s="508">
        <v>7.07</v>
      </c>
      <c r="E49" s="496"/>
      <c r="F49" s="496"/>
      <c r="G49" s="496"/>
      <c r="H49" s="497"/>
    </row>
    <row r="50" spans="1:8" hidden="1" outlineLevel="1" x14ac:dyDescent="0.25">
      <c r="A50" s="495"/>
      <c r="B50" s="496"/>
      <c r="C50" s="508" t="s">
        <v>1245</v>
      </c>
      <c r="D50" s="508">
        <v>6.15</v>
      </c>
      <c r="E50" s="496"/>
      <c r="F50" s="496"/>
      <c r="G50" s="496"/>
      <c r="H50" s="497"/>
    </row>
    <row r="51" spans="1:8" hidden="1" outlineLevel="1" x14ac:dyDescent="0.25">
      <c r="A51" s="495"/>
      <c r="B51" s="496"/>
      <c r="C51" s="508" t="s">
        <v>1246</v>
      </c>
      <c r="D51" s="508">
        <v>4.76</v>
      </c>
      <c r="E51" s="496"/>
      <c r="F51" s="496"/>
      <c r="G51" s="496"/>
      <c r="H51" s="497"/>
    </row>
    <row r="52" spans="1:8" hidden="1" outlineLevel="1" x14ac:dyDescent="0.25">
      <c r="A52" s="495"/>
      <c r="B52" s="496"/>
      <c r="C52" s="508" t="s">
        <v>1247</v>
      </c>
      <c r="D52" s="508">
        <v>4.13</v>
      </c>
      <c r="E52" s="496"/>
      <c r="F52" s="496"/>
      <c r="G52" s="496"/>
      <c r="H52" s="497"/>
    </row>
    <row r="53" spans="1:8" hidden="1" outlineLevel="1" x14ac:dyDescent="0.25">
      <c r="A53" s="495"/>
      <c r="B53" s="496"/>
      <c r="C53" s="508" t="s">
        <v>1248</v>
      </c>
      <c r="D53" s="508">
        <v>3.52</v>
      </c>
      <c r="E53" s="496"/>
      <c r="F53" s="496"/>
      <c r="G53" s="496"/>
      <c r="H53" s="497"/>
    </row>
    <row r="54" spans="1:8" hidden="1" outlineLevel="1" x14ac:dyDescent="0.25">
      <c r="A54" s="495"/>
      <c r="B54" s="496"/>
      <c r="C54" s="508" t="s">
        <v>1249</v>
      </c>
      <c r="D54" s="508">
        <v>3.06</v>
      </c>
      <c r="E54" s="496"/>
      <c r="F54" s="496"/>
      <c r="G54" s="496"/>
      <c r="H54" s="497"/>
    </row>
    <row r="55" spans="1:8" hidden="1" outlineLevel="1" x14ac:dyDescent="0.25">
      <c r="A55" s="495"/>
      <c r="B55" s="496"/>
      <c r="C55" s="508" t="s">
        <v>1250</v>
      </c>
      <c r="D55" s="508">
        <v>2.62</v>
      </c>
      <c r="E55" s="496"/>
      <c r="F55" s="496"/>
      <c r="G55" s="496"/>
      <c r="H55" s="497"/>
    </row>
    <row r="56" spans="1:8" hidden="1" outlineLevel="1" x14ac:dyDescent="0.25">
      <c r="A56" s="495"/>
      <c r="B56" s="496"/>
      <c r="C56" s="508" t="s">
        <v>1251</v>
      </c>
      <c r="D56" s="508">
        <v>2.33</v>
      </c>
      <c r="E56" s="496"/>
      <c r="F56" s="496"/>
      <c r="G56" s="496"/>
      <c r="H56" s="497"/>
    </row>
    <row r="57" spans="1:8" hidden="1" outlineLevel="1" x14ac:dyDescent="0.25">
      <c r="A57" s="495"/>
      <c r="B57" s="496"/>
      <c r="C57" s="508" t="s">
        <v>1252</v>
      </c>
      <c r="D57" s="508">
        <v>2.0099999999999998</v>
      </c>
      <c r="E57" s="496"/>
      <c r="F57" s="496"/>
      <c r="G57" s="496"/>
      <c r="H57" s="497"/>
    </row>
    <row r="58" spans="1:8" hidden="1" outlineLevel="1" x14ac:dyDescent="0.25">
      <c r="A58" s="495"/>
      <c r="B58" s="496"/>
      <c r="C58" s="508" t="s">
        <v>1253</v>
      </c>
      <c r="D58" s="508">
        <v>1.68</v>
      </c>
      <c r="E58" s="496"/>
      <c r="F58" s="496"/>
      <c r="G58" s="496"/>
      <c r="H58" s="497"/>
    </row>
    <row r="59" spans="1:8" hidden="1" outlineLevel="1" x14ac:dyDescent="0.25">
      <c r="A59" s="495"/>
      <c r="B59" s="496"/>
      <c r="C59" s="508" t="s">
        <v>1254</v>
      </c>
      <c r="D59" s="508">
        <v>1.56</v>
      </c>
      <c r="E59" s="496"/>
      <c r="F59" s="496"/>
      <c r="G59" s="496"/>
      <c r="H59" s="497"/>
    </row>
    <row r="60" spans="1:8" hidden="1" outlineLevel="1" x14ac:dyDescent="0.25">
      <c r="A60" s="495"/>
      <c r="B60" s="496"/>
      <c r="C60" s="508" t="s">
        <v>1255</v>
      </c>
      <c r="D60" s="508">
        <v>1.22</v>
      </c>
      <c r="E60" s="496"/>
      <c r="F60" s="496"/>
      <c r="G60" s="496"/>
      <c r="H60" s="497"/>
    </row>
    <row r="61" spans="1:8" hidden="1" outlineLevel="1" x14ac:dyDescent="0.25">
      <c r="A61" s="495"/>
      <c r="B61" s="496"/>
      <c r="C61" s="508" t="s">
        <v>1256</v>
      </c>
      <c r="D61" s="508">
        <v>1.04</v>
      </c>
      <c r="E61" s="496"/>
      <c r="F61" s="496"/>
      <c r="G61" s="496"/>
      <c r="H61" s="497"/>
    </row>
    <row r="62" spans="1:8" hidden="1" outlineLevel="1" x14ac:dyDescent="0.25">
      <c r="A62" s="495"/>
      <c r="B62" s="496"/>
      <c r="C62" s="508" t="s">
        <v>1257</v>
      </c>
      <c r="D62" s="508">
        <v>0.9</v>
      </c>
      <c r="E62" s="496"/>
      <c r="F62" s="496"/>
      <c r="G62" s="496"/>
      <c r="H62" s="497"/>
    </row>
    <row r="63" spans="1:8" hidden="1" outlineLevel="1" x14ac:dyDescent="0.25">
      <c r="A63" s="495"/>
      <c r="B63" s="496"/>
      <c r="C63" s="508" t="s">
        <v>1258</v>
      </c>
      <c r="D63" s="508">
        <v>0.8</v>
      </c>
      <c r="E63" s="496"/>
      <c r="F63" s="496"/>
      <c r="G63" s="496"/>
      <c r="H63" s="497"/>
    </row>
    <row r="64" spans="1:8" hidden="1" outlineLevel="1" x14ac:dyDescent="0.25">
      <c r="A64" s="495"/>
      <c r="B64" s="496"/>
      <c r="C64" s="508" t="s">
        <v>1259</v>
      </c>
      <c r="D64" s="508">
        <v>0.73</v>
      </c>
      <c r="E64" s="496"/>
      <c r="F64" s="496"/>
      <c r="G64" s="496"/>
      <c r="H64" s="497"/>
    </row>
    <row r="65" spans="1:8" hidden="1" outlineLevel="1" x14ac:dyDescent="0.25">
      <c r="A65" s="495"/>
      <c r="B65" s="496"/>
      <c r="C65" s="508" t="s">
        <v>1260</v>
      </c>
      <c r="D65" s="508">
        <v>0.66</v>
      </c>
      <c r="E65" s="496"/>
      <c r="F65" s="496"/>
      <c r="G65" s="496"/>
      <c r="H65" s="497"/>
    </row>
    <row r="66" spans="1:8" hidden="1" outlineLevel="1" x14ac:dyDescent="0.25">
      <c r="A66" s="495"/>
      <c r="B66" s="496"/>
      <c r="C66" s="508" t="s">
        <v>1261</v>
      </c>
      <c r="D66" s="508">
        <v>0.61</v>
      </c>
      <c r="E66" s="496"/>
      <c r="F66" s="496"/>
      <c r="G66" s="496"/>
      <c r="H66" s="497"/>
    </row>
    <row r="67" spans="1:8" hidden="1" outlineLevel="1" x14ac:dyDescent="0.25">
      <c r="A67" s="495"/>
      <c r="B67" s="496"/>
      <c r="C67" s="508" t="s">
        <v>1262</v>
      </c>
      <c r="D67" s="508">
        <v>0.57999999999999996</v>
      </c>
      <c r="E67" s="496"/>
      <c r="F67" s="496"/>
      <c r="G67" s="496"/>
      <c r="H67" s="497"/>
    </row>
    <row r="68" spans="1:8" hidden="1" outlineLevel="1" x14ac:dyDescent="0.25">
      <c r="A68" s="495"/>
      <c r="B68" s="496"/>
      <c r="C68" s="496"/>
      <c r="D68" s="496"/>
      <c r="E68" s="496"/>
      <c r="F68" s="496"/>
      <c r="G68" s="496"/>
      <c r="H68" s="497"/>
    </row>
    <row r="69" spans="1:8" hidden="1" outlineLevel="1" x14ac:dyDescent="0.25">
      <c r="A69" s="495"/>
      <c r="B69" s="496"/>
      <c r="C69" s="496"/>
      <c r="D69" s="496"/>
      <c r="E69" s="496"/>
      <c r="F69" s="496"/>
      <c r="G69" s="496"/>
      <c r="H69" s="497"/>
    </row>
    <row r="70" spans="1:8" hidden="1" outlineLevel="1" x14ac:dyDescent="0.25">
      <c r="A70" s="495"/>
      <c r="B70" s="496"/>
      <c r="C70" s="496"/>
      <c r="D70" s="496"/>
      <c r="E70" s="496"/>
      <c r="F70" s="496"/>
      <c r="G70" s="496"/>
      <c r="H70" s="497"/>
    </row>
    <row r="71" spans="1:8" hidden="1" outlineLevel="1" x14ac:dyDescent="0.25">
      <c r="A71" s="495"/>
      <c r="B71" s="496"/>
      <c r="C71" s="496"/>
      <c r="D71" s="496"/>
      <c r="E71" s="496"/>
      <c r="F71" s="496"/>
      <c r="G71" s="496"/>
      <c r="H71" s="497"/>
    </row>
    <row r="72" spans="1:8" hidden="1" outlineLevel="1" x14ac:dyDescent="0.25">
      <c r="A72" s="495"/>
      <c r="B72" s="496"/>
      <c r="C72" s="496"/>
      <c r="D72" s="496"/>
      <c r="E72" s="496"/>
      <c r="F72" s="496"/>
      <c r="G72" s="496"/>
      <c r="H72" s="497"/>
    </row>
    <row r="73" spans="1:8" hidden="1" outlineLevel="1" x14ac:dyDescent="0.25">
      <c r="A73" s="495"/>
      <c r="B73" s="496"/>
      <c r="C73" s="496"/>
      <c r="D73" s="496"/>
      <c r="E73" s="496"/>
      <c r="F73" s="496"/>
      <c r="G73" s="496"/>
      <c r="H73" s="497"/>
    </row>
    <row r="74" spans="1:8" hidden="1" outlineLevel="1" x14ac:dyDescent="0.25">
      <c r="A74" s="495"/>
      <c r="B74" s="496"/>
      <c r="C74" s="496"/>
      <c r="D74" s="496"/>
      <c r="E74" s="496"/>
      <c r="F74" s="496"/>
      <c r="G74" s="496"/>
      <c r="H74" s="497"/>
    </row>
    <row r="75" spans="1:8" hidden="1" outlineLevel="1" x14ac:dyDescent="0.25">
      <c r="A75" s="495"/>
      <c r="B75" s="496"/>
      <c r="C75" s="496"/>
      <c r="D75" s="496"/>
      <c r="E75" s="496"/>
      <c r="F75" s="496"/>
      <c r="G75" s="496"/>
      <c r="H75" s="497"/>
    </row>
    <row r="76" spans="1:8" collapsed="1" x14ac:dyDescent="0.25">
      <c r="A76" s="495"/>
      <c r="B76" s="496"/>
      <c r="C76" s="496"/>
      <c r="D76" s="496"/>
      <c r="E76" s="496"/>
      <c r="F76" s="496"/>
      <c r="G76" s="496"/>
      <c r="H76" s="497"/>
    </row>
    <row r="77" spans="1:8" x14ac:dyDescent="0.25">
      <c r="A77" s="495"/>
      <c r="B77" s="496"/>
      <c r="C77" s="496"/>
      <c r="D77" s="496"/>
      <c r="E77" s="496"/>
      <c r="F77" s="496"/>
      <c r="G77" s="496"/>
      <c r="H77" s="497"/>
    </row>
    <row r="78" spans="1:8" x14ac:dyDescent="0.25">
      <c r="A78" s="495"/>
      <c r="B78" s="496"/>
      <c r="C78" s="496"/>
      <c r="D78" s="496"/>
      <c r="E78" s="496"/>
      <c r="F78" s="496"/>
      <c r="G78" s="496"/>
      <c r="H78" s="497"/>
    </row>
    <row r="79" spans="1:8" x14ac:dyDescent="0.25">
      <c r="A79" s="495"/>
      <c r="B79" s="496"/>
      <c r="C79" s="496"/>
      <c r="D79" s="496"/>
      <c r="E79" s="496"/>
      <c r="F79" s="496"/>
      <c r="G79" s="496"/>
      <c r="H79" s="497"/>
    </row>
    <row r="80" spans="1:8" x14ac:dyDescent="0.25">
      <c r="A80" s="495"/>
      <c r="B80" s="496"/>
      <c r="C80" s="496"/>
      <c r="D80" s="496"/>
      <c r="E80" s="496"/>
      <c r="F80" s="496"/>
      <c r="G80" s="496"/>
      <c r="H80" s="497"/>
    </row>
    <row r="81" spans="1:8" x14ac:dyDescent="0.25">
      <c r="A81" s="495"/>
      <c r="B81" s="496"/>
      <c r="C81" s="496"/>
      <c r="D81" s="496"/>
      <c r="E81" s="496"/>
      <c r="F81" s="496"/>
      <c r="G81" s="496"/>
      <c r="H81" s="497"/>
    </row>
    <row r="82" spans="1:8" x14ac:dyDescent="0.25">
      <c r="A82" s="495"/>
      <c r="B82" s="496"/>
      <c r="C82" s="496"/>
      <c r="D82" s="496"/>
      <c r="E82" s="496"/>
      <c r="F82" s="496"/>
      <c r="G82" s="496"/>
      <c r="H82" s="497"/>
    </row>
    <row r="83" spans="1:8" x14ac:dyDescent="0.25">
      <c r="A83" s="495"/>
      <c r="B83" s="496"/>
      <c r="C83" s="496"/>
      <c r="D83" s="496"/>
      <c r="E83" s="496"/>
      <c r="F83" s="496"/>
      <c r="G83" s="496"/>
      <c r="H83" s="497"/>
    </row>
    <row r="84" spans="1:8" x14ac:dyDescent="0.25">
      <c r="A84" s="495"/>
      <c r="B84" s="496"/>
      <c r="C84" s="496"/>
      <c r="D84" s="496"/>
      <c r="E84" s="496"/>
      <c r="F84" s="496"/>
      <c r="G84" s="496"/>
      <c r="H84" s="497"/>
    </row>
    <row r="85" spans="1:8" x14ac:dyDescent="0.25">
      <c r="A85" s="495"/>
      <c r="B85" s="496"/>
      <c r="C85" s="496"/>
      <c r="D85" s="496"/>
      <c r="E85" s="496"/>
      <c r="F85" s="496"/>
      <c r="G85" s="496"/>
      <c r="H85" s="497"/>
    </row>
    <row r="86" spans="1:8" x14ac:dyDescent="0.25">
      <c r="A86" s="495"/>
      <c r="B86" s="496"/>
      <c r="C86" s="496"/>
      <c r="D86" s="496"/>
      <c r="E86" s="496"/>
      <c r="F86" s="496"/>
      <c r="G86" s="496"/>
      <c r="H86" s="497"/>
    </row>
    <row r="87" spans="1:8" x14ac:dyDescent="0.25">
      <c r="A87" s="495"/>
      <c r="B87" s="496"/>
      <c r="C87" s="496"/>
      <c r="D87" s="496"/>
      <c r="E87" s="496"/>
      <c r="F87" s="496"/>
      <c r="G87" s="496"/>
      <c r="H87" s="497"/>
    </row>
  </sheetData>
  <mergeCells count="21">
    <mergeCell ref="H11:H18"/>
    <mergeCell ref="A15:A18"/>
    <mergeCell ref="B15:B18"/>
    <mergeCell ref="C15:E15"/>
    <mergeCell ref="A6:B6"/>
    <mergeCell ref="C6:H6"/>
    <mergeCell ref="A7:B7"/>
    <mergeCell ref="C7:H7"/>
    <mergeCell ref="A8:B8"/>
    <mergeCell ref="C8:H8"/>
    <mergeCell ref="C10:E10"/>
    <mergeCell ref="A11:A14"/>
    <mergeCell ref="B11:B14"/>
    <mergeCell ref="C11:E11"/>
    <mergeCell ref="G11:G18"/>
    <mergeCell ref="A2:H2"/>
    <mergeCell ref="A3:H3"/>
    <mergeCell ref="A4:B4"/>
    <mergeCell ref="C4:H4"/>
    <mergeCell ref="A5:B5"/>
    <mergeCell ref="C5:H5"/>
  </mergeCells>
  <pageMargins left="0.7" right="0.7" top="0.75" bottom="0.75" header="0.3" footer="0.3"/>
  <pageSetup paperSize="9" scale="6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2"/>
  <sheetViews>
    <sheetView topLeftCell="A85" workbookViewId="0">
      <selection activeCell="K103" sqref="K103"/>
    </sheetView>
  </sheetViews>
  <sheetFormatPr defaultColWidth="11.5703125" defaultRowHeight="12.75" x14ac:dyDescent="0.2"/>
  <cols>
    <col min="1" max="1" width="3.7109375" style="657" customWidth="1"/>
    <col min="2" max="2" width="26.7109375" style="657" customWidth="1"/>
    <col min="3" max="3" width="7.7109375" style="657" customWidth="1"/>
    <col min="4" max="4" width="5" style="657" customWidth="1"/>
    <col min="5" max="5" width="27.7109375" style="657" customWidth="1"/>
    <col min="6" max="6" width="23.28515625" style="657" customWidth="1"/>
    <col min="7" max="7" width="11.5703125" style="657"/>
    <col min="8" max="256" width="11.5703125" style="630"/>
    <col min="257" max="257" width="3.7109375" style="630" customWidth="1"/>
    <col min="258" max="258" width="26.7109375" style="630" customWidth="1"/>
    <col min="259" max="259" width="7.7109375" style="630" customWidth="1"/>
    <col min="260" max="260" width="5" style="630" customWidth="1"/>
    <col min="261" max="261" width="27.7109375" style="630" customWidth="1"/>
    <col min="262" max="262" width="23.28515625" style="630" customWidth="1"/>
    <col min="263" max="512" width="11.5703125" style="630"/>
    <col min="513" max="513" width="3.7109375" style="630" customWidth="1"/>
    <col min="514" max="514" width="26.7109375" style="630" customWidth="1"/>
    <col min="515" max="515" width="7.7109375" style="630" customWidth="1"/>
    <col min="516" max="516" width="5" style="630" customWidth="1"/>
    <col min="517" max="517" width="27.7109375" style="630" customWidth="1"/>
    <col min="518" max="518" width="23.28515625" style="630" customWidth="1"/>
    <col min="519" max="768" width="11.5703125" style="630"/>
    <col min="769" max="769" width="3.7109375" style="630" customWidth="1"/>
    <col min="770" max="770" width="26.7109375" style="630" customWidth="1"/>
    <col min="771" max="771" width="7.7109375" style="630" customWidth="1"/>
    <col min="772" max="772" width="5" style="630" customWidth="1"/>
    <col min="773" max="773" width="27.7109375" style="630" customWidth="1"/>
    <col min="774" max="774" width="23.28515625" style="630" customWidth="1"/>
    <col min="775" max="1024" width="11.5703125" style="630"/>
    <col min="1025" max="1025" width="3.7109375" style="630" customWidth="1"/>
    <col min="1026" max="1026" width="26.7109375" style="630" customWidth="1"/>
    <col min="1027" max="1027" width="7.7109375" style="630" customWidth="1"/>
    <col min="1028" max="1028" width="5" style="630" customWidth="1"/>
    <col min="1029" max="1029" width="27.7109375" style="630" customWidth="1"/>
    <col min="1030" max="1030" width="23.28515625" style="630" customWidth="1"/>
    <col min="1031" max="1280" width="11.5703125" style="630"/>
    <col min="1281" max="1281" width="3.7109375" style="630" customWidth="1"/>
    <col min="1282" max="1282" width="26.7109375" style="630" customWidth="1"/>
    <col min="1283" max="1283" width="7.7109375" style="630" customWidth="1"/>
    <col min="1284" max="1284" width="5" style="630" customWidth="1"/>
    <col min="1285" max="1285" width="27.7109375" style="630" customWidth="1"/>
    <col min="1286" max="1286" width="23.28515625" style="630" customWidth="1"/>
    <col min="1287" max="1536" width="11.5703125" style="630"/>
    <col min="1537" max="1537" width="3.7109375" style="630" customWidth="1"/>
    <col min="1538" max="1538" width="26.7109375" style="630" customWidth="1"/>
    <col min="1539" max="1539" width="7.7109375" style="630" customWidth="1"/>
    <col min="1540" max="1540" width="5" style="630" customWidth="1"/>
    <col min="1541" max="1541" width="27.7109375" style="630" customWidth="1"/>
    <col min="1542" max="1542" width="23.28515625" style="630" customWidth="1"/>
    <col min="1543" max="1792" width="11.5703125" style="630"/>
    <col min="1793" max="1793" width="3.7109375" style="630" customWidth="1"/>
    <col min="1794" max="1794" width="26.7109375" style="630" customWidth="1"/>
    <col min="1795" max="1795" width="7.7109375" style="630" customWidth="1"/>
    <col min="1796" max="1796" width="5" style="630" customWidth="1"/>
    <col min="1797" max="1797" width="27.7109375" style="630" customWidth="1"/>
    <col min="1798" max="1798" width="23.28515625" style="630" customWidth="1"/>
    <col min="1799" max="2048" width="11.5703125" style="630"/>
    <col min="2049" max="2049" width="3.7109375" style="630" customWidth="1"/>
    <col min="2050" max="2050" width="26.7109375" style="630" customWidth="1"/>
    <col min="2051" max="2051" width="7.7109375" style="630" customWidth="1"/>
    <col min="2052" max="2052" width="5" style="630" customWidth="1"/>
    <col min="2053" max="2053" width="27.7109375" style="630" customWidth="1"/>
    <col min="2054" max="2054" width="23.28515625" style="630" customWidth="1"/>
    <col min="2055" max="2304" width="11.5703125" style="630"/>
    <col min="2305" max="2305" width="3.7109375" style="630" customWidth="1"/>
    <col min="2306" max="2306" width="26.7109375" style="630" customWidth="1"/>
    <col min="2307" max="2307" width="7.7109375" style="630" customWidth="1"/>
    <col min="2308" max="2308" width="5" style="630" customWidth="1"/>
    <col min="2309" max="2309" width="27.7109375" style="630" customWidth="1"/>
    <col min="2310" max="2310" width="23.28515625" style="630" customWidth="1"/>
    <col min="2311" max="2560" width="11.5703125" style="630"/>
    <col min="2561" max="2561" width="3.7109375" style="630" customWidth="1"/>
    <col min="2562" max="2562" width="26.7109375" style="630" customWidth="1"/>
    <col min="2563" max="2563" width="7.7109375" style="630" customWidth="1"/>
    <col min="2564" max="2564" width="5" style="630" customWidth="1"/>
    <col min="2565" max="2565" width="27.7109375" style="630" customWidth="1"/>
    <col min="2566" max="2566" width="23.28515625" style="630" customWidth="1"/>
    <col min="2567" max="2816" width="11.5703125" style="630"/>
    <col min="2817" max="2817" width="3.7109375" style="630" customWidth="1"/>
    <col min="2818" max="2818" width="26.7109375" style="630" customWidth="1"/>
    <col min="2819" max="2819" width="7.7109375" style="630" customWidth="1"/>
    <col min="2820" max="2820" width="5" style="630" customWidth="1"/>
    <col min="2821" max="2821" width="27.7109375" style="630" customWidth="1"/>
    <col min="2822" max="2822" width="23.28515625" style="630" customWidth="1"/>
    <col min="2823" max="3072" width="11.5703125" style="630"/>
    <col min="3073" max="3073" width="3.7109375" style="630" customWidth="1"/>
    <col min="3074" max="3074" width="26.7109375" style="630" customWidth="1"/>
    <col min="3075" max="3075" width="7.7109375" style="630" customWidth="1"/>
    <col min="3076" max="3076" width="5" style="630" customWidth="1"/>
    <col min="3077" max="3077" width="27.7109375" style="630" customWidth="1"/>
    <col min="3078" max="3078" width="23.28515625" style="630" customWidth="1"/>
    <col min="3079" max="3328" width="11.5703125" style="630"/>
    <col min="3329" max="3329" width="3.7109375" style="630" customWidth="1"/>
    <col min="3330" max="3330" width="26.7109375" style="630" customWidth="1"/>
    <col min="3331" max="3331" width="7.7109375" style="630" customWidth="1"/>
    <col min="3332" max="3332" width="5" style="630" customWidth="1"/>
    <col min="3333" max="3333" width="27.7109375" style="630" customWidth="1"/>
    <col min="3334" max="3334" width="23.28515625" style="630" customWidth="1"/>
    <col min="3335" max="3584" width="11.5703125" style="630"/>
    <col min="3585" max="3585" width="3.7109375" style="630" customWidth="1"/>
    <col min="3586" max="3586" width="26.7109375" style="630" customWidth="1"/>
    <col min="3587" max="3587" width="7.7109375" style="630" customWidth="1"/>
    <col min="3588" max="3588" width="5" style="630" customWidth="1"/>
    <col min="3589" max="3589" width="27.7109375" style="630" customWidth="1"/>
    <col min="3590" max="3590" width="23.28515625" style="630" customWidth="1"/>
    <col min="3591" max="3840" width="11.5703125" style="630"/>
    <col min="3841" max="3841" width="3.7109375" style="630" customWidth="1"/>
    <col min="3842" max="3842" width="26.7109375" style="630" customWidth="1"/>
    <col min="3843" max="3843" width="7.7109375" style="630" customWidth="1"/>
    <col min="3844" max="3844" width="5" style="630" customWidth="1"/>
    <col min="3845" max="3845" width="27.7109375" style="630" customWidth="1"/>
    <col min="3846" max="3846" width="23.28515625" style="630" customWidth="1"/>
    <col min="3847" max="4096" width="11.5703125" style="630"/>
    <col min="4097" max="4097" width="3.7109375" style="630" customWidth="1"/>
    <col min="4098" max="4098" width="26.7109375" style="630" customWidth="1"/>
    <col min="4099" max="4099" width="7.7109375" style="630" customWidth="1"/>
    <col min="4100" max="4100" width="5" style="630" customWidth="1"/>
    <col min="4101" max="4101" width="27.7109375" style="630" customWidth="1"/>
    <col min="4102" max="4102" width="23.28515625" style="630" customWidth="1"/>
    <col min="4103" max="4352" width="11.5703125" style="630"/>
    <col min="4353" max="4353" width="3.7109375" style="630" customWidth="1"/>
    <col min="4354" max="4354" width="26.7109375" style="630" customWidth="1"/>
    <col min="4355" max="4355" width="7.7109375" style="630" customWidth="1"/>
    <col min="4356" max="4356" width="5" style="630" customWidth="1"/>
    <col min="4357" max="4357" width="27.7109375" style="630" customWidth="1"/>
    <col min="4358" max="4358" width="23.28515625" style="630" customWidth="1"/>
    <col min="4359" max="4608" width="11.5703125" style="630"/>
    <col min="4609" max="4609" width="3.7109375" style="630" customWidth="1"/>
    <col min="4610" max="4610" width="26.7109375" style="630" customWidth="1"/>
    <col min="4611" max="4611" width="7.7109375" style="630" customWidth="1"/>
    <col min="4612" max="4612" width="5" style="630" customWidth="1"/>
    <col min="4613" max="4613" width="27.7109375" style="630" customWidth="1"/>
    <col min="4614" max="4614" width="23.28515625" style="630" customWidth="1"/>
    <col min="4615" max="4864" width="11.5703125" style="630"/>
    <col min="4865" max="4865" width="3.7109375" style="630" customWidth="1"/>
    <col min="4866" max="4866" width="26.7109375" style="630" customWidth="1"/>
    <col min="4867" max="4867" width="7.7109375" style="630" customWidth="1"/>
    <col min="4868" max="4868" width="5" style="630" customWidth="1"/>
    <col min="4869" max="4869" width="27.7109375" style="630" customWidth="1"/>
    <col min="4870" max="4870" width="23.28515625" style="630" customWidth="1"/>
    <col min="4871" max="5120" width="11.5703125" style="630"/>
    <col min="5121" max="5121" width="3.7109375" style="630" customWidth="1"/>
    <col min="5122" max="5122" width="26.7109375" style="630" customWidth="1"/>
    <col min="5123" max="5123" width="7.7109375" style="630" customWidth="1"/>
    <col min="5124" max="5124" width="5" style="630" customWidth="1"/>
    <col min="5125" max="5125" width="27.7109375" style="630" customWidth="1"/>
    <col min="5126" max="5126" width="23.28515625" style="630" customWidth="1"/>
    <col min="5127" max="5376" width="11.5703125" style="630"/>
    <col min="5377" max="5377" width="3.7109375" style="630" customWidth="1"/>
    <col min="5378" max="5378" width="26.7109375" style="630" customWidth="1"/>
    <col min="5379" max="5379" width="7.7109375" style="630" customWidth="1"/>
    <col min="5380" max="5380" width="5" style="630" customWidth="1"/>
    <col min="5381" max="5381" width="27.7109375" style="630" customWidth="1"/>
    <col min="5382" max="5382" width="23.28515625" style="630" customWidth="1"/>
    <col min="5383" max="5632" width="11.5703125" style="630"/>
    <col min="5633" max="5633" width="3.7109375" style="630" customWidth="1"/>
    <col min="5634" max="5634" width="26.7109375" style="630" customWidth="1"/>
    <col min="5635" max="5635" width="7.7109375" style="630" customWidth="1"/>
    <col min="5636" max="5636" width="5" style="630" customWidth="1"/>
    <col min="5637" max="5637" width="27.7109375" style="630" customWidth="1"/>
    <col min="5638" max="5638" width="23.28515625" style="630" customWidth="1"/>
    <col min="5639" max="5888" width="11.5703125" style="630"/>
    <col min="5889" max="5889" width="3.7109375" style="630" customWidth="1"/>
    <col min="5890" max="5890" width="26.7109375" style="630" customWidth="1"/>
    <col min="5891" max="5891" width="7.7109375" style="630" customWidth="1"/>
    <col min="5892" max="5892" width="5" style="630" customWidth="1"/>
    <col min="5893" max="5893" width="27.7109375" style="630" customWidth="1"/>
    <col min="5894" max="5894" width="23.28515625" style="630" customWidth="1"/>
    <col min="5895" max="6144" width="11.5703125" style="630"/>
    <col min="6145" max="6145" width="3.7109375" style="630" customWidth="1"/>
    <col min="6146" max="6146" width="26.7109375" style="630" customWidth="1"/>
    <col min="6147" max="6147" width="7.7109375" style="630" customWidth="1"/>
    <col min="6148" max="6148" width="5" style="630" customWidth="1"/>
    <col min="6149" max="6149" width="27.7109375" style="630" customWidth="1"/>
    <col min="6150" max="6150" width="23.28515625" style="630" customWidth="1"/>
    <col min="6151" max="6400" width="11.5703125" style="630"/>
    <col min="6401" max="6401" width="3.7109375" style="630" customWidth="1"/>
    <col min="6402" max="6402" width="26.7109375" style="630" customWidth="1"/>
    <col min="6403" max="6403" width="7.7109375" style="630" customWidth="1"/>
    <col min="6404" max="6404" width="5" style="630" customWidth="1"/>
    <col min="6405" max="6405" width="27.7109375" style="630" customWidth="1"/>
    <col min="6406" max="6406" width="23.28515625" style="630" customWidth="1"/>
    <col min="6407" max="6656" width="11.5703125" style="630"/>
    <col min="6657" max="6657" width="3.7109375" style="630" customWidth="1"/>
    <col min="6658" max="6658" width="26.7109375" style="630" customWidth="1"/>
    <col min="6659" max="6659" width="7.7109375" style="630" customWidth="1"/>
    <col min="6660" max="6660" width="5" style="630" customWidth="1"/>
    <col min="6661" max="6661" width="27.7109375" style="630" customWidth="1"/>
    <col min="6662" max="6662" width="23.28515625" style="630" customWidth="1"/>
    <col min="6663" max="6912" width="11.5703125" style="630"/>
    <col min="6913" max="6913" width="3.7109375" style="630" customWidth="1"/>
    <col min="6914" max="6914" width="26.7109375" style="630" customWidth="1"/>
    <col min="6915" max="6915" width="7.7109375" style="630" customWidth="1"/>
    <col min="6916" max="6916" width="5" style="630" customWidth="1"/>
    <col min="6917" max="6917" width="27.7109375" style="630" customWidth="1"/>
    <col min="6918" max="6918" width="23.28515625" style="630" customWidth="1"/>
    <col min="6919" max="7168" width="11.5703125" style="630"/>
    <col min="7169" max="7169" width="3.7109375" style="630" customWidth="1"/>
    <col min="7170" max="7170" width="26.7109375" style="630" customWidth="1"/>
    <col min="7171" max="7171" width="7.7109375" style="630" customWidth="1"/>
    <col min="7172" max="7172" width="5" style="630" customWidth="1"/>
    <col min="7173" max="7173" width="27.7109375" style="630" customWidth="1"/>
    <col min="7174" max="7174" width="23.28515625" style="630" customWidth="1"/>
    <col min="7175" max="7424" width="11.5703125" style="630"/>
    <col min="7425" max="7425" width="3.7109375" style="630" customWidth="1"/>
    <col min="7426" max="7426" width="26.7109375" style="630" customWidth="1"/>
    <col min="7427" max="7427" width="7.7109375" style="630" customWidth="1"/>
    <col min="7428" max="7428" width="5" style="630" customWidth="1"/>
    <col min="7429" max="7429" width="27.7109375" style="630" customWidth="1"/>
    <col min="7430" max="7430" width="23.28515625" style="630" customWidth="1"/>
    <col min="7431" max="7680" width="11.5703125" style="630"/>
    <col min="7681" max="7681" width="3.7109375" style="630" customWidth="1"/>
    <col min="7682" max="7682" width="26.7109375" style="630" customWidth="1"/>
    <col min="7683" max="7683" width="7.7109375" style="630" customWidth="1"/>
    <col min="7684" max="7684" width="5" style="630" customWidth="1"/>
    <col min="7685" max="7685" width="27.7109375" style="630" customWidth="1"/>
    <col min="7686" max="7686" width="23.28515625" style="630" customWidth="1"/>
    <col min="7687" max="7936" width="11.5703125" style="630"/>
    <col min="7937" max="7937" width="3.7109375" style="630" customWidth="1"/>
    <col min="7938" max="7938" width="26.7109375" style="630" customWidth="1"/>
    <col min="7939" max="7939" width="7.7109375" style="630" customWidth="1"/>
    <col min="7940" max="7940" width="5" style="630" customWidth="1"/>
    <col min="7941" max="7941" width="27.7109375" style="630" customWidth="1"/>
    <col min="7942" max="7942" width="23.28515625" style="630" customWidth="1"/>
    <col min="7943" max="8192" width="11.5703125" style="630"/>
    <col min="8193" max="8193" width="3.7109375" style="630" customWidth="1"/>
    <col min="8194" max="8194" width="26.7109375" style="630" customWidth="1"/>
    <col min="8195" max="8195" width="7.7109375" style="630" customWidth="1"/>
    <col min="8196" max="8196" width="5" style="630" customWidth="1"/>
    <col min="8197" max="8197" width="27.7109375" style="630" customWidth="1"/>
    <col min="8198" max="8198" width="23.28515625" style="630" customWidth="1"/>
    <col min="8199" max="8448" width="11.5703125" style="630"/>
    <col min="8449" max="8449" width="3.7109375" style="630" customWidth="1"/>
    <col min="8450" max="8450" width="26.7109375" style="630" customWidth="1"/>
    <col min="8451" max="8451" width="7.7109375" style="630" customWidth="1"/>
    <col min="8452" max="8452" width="5" style="630" customWidth="1"/>
    <col min="8453" max="8453" width="27.7109375" style="630" customWidth="1"/>
    <col min="8454" max="8454" width="23.28515625" style="630" customWidth="1"/>
    <col min="8455" max="8704" width="11.5703125" style="630"/>
    <col min="8705" max="8705" width="3.7109375" style="630" customWidth="1"/>
    <col min="8706" max="8706" width="26.7109375" style="630" customWidth="1"/>
    <col min="8707" max="8707" width="7.7109375" style="630" customWidth="1"/>
    <col min="8708" max="8708" width="5" style="630" customWidth="1"/>
    <col min="8709" max="8709" width="27.7109375" style="630" customWidth="1"/>
    <col min="8710" max="8710" width="23.28515625" style="630" customWidth="1"/>
    <col min="8711" max="8960" width="11.5703125" style="630"/>
    <col min="8961" max="8961" width="3.7109375" style="630" customWidth="1"/>
    <col min="8962" max="8962" width="26.7109375" style="630" customWidth="1"/>
    <col min="8963" max="8963" width="7.7109375" style="630" customWidth="1"/>
    <col min="8964" max="8964" width="5" style="630" customWidth="1"/>
    <col min="8965" max="8965" width="27.7109375" style="630" customWidth="1"/>
    <col min="8966" max="8966" width="23.28515625" style="630" customWidth="1"/>
    <col min="8967" max="9216" width="11.5703125" style="630"/>
    <col min="9217" max="9217" width="3.7109375" style="630" customWidth="1"/>
    <col min="9218" max="9218" width="26.7109375" style="630" customWidth="1"/>
    <col min="9219" max="9219" width="7.7109375" style="630" customWidth="1"/>
    <col min="9220" max="9220" width="5" style="630" customWidth="1"/>
    <col min="9221" max="9221" width="27.7109375" style="630" customWidth="1"/>
    <col min="9222" max="9222" width="23.28515625" style="630" customWidth="1"/>
    <col min="9223" max="9472" width="11.5703125" style="630"/>
    <col min="9473" max="9473" width="3.7109375" style="630" customWidth="1"/>
    <col min="9474" max="9474" width="26.7109375" style="630" customWidth="1"/>
    <col min="9475" max="9475" width="7.7109375" style="630" customWidth="1"/>
    <col min="9476" max="9476" width="5" style="630" customWidth="1"/>
    <col min="9477" max="9477" width="27.7109375" style="630" customWidth="1"/>
    <col min="9478" max="9478" width="23.28515625" style="630" customWidth="1"/>
    <col min="9479" max="9728" width="11.5703125" style="630"/>
    <col min="9729" max="9729" width="3.7109375" style="630" customWidth="1"/>
    <col min="9730" max="9730" width="26.7109375" style="630" customWidth="1"/>
    <col min="9731" max="9731" width="7.7109375" style="630" customWidth="1"/>
    <col min="9732" max="9732" width="5" style="630" customWidth="1"/>
    <col min="9733" max="9733" width="27.7109375" style="630" customWidth="1"/>
    <col min="9734" max="9734" width="23.28515625" style="630" customWidth="1"/>
    <col min="9735" max="9984" width="11.5703125" style="630"/>
    <col min="9985" max="9985" width="3.7109375" style="630" customWidth="1"/>
    <col min="9986" max="9986" width="26.7109375" style="630" customWidth="1"/>
    <col min="9987" max="9987" width="7.7109375" style="630" customWidth="1"/>
    <col min="9988" max="9988" width="5" style="630" customWidth="1"/>
    <col min="9989" max="9989" width="27.7109375" style="630" customWidth="1"/>
    <col min="9990" max="9990" width="23.28515625" style="630" customWidth="1"/>
    <col min="9991" max="10240" width="11.5703125" style="630"/>
    <col min="10241" max="10241" width="3.7109375" style="630" customWidth="1"/>
    <col min="10242" max="10242" width="26.7109375" style="630" customWidth="1"/>
    <col min="10243" max="10243" width="7.7109375" style="630" customWidth="1"/>
    <col min="10244" max="10244" width="5" style="630" customWidth="1"/>
    <col min="10245" max="10245" width="27.7109375" style="630" customWidth="1"/>
    <col min="10246" max="10246" width="23.28515625" style="630" customWidth="1"/>
    <col min="10247" max="10496" width="11.5703125" style="630"/>
    <col min="10497" max="10497" width="3.7109375" style="630" customWidth="1"/>
    <col min="10498" max="10498" width="26.7109375" style="630" customWidth="1"/>
    <col min="10499" max="10499" width="7.7109375" style="630" customWidth="1"/>
    <col min="10500" max="10500" width="5" style="630" customWidth="1"/>
    <col min="10501" max="10501" width="27.7109375" style="630" customWidth="1"/>
    <col min="10502" max="10502" width="23.28515625" style="630" customWidth="1"/>
    <col min="10503" max="10752" width="11.5703125" style="630"/>
    <col min="10753" max="10753" width="3.7109375" style="630" customWidth="1"/>
    <col min="10754" max="10754" width="26.7109375" style="630" customWidth="1"/>
    <col min="10755" max="10755" width="7.7109375" style="630" customWidth="1"/>
    <col min="10756" max="10756" width="5" style="630" customWidth="1"/>
    <col min="10757" max="10757" width="27.7109375" style="630" customWidth="1"/>
    <col min="10758" max="10758" width="23.28515625" style="630" customWidth="1"/>
    <col min="10759" max="11008" width="11.5703125" style="630"/>
    <col min="11009" max="11009" width="3.7109375" style="630" customWidth="1"/>
    <col min="11010" max="11010" width="26.7109375" style="630" customWidth="1"/>
    <col min="11011" max="11011" width="7.7109375" style="630" customWidth="1"/>
    <col min="11012" max="11012" width="5" style="630" customWidth="1"/>
    <col min="11013" max="11013" width="27.7109375" style="630" customWidth="1"/>
    <col min="11014" max="11014" width="23.28515625" style="630" customWidth="1"/>
    <col min="11015" max="11264" width="11.5703125" style="630"/>
    <col min="11265" max="11265" width="3.7109375" style="630" customWidth="1"/>
    <col min="11266" max="11266" width="26.7109375" style="630" customWidth="1"/>
    <col min="11267" max="11267" width="7.7109375" style="630" customWidth="1"/>
    <col min="11268" max="11268" width="5" style="630" customWidth="1"/>
    <col min="11269" max="11269" width="27.7109375" style="630" customWidth="1"/>
    <col min="11270" max="11270" width="23.28515625" style="630" customWidth="1"/>
    <col min="11271" max="11520" width="11.5703125" style="630"/>
    <col min="11521" max="11521" width="3.7109375" style="630" customWidth="1"/>
    <col min="11522" max="11522" width="26.7109375" style="630" customWidth="1"/>
    <col min="11523" max="11523" width="7.7109375" style="630" customWidth="1"/>
    <col min="11524" max="11524" width="5" style="630" customWidth="1"/>
    <col min="11525" max="11525" width="27.7109375" style="630" customWidth="1"/>
    <col min="11526" max="11526" width="23.28515625" style="630" customWidth="1"/>
    <col min="11527" max="11776" width="11.5703125" style="630"/>
    <col min="11777" max="11777" width="3.7109375" style="630" customWidth="1"/>
    <col min="11778" max="11778" width="26.7109375" style="630" customWidth="1"/>
    <col min="11779" max="11779" width="7.7109375" style="630" customWidth="1"/>
    <col min="11780" max="11780" width="5" style="630" customWidth="1"/>
    <col min="11781" max="11781" width="27.7109375" style="630" customWidth="1"/>
    <col min="11782" max="11782" width="23.28515625" style="630" customWidth="1"/>
    <col min="11783" max="12032" width="11.5703125" style="630"/>
    <col min="12033" max="12033" width="3.7109375" style="630" customWidth="1"/>
    <col min="12034" max="12034" width="26.7109375" style="630" customWidth="1"/>
    <col min="12035" max="12035" width="7.7109375" style="630" customWidth="1"/>
    <col min="12036" max="12036" width="5" style="630" customWidth="1"/>
    <col min="12037" max="12037" width="27.7109375" style="630" customWidth="1"/>
    <col min="12038" max="12038" width="23.28515625" style="630" customWidth="1"/>
    <col min="12039" max="12288" width="11.5703125" style="630"/>
    <col min="12289" max="12289" width="3.7109375" style="630" customWidth="1"/>
    <col min="12290" max="12290" width="26.7109375" style="630" customWidth="1"/>
    <col min="12291" max="12291" width="7.7109375" style="630" customWidth="1"/>
    <col min="12292" max="12292" width="5" style="630" customWidth="1"/>
    <col min="12293" max="12293" width="27.7109375" style="630" customWidth="1"/>
    <col min="12294" max="12294" width="23.28515625" style="630" customWidth="1"/>
    <col min="12295" max="12544" width="11.5703125" style="630"/>
    <col min="12545" max="12545" width="3.7109375" style="630" customWidth="1"/>
    <col min="12546" max="12546" width="26.7109375" style="630" customWidth="1"/>
    <col min="12547" max="12547" width="7.7109375" style="630" customWidth="1"/>
    <col min="12548" max="12548" width="5" style="630" customWidth="1"/>
    <col min="12549" max="12549" width="27.7109375" style="630" customWidth="1"/>
    <col min="12550" max="12550" width="23.28515625" style="630" customWidth="1"/>
    <col min="12551" max="12800" width="11.5703125" style="630"/>
    <col min="12801" max="12801" width="3.7109375" style="630" customWidth="1"/>
    <col min="12802" max="12802" width="26.7109375" style="630" customWidth="1"/>
    <col min="12803" max="12803" width="7.7109375" style="630" customWidth="1"/>
    <col min="12804" max="12804" width="5" style="630" customWidth="1"/>
    <col min="12805" max="12805" width="27.7109375" style="630" customWidth="1"/>
    <col min="12806" max="12806" width="23.28515625" style="630" customWidth="1"/>
    <col min="12807" max="13056" width="11.5703125" style="630"/>
    <col min="13057" max="13057" width="3.7109375" style="630" customWidth="1"/>
    <col min="13058" max="13058" width="26.7109375" style="630" customWidth="1"/>
    <col min="13059" max="13059" width="7.7109375" style="630" customWidth="1"/>
    <col min="13060" max="13060" width="5" style="630" customWidth="1"/>
    <col min="13061" max="13061" width="27.7109375" style="630" customWidth="1"/>
    <col min="13062" max="13062" width="23.28515625" style="630" customWidth="1"/>
    <col min="13063" max="13312" width="11.5703125" style="630"/>
    <col min="13313" max="13313" width="3.7109375" style="630" customWidth="1"/>
    <col min="13314" max="13314" width="26.7109375" style="630" customWidth="1"/>
    <col min="13315" max="13315" width="7.7109375" style="630" customWidth="1"/>
    <col min="13316" max="13316" width="5" style="630" customWidth="1"/>
    <col min="13317" max="13317" width="27.7109375" style="630" customWidth="1"/>
    <col min="13318" max="13318" width="23.28515625" style="630" customWidth="1"/>
    <col min="13319" max="13568" width="11.5703125" style="630"/>
    <col min="13569" max="13569" width="3.7109375" style="630" customWidth="1"/>
    <col min="13570" max="13570" width="26.7109375" style="630" customWidth="1"/>
    <col min="13571" max="13571" width="7.7109375" style="630" customWidth="1"/>
    <col min="13572" max="13572" width="5" style="630" customWidth="1"/>
    <col min="13573" max="13573" width="27.7109375" style="630" customWidth="1"/>
    <col min="13574" max="13574" width="23.28515625" style="630" customWidth="1"/>
    <col min="13575" max="13824" width="11.5703125" style="630"/>
    <col min="13825" max="13825" width="3.7109375" style="630" customWidth="1"/>
    <col min="13826" max="13826" width="26.7109375" style="630" customWidth="1"/>
    <col min="13827" max="13827" width="7.7109375" style="630" customWidth="1"/>
    <col min="13828" max="13828" width="5" style="630" customWidth="1"/>
    <col min="13829" max="13829" width="27.7109375" style="630" customWidth="1"/>
    <col min="13830" max="13830" width="23.28515625" style="630" customWidth="1"/>
    <col min="13831" max="14080" width="11.5703125" style="630"/>
    <col min="14081" max="14081" width="3.7109375" style="630" customWidth="1"/>
    <col min="14082" max="14082" width="26.7109375" style="630" customWidth="1"/>
    <col min="14083" max="14083" width="7.7109375" style="630" customWidth="1"/>
    <col min="14084" max="14084" width="5" style="630" customWidth="1"/>
    <col min="14085" max="14085" width="27.7109375" style="630" customWidth="1"/>
    <col min="14086" max="14086" width="23.28515625" style="630" customWidth="1"/>
    <col min="14087" max="14336" width="11.5703125" style="630"/>
    <col min="14337" max="14337" width="3.7109375" style="630" customWidth="1"/>
    <col min="14338" max="14338" width="26.7109375" style="630" customWidth="1"/>
    <col min="14339" max="14339" width="7.7109375" style="630" customWidth="1"/>
    <col min="14340" max="14340" width="5" style="630" customWidth="1"/>
    <col min="14341" max="14341" width="27.7109375" style="630" customWidth="1"/>
    <col min="14342" max="14342" width="23.28515625" style="630" customWidth="1"/>
    <col min="14343" max="14592" width="11.5703125" style="630"/>
    <col min="14593" max="14593" width="3.7109375" style="630" customWidth="1"/>
    <col min="14594" max="14594" width="26.7109375" style="630" customWidth="1"/>
    <col min="14595" max="14595" width="7.7109375" style="630" customWidth="1"/>
    <col min="14596" max="14596" width="5" style="630" customWidth="1"/>
    <col min="14597" max="14597" width="27.7109375" style="630" customWidth="1"/>
    <col min="14598" max="14598" width="23.28515625" style="630" customWidth="1"/>
    <col min="14599" max="14848" width="11.5703125" style="630"/>
    <col min="14849" max="14849" width="3.7109375" style="630" customWidth="1"/>
    <col min="14850" max="14850" width="26.7109375" style="630" customWidth="1"/>
    <col min="14851" max="14851" width="7.7109375" style="630" customWidth="1"/>
    <col min="14852" max="14852" width="5" style="630" customWidth="1"/>
    <col min="14853" max="14853" width="27.7109375" style="630" customWidth="1"/>
    <col min="14854" max="14854" width="23.28515625" style="630" customWidth="1"/>
    <col min="14855" max="15104" width="11.5703125" style="630"/>
    <col min="15105" max="15105" width="3.7109375" style="630" customWidth="1"/>
    <col min="15106" max="15106" width="26.7109375" style="630" customWidth="1"/>
    <col min="15107" max="15107" width="7.7109375" style="630" customWidth="1"/>
    <col min="15108" max="15108" width="5" style="630" customWidth="1"/>
    <col min="15109" max="15109" width="27.7109375" style="630" customWidth="1"/>
    <col min="15110" max="15110" width="23.28515625" style="630" customWidth="1"/>
    <col min="15111" max="15360" width="11.5703125" style="630"/>
    <col min="15361" max="15361" width="3.7109375" style="630" customWidth="1"/>
    <col min="15362" max="15362" width="26.7109375" style="630" customWidth="1"/>
    <col min="15363" max="15363" width="7.7109375" style="630" customWidth="1"/>
    <col min="15364" max="15364" width="5" style="630" customWidth="1"/>
    <col min="15365" max="15365" width="27.7109375" style="630" customWidth="1"/>
    <col min="15366" max="15366" width="23.28515625" style="630" customWidth="1"/>
    <col min="15367" max="15616" width="11.5703125" style="630"/>
    <col min="15617" max="15617" width="3.7109375" style="630" customWidth="1"/>
    <col min="15618" max="15618" width="26.7109375" style="630" customWidth="1"/>
    <col min="15619" max="15619" width="7.7109375" style="630" customWidth="1"/>
    <col min="15620" max="15620" width="5" style="630" customWidth="1"/>
    <col min="15621" max="15621" width="27.7109375" style="630" customWidth="1"/>
    <col min="15622" max="15622" width="23.28515625" style="630" customWidth="1"/>
    <col min="15623" max="15872" width="11.5703125" style="630"/>
    <col min="15873" max="15873" width="3.7109375" style="630" customWidth="1"/>
    <col min="15874" max="15874" width="26.7109375" style="630" customWidth="1"/>
    <col min="15875" max="15875" width="7.7109375" style="630" customWidth="1"/>
    <col min="15876" max="15876" width="5" style="630" customWidth="1"/>
    <col min="15877" max="15877" width="27.7109375" style="630" customWidth="1"/>
    <col min="15878" max="15878" width="23.28515625" style="630" customWidth="1"/>
    <col min="15879" max="16128" width="11.5703125" style="630"/>
    <col min="16129" max="16129" width="3.7109375" style="630" customWidth="1"/>
    <col min="16130" max="16130" width="26.7109375" style="630" customWidth="1"/>
    <col min="16131" max="16131" width="7.7109375" style="630" customWidth="1"/>
    <col min="16132" max="16132" width="5" style="630" customWidth="1"/>
    <col min="16133" max="16133" width="27.7109375" style="630" customWidth="1"/>
    <col min="16134" max="16134" width="23.28515625" style="630" customWidth="1"/>
    <col min="16135" max="16384" width="11.5703125" style="630"/>
  </cols>
  <sheetData>
    <row r="1" spans="1:7" x14ac:dyDescent="0.2">
      <c r="A1" s="1086" t="s">
        <v>1638</v>
      </c>
      <c r="B1" s="1086"/>
      <c r="C1" s="1087" t="s">
        <v>1639</v>
      </c>
      <c r="D1" s="1087"/>
      <c r="E1" s="1087"/>
      <c r="F1" s="1087"/>
      <c r="G1" s="1087"/>
    </row>
    <row r="2" spans="1:7" x14ac:dyDescent="0.2">
      <c r="A2" s="655"/>
      <c r="B2" s="655"/>
      <c r="C2" s="656"/>
      <c r="D2" s="656"/>
      <c r="E2" s="656"/>
      <c r="F2" s="656"/>
      <c r="G2" s="656"/>
    </row>
    <row r="3" spans="1:7" x14ac:dyDescent="0.2">
      <c r="A3" s="655"/>
      <c r="B3" s="655"/>
      <c r="C3" s="656"/>
      <c r="D3" s="656"/>
      <c r="E3" s="656"/>
      <c r="F3" s="656"/>
      <c r="G3" s="656"/>
    </row>
    <row r="4" spans="1:7" x14ac:dyDescent="0.2">
      <c r="B4" s="1088" t="str">
        <f>'Cводная смета ПИР'!D13</f>
        <v>Смета № 1-из</v>
      </c>
      <c r="C4" s="1089"/>
      <c r="D4" s="1089"/>
      <c r="E4" s="1089"/>
      <c r="F4" s="1089"/>
    </row>
    <row r="5" spans="1:7" x14ac:dyDescent="0.2">
      <c r="B5" s="1090" t="s">
        <v>1640</v>
      </c>
      <c r="C5" s="1090"/>
      <c r="D5" s="1090"/>
      <c r="E5" s="1090"/>
      <c r="F5" s="1090"/>
    </row>
    <row r="6" spans="1:7" x14ac:dyDescent="0.2">
      <c r="B6" s="658"/>
      <c r="C6" s="658"/>
      <c r="D6" s="658"/>
      <c r="E6" s="658"/>
      <c r="F6" s="658"/>
    </row>
    <row r="7" spans="1:7" ht="25.5" customHeight="1" x14ac:dyDescent="0.2">
      <c r="A7" s="1091" t="s">
        <v>1641</v>
      </c>
      <c r="B7" s="1091"/>
      <c r="C7" s="1091"/>
      <c r="D7" s="1092" t="s">
        <v>2138</v>
      </c>
      <c r="E7" s="1092"/>
      <c r="F7" s="1092"/>
      <c r="G7" s="1092"/>
    </row>
    <row r="8" spans="1:7" x14ac:dyDescent="0.2">
      <c r="C8" s="659"/>
      <c r="D8" s="659"/>
      <c r="E8" s="659"/>
    </row>
    <row r="9" spans="1:7" ht="12.75" customHeight="1" x14ac:dyDescent="0.2">
      <c r="A9" s="1091" t="s">
        <v>1642</v>
      </c>
      <c r="B9" s="1091"/>
      <c r="C9" s="1091"/>
      <c r="D9" s="1096" t="s">
        <v>1125</v>
      </c>
      <c r="E9" s="1096"/>
      <c r="F9" s="1096"/>
      <c r="G9" s="1096"/>
    </row>
    <row r="10" spans="1:7" x14ac:dyDescent="0.2">
      <c r="A10" s="660"/>
      <c r="B10" s="660"/>
      <c r="C10" s="661"/>
      <c r="D10" s="662"/>
      <c r="E10" s="662"/>
      <c r="F10" s="662"/>
      <c r="G10" s="662"/>
    </row>
    <row r="11" spans="1:7" x14ac:dyDescent="0.2">
      <c r="A11" s="1091" t="s">
        <v>1643</v>
      </c>
      <c r="B11" s="1091"/>
      <c r="C11" s="1091"/>
      <c r="D11" s="1096" t="s">
        <v>1644</v>
      </c>
      <c r="E11" s="1096"/>
      <c r="F11" s="1096"/>
      <c r="G11" s="1096"/>
    </row>
    <row r="12" spans="1:7" x14ac:dyDescent="0.2">
      <c r="D12" s="1096"/>
      <c r="E12" s="1096"/>
      <c r="F12" s="1096"/>
      <c r="G12" s="1096"/>
    </row>
    <row r="13" spans="1:7" ht="13.5" customHeight="1" x14ac:dyDescent="0.2">
      <c r="A13" s="1091" t="s">
        <v>1645</v>
      </c>
      <c r="B13" s="1091"/>
      <c r="C13" s="1091"/>
      <c r="D13" s="1096"/>
      <c r="E13" s="1096"/>
      <c r="F13" s="1096"/>
      <c r="G13" s="1096"/>
    </row>
    <row r="14" spans="1:7" ht="12" customHeight="1" x14ac:dyDescent="0.2">
      <c r="A14" s="661"/>
      <c r="B14" s="661"/>
      <c r="D14" s="1096"/>
      <c r="E14" s="1096"/>
      <c r="F14" s="1096"/>
      <c r="G14" s="1096"/>
    </row>
    <row r="15" spans="1:7" ht="25.5" customHeight="1" x14ac:dyDescent="0.2">
      <c r="A15" s="1091" t="s">
        <v>1646</v>
      </c>
      <c r="B15" s="1097"/>
      <c r="C15" s="1097"/>
      <c r="D15" s="1097"/>
      <c r="E15" s="1097"/>
      <c r="F15" s="1097"/>
      <c r="G15" s="1097"/>
    </row>
    <row r="16" spans="1:7" ht="12.75" customHeight="1" x14ac:dyDescent="0.2">
      <c r="A16" s="663"/>
      <c r="B16" s="664"/>
      <c r="C16" s="664"/>
      <c r="D16" s="664"/>
      <c r="E16" s="664"/>
      <c r="F16" s="664"/>
      <c r="G16" s="664"/>
    </row>
    <row r="17" spans="1:7" ht="12.75" customHeight="1" x14ac:dyDescent="0.2">
      <c r="A17" s="1098" t="s">
        <v>1647</v>
      </c>
      <c r="B17" s="1098"/>
      <c r="C17" s="1098"/>
      <c r="D17" s="1098"/>
      <c r="E17" s="1098"/>
      <c r="F17" s="1098"/>
      <c r="G17" s="1098"/>
    </row>
    <row r="18" spans="1:7" ht="32.25" customHeight="1" x14ac:dyDescent="0.2">
      <c r="A18" s="665" t="s">
        <v>1468</v>
      </c>
      <c r="B18" s="1099" t="s">
        <v>1523</v>
      </c>
      <c r="C18" s="1100"/>
      <c r="D18" s="1101"/>
      <c r="E18" s="665" t="s">
        <v>1456</v>
      </c>
      <c r="F18" s="665" t="s">
        <v>1648</v>
      </c>
      <c r="G18" s="665" t="s">
        <v>525</v>
      </c>
    </row>
    <row r="19" spans="1:7" x14ac:dyDescent="0.2">
      <c r="A19" s="666">
        <v>1</v>
      </c>
      <c r="B19" s="1102">
        <v>2</v>
      </c>
      <c r="C19" s="1103"/>
      <c r="D19" s="1104"/>
      <c r="E19" s="667">
        <v>3</v>
      </c>
      <c r="F19" s="667">
        <v>4</v>
      </c>
      <c r="G19" s="667">
        <v>5</v>
      </c>
    </row>
    <row r="20" spans="1:7" ht="12.75" customHeight="1" x14ac:dyDescent="0.2">
      <c r="A20" s="668" t="s">
        <v>365</v>
      </c>
      <c r="B20" s="1105" t="s">
        <v>1649</v>
      </c>
      <c r="C20" s="1106"/>
      <c r="D20" s="1107"/>
      <c r="E20" s="669" t="s">
        <v>1650</v>
      </c>
      <c r="F20" s="669"/>
      <c r="G20" s="670"/>
    </row>
    <row r="21" spans="1:7" ht="140.25" customHeight="1" x14ac:dyDescent="0.2">
      <c r="A21" s="671" t="s">
        <v>366</v>
      </c>
      <c r="B21" s="1093" t="s">
        <v>1651</v>
      </c>
      <c r="C21" s="1094"/>
      <c r="D21" s="1095"/>
      <c r="E21" s="672" t="s">
        <v>1652</v>
      </c>
      <c r="F21" s="672" t="s">
        <v>1653</v>
      </c>
      <c r="G21" s="673">
        <f>ROUND(3288  * 67 * 1 * 1.2,0)</f>
        <v>264355</v>
      </c>
    </row>
    <row r="22" spans="1:7" ht="15.75" customHeight="1" x14ac:dyDescent="0.2">
      <c r="A22" s="674" t="s">
        <v>1654</v>
      </c>
      <c r="B22" s="1111" t="s">
        <v>1655</v>
      </c>
      <c r="C22" s="1112"/>
      <c r="D22" s="1113"/>
      <c r="E22" s="675"/>
      <c r="F22" s="675"/>
      <c r="G22" s="676"/>
    </row>
    <row r="23" spans="1:7" ht="12.75" customHeight="1" x14ac:dyDescent="0.2">
      <c r="A23" s="677" t="s">
        <v>1654</v>
      </c>
      <c r="B23" s="1108" t="s">
        <v>1656</v>
      </c>
      <c r="C23" s="1109"/>
      <c r="D23" s="1110"/>
      <c r="E23" s="678"/>
      <c r="F23" s="678"/>
      <c r="G23" s="679"/>
    </row>
    <row r="24" spans="1:7" ht="12.75" customHeight="1" x14ac:dyDescent="0.2">
      <c r="A24" s="677" t="s">
        <v>1654</v>
      </c>
      <c r="B24" s="1108" t="s">
        <v>1657</v>
      </c>
      <c r="C24" s="1109"/>
      <c r="D24" s="1110"/>
      <c r="E24" s="678" t="s">
        <v>1658</v>
      </c>
      <c r="F24" s="678"/>
      <c r="G24" s="679"/>
    </row>
    <row r="25" spans="1:7" ht="63.75" customHeight="1" x14ac:dyDescent="0.2">
      <c r="A25" s="677" t="s">
        <v>1654</v>
      </c>
      <c r="B25" s="1108" t="s">
        <v>1659</v>
      </c>
      <c r="C25" s="1109"/>
      <c r="D25" s="1110"/>
      <c r="E25" s="678" t="s">
        <v>1660</v>
      </c>
      <c r="F25" s="678"/>
      <c r="G25" s="679"/>
    </row>
    <row r="26" spans="1:7" ht="15.75" customHeight="1" x14ac:dyDescent="0.2">
      <c r="A26" s="677" t="s">
        <v>1654</v>
      </c>
      <c r="B26" s="1114" t="s">
        <v>1661</v>
      </c>
      <c r="C26" s="1115"/>
      <c r="D26" s="1116"/>
      <c r="E26" s="680"/>
      <c r="F26" s="680"/>
      <c r="G26" s="681"/>
    </row>
    <row r="27" spans="1:7" ht="12.75" customHeight="1" x14ac:dyDescent="0.2">
      <c r="A27" s="682" t="s">
        <v>1654</v>
      </c>
      <c r="B27" s="1117" t="s">
        <v>1662</v>
      </c>
      <c r="C27" s="1118"/>
      <c r="D27" s="1119"/>
      <c r="E27" s="683">
        <v>1</v>
      </c>
      <c r="F27" s="684"/>
      <c r="G27" s="685"/>
    </row>
    <row r="28" spans="1:7" ht="140.25" customHeight="1" x14ac:dyDescent="0.2">
      <c r="A28" s="671" t="s">
        <v>367</v>
      </c>
      <c r="B28" s="1093" t="s">
        <v>1663</v>
      </c>
      <c r="C28" s="1094"/>
      <c r="D28" s="1095"/>
      <c r="E28" s="672" t="s">
        <v>1664</v>
      </c>
      <c r="F28" s="672" t="s">
        <v>1665</v>
      </c>
      <c r="G28" s="673">
        <f>ROUND(6426  * 3 * 1 * 0.7 * 1.3,0)</f>
        <v>17543</v>
      </c>
    </row>
    <row r="29" spans="1:7" ht="15.75" customHeight="1" x14ac:dyDescent="0.2">
      <c r="A29" s="674" t="s">
        <v>1654</v>
      </c>
      <c r="B29" s="1111" t="s">
        <v>1655</v>
      </c>
      <c r="C29" s="1112"/>
      <c r="D29" s="1113"/>
      <c r="E29" s="675"/>
      <c r="F29" s="675"/>
      <c r="G29" s="676"/>
    </row>
    <row r="30" spans="1:7" ht="12.75" customHeight="1" x14ac:dyDescent="0.2">
      <c r="A30" s="677" t="s">
        <v>1654</v>
      </c>
      <c r="B30" s="1108" t="s">
        <v>1656</v>
      </c>
      <c r="C30" s="1109"/>
      <c r="D30" s="1110"/>
      <c r="E30" s="678"/>
      <c r="F30" s="678"/>
      <c r="G30" s="679"/>
    </row>
    <row r="31" spans="1:7" ht="12.75" customHeight="1" x14ac:dyDescent="0.2">
      <c r="A31" s="677" t="s">
        <v>1654</v>
      </c>
      <c r="B31" s="1108" t="s">
        <v>1657</v>
      </c>
      <c r="C31" s="1109"/>
      <c r="D31" s="1110"/>
      <c r="E31" s="678" t="s">
        <v>1658</v>
      </c>
      <c r="F31" s="678"/>
      <c r="G31" s="679"/>
    </row>
    <row r="32" spans="1:7" ht="38.25" customHeight="1" x14ac:dyDescent="0.2">
      <c r="A32" s="677" t="s">
        <v>1654</v>
      </c>
      <c r="B32" s="1108" t="s">
        <v>1666</v>
      </c>
      <c r="C32" s="1109"/>
      <c r="D32" s="1110"/>
      <c r="E32" s="678" t="s">
        <v>1667</v>
      </c>
      <c r="F32" s="678"/>
      <c r="G32" s="679"/>
    </row>
    <row r="33" spans="1:7" ht="51" customHeight="1" x14ac:dyDescent="0.2">
      <c r="A33" s="677" t="s">
        <v>1654</v>
      </c>
      <c r="B33" s="1108" t="s">
        <v>1668</v>
      </c>
      <c r="C33" s="1109"/>
      <c r="D33" s="1110"/>
      <c r="E33" s="678" t="s">
        <v>1669</v>
      </c>
      <c r="F33" s="678"/>
      <c r="G33" s="679"/>
    </row>
    <row r="34" spans="1:7" ht="15.75" customHeight="1" x14ac:dyDescent="0.2">
      <c r="A34" s="677" t="s">
        <v>1654</v>
      </c>
      <c r="B34" s="1114" t="s">
        <v>1661</v>
      </c>
      <c r="C34" s="1115"/>
      <c r="D34" s="1116"/>
      <c r="E34" s="680"/>
      <c r="F34" s="680"/>
      <c r="G34" s="681"/>
    </row>
    <row r="35" spans="1:7" ht="12.75" customHeight="1" x14ac:dyDescent="0.2">
      <c r="A35" s="682" t="s">
        <v>1654</v>
      </c>
      <c r="B35" s="1117" t="s">
        <v>1662</v>
      </c>
      <c r="C35" s="1118"/>
      <c r="D35" s="1119"/>
      <c r="E35" s="683">
        <v>1</v>
      </c>
      <c r="F35" s="684"/>
      <c r="G35" s="685"/>
    </row>
    <row r="36" spans="1:7" ht="140.25" customHeight="1" x14ac:dyDescent="0.2">
      <c r="A36" s="671" t="s">
        <v>1130</v>
      </c>
      <c r="B36" s="1093" t="s">
        <v>1670</v>
      </c>
      <c r="C36" s="1094"/>
      <c r="D36" s="1095"/>
      <c r="E36" s="672" t="s">
        <v>1671</v>
      </c>
      <c r="F36" s="672" t="s">
        <v>1672</v>
      </c>
      <c r="G36" s="673">
        <f>ROUND(1897  * 3 * 1 * 0.4,0)</f>
        <v>2276</v>
      </c>
    </row>
    <row r="37" spans="1:7" ht="15.75" customHeight="1" x14ac:dyDescent="0.2">
      <c r="A37" s="674" t="s">
        <v>1654</v>
      </c>
      <c r="B37" s="1111" t="s">
        <v>1655</v>
      </c>
      <c r="C37" s="1112"/>
      <c r="D37" s="1113"/>
      <c r="E37" s="675"/>
      <c r="F37" s="675"/>
      <c r="G37" s="676"/>
    </row>
    <row r="38" spans="1:7" ht="12.75" customHeight="1" x14ac:dyDescent="0.2">
      <c r="A38" s="677" t="s">
        <v>1654</v>
      </c>
      <c r="B38" s="1108" t="s">
        <v>1656</v>
      </c>
      <c r="C38" s="1109"/>
      <c r="D38" s="1110"/>
      <c r="E38" s="678"/>
      <c r="F38" s="678"/>
      <c r="G38" s="679"/>
    </row>
    <row r="39" spans="1:7" ht="12.75" customHeight="1" x14ac:dyDescent="0.2">
      <c r="A39" s="677" t="s">
        <v>1654</v>
      </c>
      <c r="B39" s="1108" t="s">
        <v>1657</v>
      </c>
      <c r="C39" s="1109"/>
      <c r="D39" s="1110"/>
      <c r="E39" s="678" t="s">
        <v>1658</v>
      </c>
      <c r="F39" s="678"/>
      <c r="G39" s="679"/>
    </row>
    <row r="40" spans="1:7" ht="38.25" customHeight="1" x14ac:dyDescent="0.2">
      <c r="A40" s="677" t="s">
        <v>1654</v>
      </c>
      <c r="B40" s="1108" t="s">
        <v>1666</v>
      </c>
      <c r="C40" s="1109"/>
      <c r="D40" s="1110"/>
      <c r="E40" s="678" t="s">
        <v>1673</v>
      </c>
      <c r="F40" s="678"/>
      <c r="G40" s="679"/>
    </row>
    <row r="41" spans="1:7" ht="15.75" customHeight="1" x14ac:dyDescent="0.2">
      <c r="A41" s="677" t="s">
        <v>1654</v>
      </c>
      <c r="B41" s="1114" t="s">
        <v>1661</v>
      </c>
      <c r="C41" s="1115"/>
      <c r="D41" s="1116"/>
      <c r="E41" s="680"/>
      <c r="F41" s="680"/>
      <c r="G41" s="681"/>
    </row>
    <row r="42" spans="1:7" ht="12.75" customHeight="1" x14ac:dyDescent="0.2">
      <c r="A42" s="682" t="s">
        <v>1654</v>
      </c>
      <c r="B42" s="1117" t="s">
        <v>1662</v>
      </c>
      <c r="C42" s="1118"/>
      <c r="D42" s="1119"/>
      <c r="E42" s="683">
        <v>1</v>
      </c>
      <c r="F42" s="684"/>
      <c r="G42" s="685"/>
    </row>
    <row r="43" spans="1:7" ht="114.75" customHeight="1" x14ac:dyDescent="0.2">
      <c r="A43" s="671" t="s">
        <v>1133</v>
      </c>
      <c r="B43" s="1093" t="s">
        <v>1674</v>
      </c>
      <c r="C43" s="1094"/>
      <c r="D43" s="1095"/>
      <c r="E43" s="672" t="s">
        <v>1675</v>
      </c>
      <c r="F43" s="672" t="s">
        <v>1676</v>
      </c>
      <c r="G43" s="673">
        <f>ROUND(433  * 13 * 1,0)</f>
        <v>5629</v>
      </c>
    </row>
    <row r="44" spans="1:7" ht="15.75" customHeight="1" x14ac:dyDescent="0.2">
      <c r="A44" s="674" t="s">
        <v>1654</v>
      </c>
      <c r="B44" s="1111" t="s">
        <v>1655</v>
      </c>
      <c r="C44" s="1112"/>
      <c r="D44" s="1113"/>
      <c r="E44" s="675"/>
      <c r="F44" s="675"/>
      <c r="G44" s="676"/>
    </row>
    <row r="45" spans="1:7" ht="12.75" customHeight="1" x14ac:dyDescent="0.2">
      <c r="A45" s="677" t="s">
        <v>1654</v>
      </c>
      <c r="B45" s="1108" t="s">
        <v>1656</v>
      </c>
      <c r="C45" s="1109"/>
      <c r="D45" s="1110"/>
      <c r="E45" s="678"/>
      <c r="F45" s="678"/>
      <c r="G45" s="679"/>
    </row>
    <row r="46" spans="1:7" ht="12.75" customHeight="1" x14ac:dyDescent="0.2">
      <c r="A46" s="677" t="s">
        <v>1654</v>
      </c>
      <c r="B46" s="1108" t="s">
        <v>1657</v>
      </c>
      <c r="C46" s="1109"/>
      <c r="D46" s="1110"/>
      <c r="E46" s="678" t="s">
        <v>1658</v>
      </c>
      <c r="F46" s="678"/>
      <c r="G46" s="679"/>
    </row>
    <row r="47" spans="1:7" ht="15.75" customHeight="1" x14ac:dyDescent="0.2">
      <c r="A47" s="677" t="s">
        <v>1654</v>
      </c>
      <c r="B47" s="1114" t="s">
        <v>1661</v>
      </c>
      <c r="C47" s="1115"/>
      <c r="D47" s="1116"/>
      <c r="E47" s="680"/>
      <c r="F47" s="680"/>
      <c r="G47" s="681"/>
    </row>
    <row r="48" spans="1:7" ht="12.75" customHeight="1" x14ac:dyDescent="0.2">
      <c r="A48" s="682" t="s">
        <v>1654</v>
      </c>
      <c r="B48" s="1117" t="s">
        <v>1662</v>
      </c>
      <c r="C48" s="1118"/>
      <c r="D48" s="1119"/>
      <c r="E48" s="683">
        <v>1</v>
      </c>
      <c r="F48" s="684"/>
      <c r="G48" s="685"/>
    </row>
    <row r="49" spans="1:7" ht="12.75" customHeight="1" x14ac:dyDescent="0.2">
      <c r="A49" s="686" t="s">
        <v>1136</v>
      </c>
      <c r="B49" s="1120" t="s">
        <v>1677</v>
      </c>
      <c r="C49" s="1121"/>
      <c r="D49" s="1122"/>
      <c r="E49" s="687"/>
      <c r="F49" s="687"/>
      <c r="G49" s="688">
        <f>ROUND((SUM($G$21:$G$43)),0)</f>
        <v>289803</v>
      </c>
    </row>
    <row r="50" spans="1:7" ht="38.25" customHeight="1" x14ac:dyDescent="0.2">
      <c r="A50" s="686" t="s">
        <v>1310</v>
      </c>
      <c r="B50" s="1123" t="s">
        <v>1678</v>
      </c>
      <c r="C50" s="1124"/>
      <c r="D50" s="1125"/>
      <c r="E50" s="689" t="s">
        <v>1679</v>
      </c>
      <c r="F50" s="689" t="s">
        <v>1680</v>
      </c>
      <c r="G50" s="690">
        <f>ROUND(($G$49) * 0.85 * 1,0)</f>
        <v>246333</v>
      </c>
    </row>
    <row r="51" spans="1:7" ht="12.75" customHeight="1" x14ac:dyDescent="0.2">
      <c r="A51" s="686" t="s">
        <v>1311</v>
      </c>
      <c r="B51" s="1120" t="s">
        <v>1681</v>
      </c>
      <c r="C51" s="1121"/>
      <c r="D51" s="1122"/>
      <c r="E51" s="687"/>
      <c r="F51" s="687"/>
      <c r="G51" s="688">
        <f>ROUND(($G$50),0)</f>
        <v>246333</v>
      </c>
    </row>
    <row r="52" spans="1:7" ht="12.75" customHeight="1" x14ac:dyDescent="0.2">
      <c r="A52" s="686" t="s">
        <v>479</v>
      </c>
      <c r="B52" s="1120" t="s">
        <v>1649</v>
      </c>
      <c r="C52" s="1121"/>
      <c r="D52" s="1122"/>
      <c r="E52" s="687" t="s">
        <v>1682</v>
      </c>
      <c r="F52" s="687"/>
      <c r="G52" s="691"/>
    </row>
    <row r="53" spans="1:7" ht="12.75" customHeight="1" x14ac:dyDescent="0.2">
      <c r="A53" s="686" t="s">
        <v>372</v>
      </c>
      <c r="B53" s="1120" t="s">
        <v>1683</v>
      </c>
      <c r="C53" s="1121"/>
      <c r="D53" s="1122"/>
      <c r="E53" s="687"/>
      <c r="F53" s="687"/>
      <c r="G53" s="688">
        <f>ROUND(0,0)</f>
        <v>0</v>
      </c>
    </row>
    <row r="54" spans="1:7" ht="12.75" customHeight="1" x14ac:dyDescent="0.2">
      <c r="A54" s="686" t="s">
        <v>375</v>
      </c>
      <c r="B54" s="1120" t="s">
        <v>1684</v>
      </c>
      <c r="C54" s="1121"/>
      <c r="D54" s="1122"/>
      <c r="E54" s="687"/>
      <c r="F54" s="687"/>
      <c r="G54" s="688">
        <f>ROUND(($G$53),0)</f>
        <v>0</v>
      </c>
    </row>
    <row r="55" spans="1:7" ht="12.75" customHeight="1" x14ac:dyDescent="0.2">
      <c r="A55" s="686" t="s">
        <v>481</v>
      </c>
      <c r="B55" s="1120" t="s">
        <v>1649</v>
      </c>
      <c r="C55" s="1121"/>
      <c r="D55" s="1122"/>
      <c r="E55" s="687" t="s">
        <v>1685</v>
      </c>
      <c r="F55" s="687"/>
      <c r="G55" s="691"/>
    </row>
    <row r="56" spans="1:7" ht="140.25" customHeight="1" x14ac:dyDescent="0.2">
      <c r="A56" s="671" t="s">
        <v>556</v>
      </c>
      <c r="B56" s="1093" t="s">
        <v>1686</v>
      </c>
      <c r="C56" s="1094"/>
      <c r="D56" s="1095"/>
      <c r="E56" s="672" t="s">
        <v>1687</v>
      </c>
      <c r="F56" s="672" t="s">
        <v>1688</v>
      </c>
      <c r="G56" s="673">
        <f>ROUND(791 * 67 * 1 * 1.2,0)</f>
        <v>63596</v>
      </c>
    </row>
    <row r="57" spans="1:7" ht="15.75" customHeight="1" x14ac:dyDescent="0.2">
      <c r="A57" s="674" t="s">
        <v>1654</v>
      </c>
      <c r="B57" s="1111" t="s">
        <v>1655</v>
      </c>
      <c r="C57" s="1112"/>
      <c r="D57" s="1113"/>
      <c r="E57" s="675"/>
      <c r="F57" s="675"/>
      <c r="G57" s="676"/>
    </row>
    <row r="58" spans="1:7" ht="12.75" customHeight="1" x14ac:dyDescent="0.2">
      <c r="A58" s="677" t="s">
        <v>1654</v>
      </c>
      <c r="B58" s="1108" t="s">
        <v>1656</v>
      </c>
      <c r="C58" s="1109"/>
      <c r="D58" s="1110"/>
      <c r="E58" s="678"/>
      <c r="F58" s="678"/>
      <c r="G58" s="679"/>
    </row>
    <row r="59" spans="1:7" ht="12.75" customHeight="1" x14ac:dyDescent="0.2">
      <c r="A59" s="677" t="s">
        <v>1654</v>
      </c>
      <c r="B59" s="1108" t="s">
        <v>1657</v>
      </c>
      <c r="C59" s="1109"/>
      <c r="D59" s="1110"/>
      <c r="E59" s="678" t="s">
        <v>1658</v>
      </c>
      <c r="F59" s="678"/>
      <c r="G59" s="679"/>
    </row>
    <row r="60" spans="1:7" ht="76.5" customHeight="1" x14ac:dyDescent="0.2">
      <c r="A60" s="677" t="s">
        <v>1654</v>
      </c>
      <c r="B60" s="1108" t="s">
        <v>1689</v>
      </c>
      <c r="C60" s="1109"/>
      <c r="D60" s="1110"/>
      <c r="E60" s="678" t="s">
        <v>1690</v>
      </c>
      <c r="F60" s="678"/>
      <c r="G60" s="679"/>
    </row>
    <row r="61" spans="1:7" ht="15.75" customHeight="1" x14ac:dyDescent="0.2">
      <c r="A61" s="677" t="s">
        <v>1654</v>
      </c>
      <c r="B61" s="1114" t="s">
        <v>1661</v>
      </c>
      <c r="C61" s="1115"/>
      <c r="D61" s="1116"/>
      <c r="E61" s="680"/>
      <c r="F61" s="680"/>
      <c r="G61" s="681"/>
    </row>
    <row r="62" spans="1:7" ht="12.75" customHeight="1" x14ac:dyDescent="0.2">
      <c r="A62" s="682" t="s">
        <v>1654</v>
      </c>
      <c r="B62" s="1117" t="s">
        <v>1662</v>
      </c>
      <c r="C62" s="1118"/>
      <c r="D62" s="1119"/>
      <c r="E62" s="683">
        <v>1</v>
      </c>
      <c r="F62" s="684"/>
      <c r="G62" s="685"/>
    </row>
    <row r="63" spans="1:7" ht="140.25" customHeight="1" x14ac:dyDescent="0.2">
      <c r="A63" s="671" t="s">
        <v>1336</v>
      </c>
      <c r="B63" s="1093" t="s">
        <v>1691</v>
      </c>
      <c r="C63" s="1094"/>
      <c r="D63" s="1095"/>
      <c r="E63" s="672" t="s">
        <v>1692</v>
      </c>
      <c r="F63" s="672" t="s">
        <v>1693</v>
      </c>
      <c r="G63" s="673">
        <f>ROUND(2538  * 3 * 1 * 1.3 * 1.2,0)</f>
        <v>11878</v>
      </c>
    </row>
    <row r="64" spans="1:7" ht="15.75" customHeight="1" x14ac:dyDescent="0.2">
      <c r="A64" s="674" t="s">
        <v>1654</v>
      </c>
      <c r="B64" s="1111" t="s">
        <v>1655</v>
      </c>
      <c r="C64" s="1112"/>
      <c r="D64" s="1113"/>
      <c r="E64" s="675"/>
      <c r="F64" s="675"/>
      <c r="G64" s="676"/>
    </row>
    <row r="65" spans="1:7" ht="12.75" customHeight="1" x14ac:dyDescent="0.2">
      <c r="A65" s="677" t="s">
        <v>1654</v>
      </c>
      <c r="B65" s="1108" t="s">
        <v>1656</v>
      </c>
      <c r="C65" s="1109"/>
      <c r="D65" s="1110"/>
      <c r="E65" s="678"/>
      <c r="F65" s="678"/>
      <c r="G65" s="679"/>
    </row>
    <row r="66" spans="1:7" ht="12.75" customHeight="1" x14ac:dyDescent="0.2">
      <c r="A66" s="677" t="s">
        <v>1654</v>
      </c>
      <c r="B66" s="1108" t="s">
        <v>1657</v>
      </c>
      <c r="C66" s="1109"/>
      <c r="D66" s="1110"/>
      <c r="E66" s="678" t="s">
        <v>1658</v>
      </c>
      <c r="F66" s="678"/>
      <c r="G66" s="679"/>
    </row>
    <row r="67" spans="1:7" ht="51" customHeight="1" x14ac:dyDescent="0.2">
      <c r="A67" s="677" t="s">
        <v>1654</v>
      </c>
      <c r="B67" s="1108" t="s">
        <v>1668</v>
      </c>
      <c r="C67" s="1109"/>
      <c r="D67" s="1110"/>
      <c r="E67" s="678" t="s">
        <v>1694</v>
      </c>
      <c r="F67" s="678"/>
      <c r="G67" s="679"/>
    </row>
    <row r="68" spans="1:7" ht="76.5" customHeight="1" x14ac:dyDescent="0.2">
      <c r="A68" s="677" t="s">
        <v>1654</v>
      </c>
      <c r="B68" s="1108" t="s">
        <v>1689</v>
      </c>
      <c r="C68" s="1109"/>
      <c r="D68" s="1110"/>
      <c r="E68" s="678" t="s">
        <v>1695</v>
      </c>
      <c r="F68" s="678"/>
      <c r="G68" s="679"/>
    </row>
    <row r="69" spans="1:7" ht="15.75" customHeight="1" x14ac:dyDescent="0.2">
      <c r="A69" s="677" t="s">
        <v>1654</v>
      </c>
      <c r="B69" s="1114" t="s">
        <v>1661</v>
      </c>
      <c r="C69" s="1115"/>
      <c r="D69" s="1116"/>
      <c r="E69" s="680"/>
      <c r="F69" s="680"/>
      <c r="G69" s="681"/>
    </row>
    <row r="70" spans="1:7" ht="12.75" customHeight="1" x14ac:dyDescent="0.2">
      <c r="A70" s="682" t="s">
        <v>1654</v>
      </c>
      <c r="B70" s="1117" t="s">
        <v>1662</v>
      </c>
      <c r="C70" s="1118"/>
      <c r="D70" s="1119"/>
      <c r="E70" s="683">
        <v>1</v>
      </c>
      <c r="F70" s="684"/>
      <c r="G70" s="685"/>
    </row>
    <row r="71" spans="1:7" ht="140.25" customHeight="1" x14ac:dyDescent="0.2">
      <c r="A71" s="671" t="s">
        <v>1337</v>
      </c>
      <c r="B71" s="1093" t="s">
        <v>1670</v>
      </c>
      <c r="C71" s="1094"/>
      <c r="D71" s="1095"/>
      <c r="E71" s="672" t="s">
        <v>1696</v>
      </c>
      <c r="F71" s="672" t="s">
        <v>1697</v>
      </c>
      <c r="G71" s="673">
        <f>ROUND(428  * 3 * 1 * 1.2,0)</f>
        <v>1541</v>
      </c>
    </row>
    <row r="72" spans="1:7" ht="15.75" customHeight="1" x14ac:dyDescent="0.2">
      <c r="A72" s="674" t="s">
        <v>1654</v>
      </c>
      <c r="B72" s="1111" t="s">
        <v>1655</v>
      </c>
      <c r="C72" s="1112"/>
      <c r="D72" s="1113"/>
      <c r="E72" s="675"/>
      <c r="F72" s="675"/>
      <c r="G72" s="676"/>
    </row>
    <row r="73" spans="1:7" ht="12.75" customHeight="1" x14ac:dyDescent="0.2">
      <c r="A73" s="677" t="s">
        <v>1654</v>
      </c>
      <c r="B73" s="1108" t="s">
        <v>1656</v>
      </c>
      <c r="C73" s="1109"/>
      <c r="D73" s="1110"/>
      <c r="E73" s="678"/>
      <c r="F73" s="678"/>
      <c r="G73" s="679"/>
    </row>
    <row r="74" spans="1:7" ht="12.75" customHeight="1" x14ac:dyDescent="0.2">
      <c r="A74" s="677" t="s">
        <v>1654</v>
      </c>
      <c r="B74" s="1108" t="s">
        <v>1657</v>
      </c>
      <c r="C74" s="1109"/>
      <c r="D74" s="1110"/>
      <c r="E74" s="678" t="s">
        <v>1658</v>
      </c>
      <c r="F74" s="678"/>
      <c r="G74" s="679"/>
    </row>
    <row r="75" spans="1:7" ht="76.5" customHeight="1" x14ac:dyDescent="0.2">
      <c r="A75" s="677" t="s">
        <v>1654</v>
      </c>
      <c r="B75" s="1108" t="s">
        <v>1689</v>
      </c>
      <c r="C75" s="1109"/>
      <c r="D75" s="1110"/>
      <c r="E75" s="678" t="s">
        <v>1690</v>
      </c>
      <c r="F75" s="678"/>
      <c r="G75" s="679"/>
    </row>
    <row r="76" spans="1:7" ht="15.75" customHeight="1" x14ac:dyDescent="0.2">
      <c r="A76" s="677" t="s">
        <v>1654</v>
      </c>
      <c r="B76" s="1114" t="s">
        <v>1661</v>
      </c>
      <c r="C76" s="1115"/>
      <c r="D76" s="1116"/>
      <c r="E76" s="680"/>
      <c r="F76" s="680"/>
      <c r="G76" s="681"/>
    </row>
    <row r="77" spans="1:7" ht="12.75" customHeight="1" x14ac:dyDescent="0.2">
      <c r="A77" s="682" t="s">
        <v>1654</v>
      </c>
      <c r="B77" s="1117" t="s">
        <v>1662</v>
      </c>
      <c r="C77" s="1118"/>
      <c r="D77" s="1119"/>
      <c r="E77" s="683">
        <v>1</v>
      </c>
      <c r="F77" s="684"/>
      <c r="G77" s="685"/>
    </row>
    <row r="78" spans="1:7" ht="114.75" customHeight="1" x14ac:dyDescent="0.2">
      <c r="A78" s="671" t="s">
        <v>1338</v>
      </c>
      <c r="B78" s="1093" t="s">
        <v>1698</v>
      </c>
      <c r="C78" s="1094"/>
      <c r="D78" s="1095"/>
      <c r="E78" s="672" t="s">
        <v>1699</v>
      </c>
      <c r="F78" s="672" t="s">
        <v>1700</v>
      </c>
      <c r="G78" s="673">
        <v>1</v>
      </c>
    </row>
    <row r="79" spans="1:7" ht="15.75" customHeight="1" x14ac:dyDescent="0.2">
      <c r="A79" s="674" t="s">
        <v>1654</v>
      </c>
      <c r="B79" s="1111" t="s">
        <v>1655</v>
      </c>
      <c r="C79" s="1112"/>
      <c r="D79" s="1113"/>
      <c r="E79" s="675"/>
      <c r="F79" s="675"/>
      <c r="G79" s="676"/>
    </row>
    <row r="80" spans="1:7" ht="12.75" customHeight="1" x14ac:dyDescent="0.2">
      <c r="A80" s="677" t="s">
        <v>1654</v>
      </c>
      <c r="B80" s="1108" t="s">
        <v>1656</v>
      </c>
      <c r="C80" s="1109"/>
      <c r="D80" s="1110"/>
      <c r="E80" s="678"/>
      <c r="F80" s="678"/>
      <c r="G80" s="679"/>
    </row>
    <row r="81" spans="1:7" ht="12.75" customHeight="1" x14ac:dyDescent="0.2">
      <c r="A81" s="682" t="s">
        <v>1654</v>
      </c>
      <c r="B81" s="1117" t="s">
        <v>1657</v>
      </c>
      <c r="C81" s="1118"/>
      <c r="D81" s="1119"/>
      <c r="E81" s="684" t="s">
        <v>1701</v>
      </c>
      <c r="F81" s="684"/>
      <c r="G81" s="685"/>
    </row>
    <row r="82" spans="1:7" ht="127.5" customHeight="1" x14ac:dyDescent="0.2">
      <c r="A82" s="671" t="s">
        <v>1339</v>
      </c>
      <c r="B82" s="1093" t="s">
        <v>1702</v>
      </c>
      <c r="C82" s="1094"/>
      <c r="D82" s="1095"/>
      <c r="E82" s="672" t="s">
        <v>1703</v>
      </c>
      <c r="F82" s="672" t="s">
        <v>1704</v>
      </c>
      <c r="G82" s="673">
        <v>1</v>
      </c>
    </row>
    <row r="83" spans="1:7" ht="15.75" customHeight="1" x14ac:dyDescent="0.2">
      <c r="A83" s="674" t="s">
        <v>1654</v>
      </c>
      <c r="B83" s="1111" t="s">
        <v>1655</v>
      </c>
      <c r="C83" s="1112"/>
      <c r="D83" s="1113"/>
      <c r="E83" s="675"/>
      <c r="F83" s="675"/>
      <c r="G83" s="676"/>
    </row>
    <row r="84" spans="1:7" ht="12.75" customHeight="1" x14ac:dyDescent="0.2">
      <c r="A84" s="677" t="s">
        <v>1654</v>
      </c>
      <c r="B84" s="1108" t="s">
        <v>1656</v>
      </c>
      <c r="C84" s="1109"/>
      <c r="D84" s="1110"/>
      <c r="E84" s="678"/>
      <c r="F84" s="678"/>
      <c r="G84" s="679"/>
    </row>
    <row r="85" spans="1:7" ht="12.75" customHeight="1" x14ac:dyDescent="0.2">
      <c r="A85" s="682" t="s">
        <v>1654</v>
      </c>
      <c r="B85" s="1117" t="s">
        <v>1657</v>
      </c>
      <c r="C85" s="1118"/>
      <c r="D85" s="1119"/>
      <c r="E85" s="684" t="s">
        <v>1701</v>
      </c>
      <c r="F85" s="684"/>
      <c r="G85" s="685"/>
    </row>
    <row r="86" spans="1:7" ht="12.75" customHeight="1" x14ac:dyDescent="0.2">
      <c r="A86" s="686" t="s">
        <v>1340</v>
      </c>
      <c r="B86" s="1120" t="s">
        <v>1705</v>
      </c>
      <c r="C86" s="1121"/>
      <c r="D86" s="1122"/>
      <c r="E86" s="687"/>
      <c r="F86" s="687"/>
      <c r="G86" s="688">
        <f>ROUND((SUM($G$56:$G$82)),0)</f>
        <v>77017</v>
      </c>
    </row>
    <row r="87" spans="1:7" ht="12.75" customHeight="1" x14ac:dyDescent="0.2">
      <c r="A87" s="686" t="s">
        <v>1341</v>
      </c>
      <c r="B87" s="1120" t="s">
        <v>1706</v>
      </c>
      <c r="C87" s="1121"/>
      <c r="D87" s="1122"/>
      <c r="E87" s="687"/>
      <c r="F87" s="687"/>
      <c r="G87" s="688">
        <f>ROUND(($G$86),0)</f>
        <v>77017</v>
      </c>
    </row>
    <row r="88" spans="1:7" ht="12.75" customHeight="1" x14ac:dyDescent="0.2">
      <c r="A88" s="686" t="s">
        <v>483</v>
      </c>
      <c r="B88" s="1120" t="s">
        <v>1649</v>
      </c>
      <c r="C88" s="1121"/>
      <c r="D88" s="1122"/>
      <c r="E88" s="687" t="s">
        <v>1707</v>
      </c>
      <c r="F88" s="687"/>
      <c r="G88" s="691"/>
    </row>
    <row r="89" spans="1:7" ht="63.75" customHeight="1" x14ac:dyDescent="0.2">
      <c r="A89" s="686" t="s">
        <v>515</v>
      </c>
      <c r="B89" s="1123" t="s">
        <v>1708</v>
      </c>
      <c r="C89" s="1124"/>
      <c r="D89" s="1125"/>
      <c r="E89" s="689" t="s">
        <v>1709</v>
      </c>
      <c r="F89" s="689" t="s">
        <v>1710</v>
      </c>
      <c r="G89" s="690">
        <f>ROUND(($G$51) * 0.2 * 1,0)</f>
        <v>49267</v>
      </c>
    </row>
    <row r="90" spans="1:7" ht="51" customHeight="1" x14ac:dyDescent="0.2">
      <c r="A90" s="686" t="s">
        <v>1354</v>
      </c>
      <c r="B90" s="1123" t="s">
        <v>1711</v>
      </c>
      <c r="C90" s="1124"/>
      <c r="D90" s="1125"/>
      <c r="E90" s="689" t="s">
        <v>1712</v>
      </c>
      <c r="F90" s="689" t="s">
        <v>1713</v>
      </c>
      <c r="G90" s="690">
        <f>ROUND(548514 * 5 / 100 * 1,0)</f>
        <v>27426</v>
      </c>
    </row>
    <row r="91" spans="1:7" ht="51" customHeight="1" x14ac:dyDescent="0.2">
      <c r="A91" s="686" t="s">
        <v>1355</v>
      </c>
      <c r="B91" s="1123" t="s">
        <v>1714</v>
      </c>
      <c r="C91" s="1124"/>
      <c r="D91" s="1125"/>
      <c r="E91" s="689" t="s">
        <v>1715</v>
      </c>
      <c r="F91" s="689" t="s">
        <v>1716</v>
      </c>
      <c r="G91" s="690">
        <f>ROUND(575940 * 19.6 / 100 * 1,0)</f>
        <v>112884</v>
      </c>
    </row>
    <row r="92" spans="1:7" ht="25.5" customHeight="1" x14ac:dyDescent="0.2">
      <c r="A92" s="686" t="s">
        <v>1356</v>
      </c>
      <c r="B92" s="1123" t="s">
        <v>1717</v>
      </c>
      <c r="C92" s="1124"/>
      <c r="D92" s="1125"/>
      <c r="E92" s="689" t="s">
        <v>1718</v>
      </c>
      <c r="F92" s="689" t="s">
        <v>1719</v>
      </c>
      <c r="G92" s="690">
        <f>ROUND(575940 * 1 * 1 * 6 / 100 * 1,0)</f>
        <v>34556</v>
      </c>
    </row>
    <row r="93" spans="1:7" ht="12.75" customHeight="1" x14ac:dyDescent="0.2">
      <c r="A93" s="686" t="s">
        <v>1357</v>
      </c>
      <c r="B93" s="1120" t="s">
        <v>1720</v>
      </c>
      <c r="C93" s="1121"/>
      <c r="D93" s="1122"/>
      <c r="E93" s="687"/>
      <c r="F93" s="687"/>
      <c r="G93" s="688">
        <f>ROUND((SUM($G$89:$G$92)),0)</f>
        <v>224133</v>
      </c>
    </row>
    <row r="94" spans="1:7" ht="12.75" customHeight="1" x14ac:dyDescent="0.2">
      <c r="A94" s="686" t="s">
        <v>485</v>
      </c>
      <c r="B94" s="1120" t="s">
        <v>1721</v>
      </c>
      <c r="C94" s="1121"/>
      <c r="D94" s="1122"/>
      <c r="E94" s="687"/>
      <c r="F94" s="687"/>
      <c r="G94" s="688">
        <f>ROUND(($G$51 + $G$54 + $G$87 + $G$93),0)</f>
        <v>547483</v>
      </c>
    </row>
    <row r="95" spans="1:7" ht="38.25" customHeight="1" x14ac:dyDescent="0.2">
      <c r="A95" s="686" t="s">
        <v>523</v>
      </c>
      <c r="B95" s="1123" t="s">
        <v>1722</v>
      </c>
      <c r="C95" s="1124"/>
      <c r="D95" s="1125"/>
      <c r="E95" s="689" t="s">
        <v>1723</v>
      </c>
      <c r="F95" s="689" t="s">
        <v>1724</v>
      </c>
      <c r="G95" s="690">
        <f>ROUND(($G$94) * 5.36 * 1,0)</f>
        <v>2934509</v>
      </c>
    </row>
    <row r="96" spans="1:7" ht="38.25" customHeight="1" x14ac:dyDescent="0.2">
      <c r="A96" s="686" t="s">
        <v>573</v>
      </c>
      <c r="B96" s="1123" t="s">
        <v>1725</v>
      </c>
      <c r="C96" s="1124"/>
      <c r="D96" s="1125"/>
      <c r="E96" s="689" t="s">
        <v>1726</v>
      </c>
      <c r="F96" s="689" t="s">
        <v>1727</v>
      </c>
      <c r="G96" s="690">
        <f>ROUND(($G$95) * 1/1.266 * 1,0)</f>
        <v>2317938</v>
      </c>
    </row>
    <row r="97" spans="1:7" ht="12.75" customHeight="1" x14ac:dyDescent="0.2">
      <c r="A97" s="686" t="s">
        <v>581</v>
      </c>
      <c r="B97" s="1120" t="s">
        <v>1728</v>
      </c>
      <c r="C97" s="1121"/>
      <c r="D97" s="1122"/>
      <c r="E97" s="687"/>
      <c r="F97" s="687"/>
      <c r="G97" s="688">
        <f>ROUND(($G$95),0)</f>
        <v>2934509</v>
      </c>
    </row>
    <row r="98" spans="1:7" ht="39" customHeight="1" x14ac:dyDescent="0.2">
      <c r="A98" s="686"/>
      <c r="B98" s="1120" t="s">
        <v>1729</v>
      </c>
      <c r="C98" s="1121"/>
      <c r="D98" s="1122"/>
      <c r="E98" s="687" t="s">
        <v>1730</v>
      </c>
      <c r="F98" s="687"/>
      <c r="G98" s="688">
        <f>ROUND(G97*0.1,0)</f>
        <v>293451</v>
      </c>
    </row>
    <row r="100" spans="1:7" x14ac:dyDescent="0.2">
      <c r="B100" s="657" t="s">
        <v>1731</v>
      </c>
      <c r="E100" s="657" t="s">
        <v>1732</v>
      </c>
    </row>
    <row r="102" spans="1:7" x14ac:dyDescent="0.2">
      <c r="B102" s="657" t="s">
        <v>1733</v>
      </c>
      <c r="E102" s="657" t="s">
        <v>1734</v>
      </c>
    </row>
  </sheetData>
  <mergeCells count="95">
    <mergeCell ref="B94:D94"/>
    <mergeCell ref="B95:D95"/>
    <mergeCell ref="B96:D96"/>
    <mergeCell ref="B97:D97"/>
    <mergeCell ref="B98:D98"/>
    <mergeCell ref="B93:D93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81:D81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69:D69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A9:C9"/>
    <mergeCell ref="D9:G9"/>
    <mergeCell ref="A11:C11"/>
    <mergeCell ref="D11:G12"/>
    <mergeCell ref="A13:C13"/>
    <mergeCell ref="D13:G14"/>
    <mergeCell ref="A15:G15"/>
    <mergeCell ref="A17:G17"/>
    <mergeCell ref="B18:D18"/>
    <mergeCell ref="B19:D19"/>
    <mergeCell ref="B20:D20"/>
    <mergeCell ref="A1:B1"/>
    <mergeCell ref="C1:G1"/>
    <mergeCell ref="B4:F4"/>
    <mergeCell ref="B5:F5"/>
    <mergeCell ref="A7:C7"/>
    <mergeCell ref="D7:G7"/>
  </mergeCells>
  <pageMargins left="0.39374999999999999" right="0.39374999999999999" top="0.59027777777777779" bottom="0.82777777777777783" header="0.51180555555555562" footer="0.59027777777777779"/>
  <pageSetup paperSize="9" scale="90" fitToHeight="0" orientation="portrait" useFirstPageNumber="1" horizontalDpi="300" verticalDpi="300" r:id="rId1"/>
  <headerFooter alignWithMargins="0"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17"/>
  <sheetViews>
    <sheetView showGridLines="0" view="pageBreakPreview" topLeftCell="A51" zoomScaleNormal="115" zoomScaleSheetLayoutView="100" workbookViewId="0">
      <selection activeCell="J23" sqref="J23"/>
    </sheetView>
  </sheetViews>
  <sheetFormatPr defaultColWidth="8.85546875" defaultRowHeight="12.75" outlineLevelRow="1" x14ac:dyDescent="0.2"/>
  <cols>
    <col min="1" max="1" width="4.28515625" style="758" customWidth="1"/>
    <col min="2" max="2" width="53.7109375" style="758" customWidth="1"/>
    <col min="3" max="3" width="10.7109375" style="758" customWidth="1"/>
    <col min="4" max="4" width="8.7109375" style="758" customWidth="1"/>
    <col min="5" max="5" width="18" style="758" customWidth="1"/>
    <col min="6" max="6" width="28.7109375" style="758" customWidth="1"/>
    <col min="7" max="7" width="12.140625" style="784" customWidth="1"/>
    <col min="8" max="9" width="8.85546875" style="758"/>
    <col min="10" max="10" width="16" style="758" customWidth="1"/>
    <col min="11" max="16384" width="8.85546875" style="758"/>
  </cols>
  <sheetData>
    <row r="1" spans="1:7" x14ac:dyDescent="0.2">
      <c r="B1" s="760"/>
      <c r="C1" s="760"/>
      <c r="G1" s="783" t="s">
        <v>2143</v>
      </c>
    </row>
    <row r="2" spans="1:7" s="630" customFormat="1" x14ac:dyDescent="0.2">
      <c r="A2" s="655"/>
      <c r="B2" s="655"/>
      <c r="C2" s="656"/>
      <c r="D2" s="656"/>
      <c r="E2" s="656"/>
      <c r="F2" s="656"/>
      <c r="G2" s="656"/>
    </row>
    <row r="3" spans="1:7" s="630" customFormat="1" x14ac:dyDescent="0.2">
      <c r="A3" s="657"/>
      <c r="B3" s="1088" t="str">
        <f>'Cводная смета ПИР'!D14</f>
        <v>Смета № 2-из</v>
      </c>
      <c r="C3" s="1134"/>
      <c r="D3" s="1134"/>
      <c r="E3" s="1134"/>
      <c r="F3" s="1134"/>
      <c r="G3" s="657"/>
    </row>
    <row r="4" spans="1:7" s="630" customFormat="1" x14ac:dyDescent="0.2">
      <c r="A4" s="657"/>
      <c r="B4" s="1090" t="s">
        <v>1735</v>
      </c>
      <c r="C4" s="1090"/>
      <c r="D4" s="1090"/>
      <c r="E4" s="1090"/>
      <c r="F4" s="1090"/>
      <c r="G4" s="657"/>
    </row>
    <row r="5" spans="1:7" s="630" customFormat="1" x14ac:dyDescent="0.2">
      <c r="A5" s="657"/>
      <c r="B5" s="658"/>
      <c r="C5" s="658"/>
      <c r="D5" s="658"/>
      <c r="E5" s="658"/>
      <c r="F5" s="658"/>
      <c r="G5" s="657"/>
    </row>
    <row r="6" spans="1:7" s="630" customFormat="1" ht="25.5" customHeight="1" x14ac:dyDescent="0.2">
      <c r="A6" s="1091" t="s">
        <v>1641</v>
      </c>
      <c r="B6" s="1091"/>
      <c r="C6" s="1091"/>
      <c r="D6" s="1092" t="s">
        <v>2138</v>
      </c>
      <c r="E6" s="1092"/>
      <c r="F6" s="1092"/>
      <c r="G6" s="1092"/>
    </row>
    <row r="7" spans="1:7" s="630" customFormat="1" x14ac:dyDescent="0.2">
      <c r="A7" s="657"/>
      <c r="B7" s="657"/>
      <c r="C7" s="659"/>
      <c r="D7" s="659"/>
      <c r="E7" s="659"/>
      <c r="F7" s="657"/>
      <c r="G7" s="657"/>
    </row>
    <row r="8" spans="1:7" s="630" customFormat="1" ht="12.75" customHeight="1" x14ac:dyDescent="0.2">
      <c r="A8" s="1091" t="s">
        <v>1642</v>
      </c>
      <c r="B8" s="1091"/>
      <c r="C8" s="1091"/>
      <c r="D8" s="1096" t="s">
        <v>1128</v>
      </c>
      <c r="E8" s="1096"/>
      <c r="F8" s="1096"/>
      <c r="G8" s="1096"/>
    </row>
    <row r="9" spans="1:7" s="630" customFormat="1" x14ac:dyDescent="0.2">
      <c r="A9" s="660"/>
      <c r="B9" s="660"/>
      <c r="C9" s="661"/>
      <c r="D9" s="662"/>
      <c r="E9" s="662"/>
      <c r="F9" s="662"/>
      <c r="G9" s="662"/>
    </row>
    <row r="10" spans="1:7" s="630" customFormat="1" ht="12.75" customHeight="1" x14ac:dyDescent="0.2">
      <c r="A10" s="1091" t="s">
        <v>1643</v>
      </c>
      <c r="B10" s="1091"/>
      <c r="C10" s="1091"/>
      <c r="D10" s="1096" t="s">
        <v>1644</v>
      </c>
      <c r="E10" s="1096"/>
      <c r="F10" s="1096"/>
      <c r="G10" s="1096"/>
    </row>
    <row r="11" spans="1:7" s="630" customFormat="1" x14ac:dyDescent="0.2">
      <c r="A11" s="657"/>
      <c r="B11" s="657"/>
      <c r="C11" s="657"/>
      <c r="D11" s="1096"/>
      <c r="E11" s="1096"/>
      <c r="F11" s="1096"/>
      <c r="G11" s="1096"/>
    </row>
    <row r="12" spans="1:7" s="630" customFormat="1" ht="13.5" customHeight="1" x14ac:dyDescent="0.2">
      <c r="A12" s="1091" t="s">
        <v>1645</v>
      </c>
      <c r="B12" s="1091"/>
      <c r="C12" s="1091"/>
      <c r="D12" s="1096"/>
      <c r="E12" s="1096"/>
      <c r="F12" s="1096"/>
      <c r="G12" s="1096"/>
    </row>
    <row r="13" spans="1:7" s="630" customFormat="1" ht="12" customHeight="1" x14ac:dyDescent="0.2">
      <c r="A13" s="661"/>
      <c r="B13" s="661"/>
      <c r="C13" s="657"/>
      <c r="D13" s="1096"/>
      <c r="E13" s="1096"/>
      <c r="F13" s="1096"/>
      <c r="G13" s="1096"/>
    </row>
    <row r="14" spans="1:7" s="630" customFormat="1" ht="25.5" customHeight="1" x14ac:dyDescent="0.2">
      <c r="A14" s="1091" t="s">
        <v>1736</v>
      </c>
      <c r="B14" s="1097"/>
      <c r="C14" s="1097"/>
      <c r="D14" s="1097"/>
      <c r="E14" s="1097"/>
      <c r="F14" s="1097"/>
      <c r="G14" s="1097"/>
    </row>
    <row r="15" spans="1:7" s="630" customFormat="1" ht="12.75" customHeight="1" x14ac:dyDescent="0.2">
      <c r="A15" s="663"/>
      <c r="B15" s="664"/>
      <c r="C15" s="664"/>
      <c r="D15" s="664"/>
      <c r="E15" s="664"/>
      <c r="F15" s="664"/>
      <c r="G15" s="664"/>
    </row>
    <row r="16" spans="1:7" s="630" customFormat="1" ht="12.75" customHeight="1" x14ac:dyDescent="0.2">
      <c r="A16" s="1098" t="s">
        <v>1647</v>
      </c>
      <c r="B16" s="1098"/>
      <c r="C16" s="1098"/>
      <c r="D16" s="1098"/>
      <c r="E16" s="1098"/>
      <c r="F16" s="1098"/>
      <c r="G16" s="1098"/>
    </row>
    <row r="17" spans="1:7" ht="79.900000000000006" customHeight="1" x14ac:dyDescent="0.2">
      <c r="A17" s="757" t="s">
        <v>1468</v>
      </c>
      <c r="B17" s="759" t="s">
        <v>1523</v>
      </c>
      <c r="C17" s="759" t="s">
        <v>1206</v>
      </c>
      <c r="D17" s="759" t="s">
        <v>363</v>
      </c>
      <c r="E17" s="759" t="s">
        <v>1456</v>
      </c>
      <c r="F17" s="763" t="s">
        <v>2144</v>
      </c>
      <c r="G17" s="785" t="s">
        <v>2145</v>
      </c>
    </row>
    <row r="18" spans="1:7" x14ac:dyDescent="0.2">
      <c r="A18" s="768">
        <v>1</v>
      </c>
      <c r="B18" s="769">
        <v>2</v>
      </c>
      <c r="C18" s="769">
        <v>3</v>
      </c>
      <c r="D18" s="769">
        <v>4</v>
      </c>
      <c r="E18" s="769">
        <v>5</v>
      </c>
      <c r="F18" s="768">
        <v>6</v>
      </c>
      <c r="G18" s="786">
        <v>7</v>
      </c>
    </row>
    <row r="19" spans="1:7" ht="21" customHeight="1" x14ac:dyDescent="0.2">
      <c r="A19" s="1126" t="s">
        <v>2146</v>
      </c>
      <c r="B19" s="1127"/>
      <c r="C19" s="1127"/>
      <c r="D19" s="1127"/>
      <c r="E19" s="1127"/>
      <c r="F19" s="1127"/>
      <c r="G19" s="1127"/>
    </row>
    <row r="20" spans="1:7" ht="38.25" x14ac:dyDescent="0.2">
      <c r="A20" s="1128">
        <v>1</v>
      </c>
      <c r="B20" s="771" t="s">
        <v>2147</v>
      </c>
      <c r="C20" s="772" t="s">
        <v>1457</v>
      </c>
      <c r="D20" s="773">
        <v>15</v>
      </c>
      <c r="E20" s="774" t="s">
        <v>2148</v>
      </c>
      <c r="F20" s="773" t="s">
        <v>2149</v>
      </c>
      <c r="G20" s="782">
        <v>710</v>
      </c>
    </row>
    <row r="21" spans="1:7" ht="144" hidden="1" outlineLevel="1" x14ac:dyDescent="0.2">
      <c r="A21" s="1129"/>
      <c r="B21" s="775"/>
      <c r="C21" s="776"/>
      <c r="D21" s="777"/>
      <c r="E21" s="778" t="s">
        <v>2150</v>
      </c>
      <c r="F21" s="777"/>
      <c r="G21" s="787" t="s">
        <v>1514</v>
      </c>
    </row>
    <row r="22" spans="1:7" ht="132" hidden="1" outlineLevel="1" x14ac:dyDescent="0.2">
      <c r="A22" s="1129"/>
      <c r="B22" s="775"/>
      <c r="C22" s="776"/>
      <c r="D22" s="777"/>
      <c r="E22" s="778" t="s">
        <v>2151</v>
      </c>
      <c r="F22" s="777"/>
      <c r="G22" s="787" t="s">
        <v>1514</v>
      </c>
    </row>
    <row r="23" spans="1:7" ht="38.25" collapsed="1" x14ac:dyDescent="0.2">
      <c r="A23" s="1128">
        <v>3</v>
      </c>
      <c r="B23" s="771" t="s">
        <v>2152</v>
      </c>
      <c r="C23" s="772" t="s">
        <v>2153</v>
      </c>
      <c r="D23" s="773">
        <v>37</v>
      </c>
      <c r="E23" s="774" t="s">
        <v>2154</v>
      </c>
      <c r="F23" s="773" t="s">
        <v>2155</v>
      </c>
      <c r="G23" s="782">
        <v>530</v>
      </c>
    </row>
    <row r="24" spans="1:7" ht="144" hidden="1" outlineLevel="1" x14ac:dyDescent="0.2">
      <c r="A24" s="1129"/>
      <c r="B24" s="775"/>
      <c r="C24" s="776"/>
      <c r="D24" s="777"/>
      <c r="E24" s="778" t="s">
        <v>2150</v>
      </c>
      <c r="F24" s="777"/>
      <c r="G24" s="787" t="s">
        <v>1514</v>
      </c>
    </row>
    <row r="25" spans="1:7" ht="132" hidden="1" outlineLevel="1" x14ac:dyDescent="0.2">
      <c r="A25" s="1129"/>
      <c r="B25" s="775"/>
      <c r="C25" s="776"/>
      <c r="D25" s="777"/>
      <c r="E25" s="778" t="s">
        <v>2151</v>
      </c>
      <c r="F25" s="777"/>
      <c r="G25" s="787" t="s">
        <v>1514</v>
      </c>
    </row>
    <row r="26" spans="1:7" ht="38.25" collapsed="1" x14ac:dyDescent="0.2">
      <c r="A26" s="1128">
        <v>4</v>
      </c>
      <c r="B26" s="771" t="s">
        <v>2156</v>
      </c>
      <c r="C26" s="772" t="s">
        <v>2153</v>
      </c>
      <c r="D26" s="773">
        <v>42</v>
      </c>
      <c r="E26" s="774" t="s">
        <v>2157</v>
      </c>
      <c r="F26" s="773" t="s">
        <v>2158</v>
      </c>
      <c r="G26" s="782" t="s">
        <v>2159</v>
      </c>
    </row>
    <row r="27" spans="1:7" ht="144" hidden="1" outlineLevel="1" x14ac:dyDescent="0.2">
      <c r="A27" s="1129"/>
      <c r="B27" s="775"/>
      <c r="C27" s="776"/>
      <c r="D27" s="777"/>
      <c r="E27" s="778" t="s">
        <v>2150</v>
      </c>
      <c r="F27" s="777"/>
      <c r="G27" s="787" t="s">
        <v>1514</v>
      </c>
    </row>
    <row r="28" spans="1:7" ht="132" hidden="1" outlineLevel="1" x14ac:dyDescent="0.2">
      <c r="A28" s="1129"/>
      <c r="B28" s="775"/>
      <c r="C28" s="776"/>
      <c r="D28" s="777"/>
      <c r="E28" s="778" t="s">
        <v>2151</v>
      </c>
      <c r="F28" s="777"/>
      <c r="G28" s="787" t="s">
        <v>1514</v>
      </c>
    </row>
    <row r="29" spans="1:7" ht="25.5" collapsed="1" x14ac:dyDescent="0.2">
      <c r="A29" s="1128">
        <v>5</v>
      </c>
      <c r="B29" s="771" t="s">
        <v>2160</v>
      </c>
      <c r="C29" s="772" t="s">
        <v>746</v>
      </c>
      <c r="D29" s="773">
        <v>640</v>
      </c>
      <c r="E29" s="774" t="s">
        <v>2161</v>
      </c>
      <c r="F29" s="773" t="s">
        <v>2162</v>
      </c>
      <c r="G29" s="782" t="s">
        <v>2163</v>
      </c>
    </row>
    <row r="30" spans="1:7" ht="144" hidden="1" outlineLevel="1" x14ac:dyDescent="0.2">
      <c r="A30" s="1129"/>
      <c r="B30" s="775"/>
      <c r="C30" s="776"/>
      <c r="D30" s="777"/>
      <c r="E30" s="778" t="s">
        <v>2150</v>
      </c>
      <c r="F30" s="777"/>
      <c r="G30" s="787" t="s">
        <v>1514</v>
      </c>
    </row>
    <row r="31" spans="1:7" ht="132" hidden="1" outlineLevel="1" x14ac:dyDescent="0.2">
      <c r="A31" s="1129"/>
      <c r="B31" s="775"/>
      <c r="C31" s="776"/>
      <c r="D31" s="777"/>
      <c r="E31" s="778" t="s">
        <v>2151</v>
      </c>
      <c r="F31" s="777"/>
      <c r="G31" s="787" t="s">
        <v>1514</v>
      </c>
    </row>
    <row r="32" spans="1:7" ht="25.5" collapsed="1" x14ac:dyDescent="0.2">
      <c r="A32" s="1128">
        <v>7</v>
      </c>
      <c r="B32" s="771" t="s">
        <v>2164</v>
      </c>
      <c r="C32" s="772" t="s">
        <v>746</v>
      </c>
      <c r="D32" s="773">
        <v>50</v>
      </c>
      <c r="E32" s="774" t="s">
        <v>2165</v>
      </c>
      <c r="F32" s="773" t="s">
        <v>2166</v>
      </c>
      <c r="G32" s="782">
        <v>80</v>
      </c>
    </row>
    <row r="33" spans="1:7" ht="60" hidden="1" outlineLevel="1" x14ac:dyDescent="0.2">
      <c r="A33" s="1129"/>
      <c r="B33" s="775"/>
      <c r="C33" s="776"/>
      <c r="D33" s="777"/>
      <c r="E33" s="778" t="s">
        <v>2167</v>
      </c>
      <c r="F33" s="777"/>
      <c r="G33" s="787" t="s">
        <v>1514</v>
      </c>
    </row>
    <row r="34" spans="1:7" ht="144" hidden="1" outlineLevel="1" x14ac:dyDescent="0.2">
      <c r="A34" s="1129"/>
      <c r="B34" s="775"/>
      <c r="C34" s="776"/>
      <c r="D34" s="777"/>
      <c r="E34" s="778" t="s">
        <v>2150</v>
      </c>
      <c r="F34" s="777"/>
      <c r="G34" s="787" t="s">
        <v>1514</v>
      </c>
    </row>
    <row r="35" spans="1:7" ht="132" hidden="1" outlineLevel="1" x14ac:dyDescent="0.2">
      <c r="A35" s="1129"/>
      <c r="B35" s="775"/>
      <c r="C35" s="776"/>
      <c r="D35" s="777"/>
      <c r="E35" s="778" t="s">
        <v>2168</v>
      </c>
      <c r="F35" s="777"/>
      <c r="G35" s="787" t="s">
        <v>1514</v>
      </c>
    </row>
    <row r="36" spans="1:7" ht="25.5" collapsed="1" x14ac:dyDescent="0.2">
      <c r="A36" s="1128">
        <v>8</v>
      </c>
      <c r="B36" s="771" t="s">
        <v>2169</v>
      </c>
      <c r="C36" s="772" t="s">
        <v>746</v>
      </c>
      <c r="D36" s="773">
        <v>420</v>
      </c>
      <c r="E36" s="774" t="s">
        <v>2170</v>
      </c>
      <c r="F36" s="773" t="s">
        <v>2171</v>
      </c>
      <c r="G36" s="782" t="s">
        <v>2172</v>
      </c>
    </row>
    <row r="37" spans="1:7" ht="144" hidden="1" outlineLevel="1" x14ac:dyDescent="0.2">
      <c r="A37" s="1129"/>
      <c r="B37" s="775"/>
      <c r="C37" s="776"/>
      <c r="D37" s="777"/>
      <c r="E37" s="778" t="s">
        <v>2150</v>
      </c>
      <c r="F37" s="777"/>
      <c r="G37" s="787" t="s">
        <v>1514</v>
      </c>
    </row>
    <row r="38" spans="1:7" ht="132" hidden="1" outlineLevel="1" x14ac:dyDescent="0.2">
      <c r="A38" s="1129"/>
      <c r="B38" s="775"/>
      <c r="C38" s="776"/>
      <c r="D38" s="777"/>
      <c r="E38" s="778" t="s">
        <v>2151</v>
      </c>
      <c r="F38" s="777"/>
      <c r="G38" s="787" t="s">
        <v>1514</v>
      </c>
    </row>
    <row r="39" spans="1:7" ht="25.5" collapsed="1" x14ac:dyDescent="0.2">
      <c r="A39" s="1128">
        <v>10</v>
      </c>
      <c r="B39" s="771" t="s">
        <v>2173</v>
      </c>
      <c r="C39" s="772" t="s">
        <v>2174</v>
      </c>
      <c r="D39" s="773">
        <v>10</v>
      </c>
      <c r="E39" s="774" t="s">
        <v>2175</v>
      </c>
      <c r="F39" s="773" t="s">
        <v>2176</v>
      </c>
      <c r="G39" s="782">
        <v>630</v>
      </c>
    </row>
    <row r="40" spans="1:7" ht="144" hidden="1" outlineLevel="1" x14ac:dyDescent="0.2">
      <c r="A40" s="1129"/>
      <c r="B40" s="775"/>
      <c r="C40" s="776"/>
      <c r="D40" s="777"/>
      <c r="E40" s="778" t="s">
        <v>2150</v>
      </c>
      <c r="F40" s="777"/>
      <c r="G40" s="787" t="s">
        <v>1514</v>
      </c>
    </row>
    <row r="41" spans="1:7" ht="132" hidden="1" outlineLevel="1" x14ac:dyDescent="0.2">
      <c r="A41" s="1129"/>
      <c r="B41" s="775"/>
      <c r="C41" s="776"/>
      <c r="D41" s="777"/>
      <c r="E41" s="778" t="s">
        <v>2151</v>
      </c>
      <c r="F41" s="777"/>
      <c r="G41" s="787" t="s">
        <v>1514</v>
      </c>
    </row>
    <row r="42" spans="1:7" ht="63.75" collapsed="1" x14ac:dyDescent="0.2">
      <c r="A42" s="1128">
        <v>11</v>
      </c>
      <c r="B42" s="771" t="s">
        <v>1737</v>
      </c>
      <c r="C42" s="772" t="s">
        <v>2177</v>
      </c>
      <c r="D42" s="773">
        <v>12</v>
      </c>
      <c r="E42" s="774" t="s">
        <v>2178</v>
      </c>
      <c r="F42" s="773" t="s">
        <v>2179</v>
      </c>
      <c r="G42" s="782" t="s">
        <v>2180</v>
      </c>
    </row>
    <row r="43" spans="1:7" ht="144" hidden="1" outlineLevel="1" x14ac:dyDescent="0.2">
      <c r="A43" s="1129"/>
      <c r="B43" s="775"/>
      <c r="C43" s="776"/>
      <c r="D43" s="777"/>
      <c r="E43" s="778" t="s">
        <v>2150</v>
      </c>
      <c r="F43" s="777"/>
      <c r="G43" s="787" t="s">
        <v>1514</v>
      </c>
    </row>
    <row r="44" spans="1:7" ht="132" hidden="1" outlineLevel="1" x14ac:dyDescent="0.2">
      <c r="A44" s="1129"/>
      <c r="B44" s="775"/>
      <c r="C44" s="776"/>
      <c r="D44" s="777"/>
      <c r="E44" s="778" t="s">
        <v>2151</v>
      </c>
      <c r="F44" s="777"/>
      <c r="G44" s="787" t="s">
        <v>1514</v>
      </c>
    </row>
    <row r="45" spans="1:7" ht="25.5" collapsed="1" x14ac:dyDescent="0.2">
      <c r="A45" s="1128">
        <v>12</v>
      </c>
      <c r="B45" s="771" t="s">
        <v>2181</v>
      </c>
      <c r="C45" s="772" t="s">
        <v>2182</v>
      </c>
      <c r="D45" s="773">
        <v>1.2</v>
      </c>
      <c r="E45" s="774" t="s">
        <v>2183</v>
      </c>
      <c r="F45" s="773" t="s">
        <v>2184</v>
      </c>
      <c r="G45" s="782">
        <v>30</v>
      </c>
    </row>
    <row r="46" spans="1:7" ht="144" hidden="1" outlineLevel="1" x14ac:dyDescent="0.2">
      <c r="A46" s="1129"/>
      <c r="B46" s="775"/>
      <c r="C46" s="776"/>
      <c r="D46" s="777"/>
      <c r="E46" s="778" t="s">
        <v>2150</v>
      </c>
      <c r="F46" s="777"/>
      <c r="G46" s="787" t="s">
        <v>1514</v>
      </c>
    </row>
    <row r="47" spans="1:7" ht="132" hidden="1" outlineLevel="1" x14ac:dyDescent="0.2">
      <c r="A47" s="1129"/>
      <c r="B47" s="775"/>
      <c r="C47" s="776"/>
      <c r="D47" s="777"/>
      <c r="E47" s="778" t="s">
        <v>2151</v>
      </c>
      <c r="F47" s="777"/>
      <c r="G47" s="787" t="s">
        <v>1514</v>
      </c>
    </row>
    <row r="48" spans="1:7" ht="63.75" collapsed="1" x14ac:dyDescent="0.2">
      <c r="A48" s="1128">
        <v>13</v>
      </c>
      <c r="B48" s="771" t="s">
        <v>2185</v>
      </c>
      <c r="C48" s="772" t="s">
        <v>2182</v>
      </c>
      <c r="D48" s="773">
        <v>1.2</v>
      </c>
      <c r="E48" s="774" t="s">
        <v>2186</v>
      </c>
      <c r="F48" s="773" t="s">
        <v>2187</v>
      </c>
      <c r="G48" s="782">
        <v>320</v>
      </c>
    </row>
    <row r="49" spans="1:7" ht="144" hidden="1" outlineLevel="1" x14ac:dyDescent="0.2">
      <c r="A49" s="1129"/>
      <c r="B49" s="775"/>
      <c r="C49" s="776"/>
      <c r="D49" s="777"/>
      <c r="E49" s="778" t="s">
        <v>2150</v>
      </c>
      <c r="F49" s="777"/>
      <c r="G49" s="787" t="s">
        <v>1514</v>
      </c>
    </row>
    <row r="50" spans="1:7" ht="132" hidden="1" outlineLevel="1" x14ac:dyDescent="0.2">
      <c r="A50" s="1129"/>
      <c r="B50" s="775"/>
      <c r="C50" s="776"/>
      <c r="D50" s="777"/>
      <c r="E50" s="778" t="s">
        <v>2151</v>
      </c>
      <c r="F50" s="777"/>
      <c r="G50" s="787" t="s">
        <v>1514</v>
      </c>
    </row>
    <row r="51" spans="1:7" ht="15" collapsed="1" x14ac:dyDescent="0.2">
      <c r="A51" s="770" t="s">
        <v>1654</v>
      </c>
      <c r="B51" s="1130" t="s">
        <v>2188</v>
      </c>
      <c r="C51" s="1131"/>
      <c r="D51" s="1131"/>
      <c r="E51" s="1131"/>
      <c r="F51" s="1131"/>
      <c r="G51" s="781"/>
    </row>
    <row r="52" spans="1:7" ht="15" x14ac:dyDescent="0.2">
      <c r="A52" s="770" t="s">
        <v>1654</v>
      </c>
      <c r="B52" s="1132" t="s">
        <v>2189</v>
      </c>
      <c r="C52" s="1133"/>
      <c r="D52" s="1133"/>
      <c r="E52" s="1133"/>
      <c r="F52" s="1133"/>
      <c r="G52" s="782" t="s">
        <v>2190</v>
      </c>
    </row>
    <row r="53" spans="1:7" ht="15" x14ac:dyDescent="0.2">
      <c r="A53" s="770" t="s">
        <v>1654</v>
      </c>
      <c r="B53" s="1132" t="s">
        <v>2191</v>
      </c>
      <c r="C53" s="1133"/>
      <c r="D53" s="1133"/>
      <c r="E53" s="1133"/>
      <c r="F53" s="1133"/>
      <c r="G53" s="782" t="s">
        <v>2192</v>
      </c>
    </row>
    <row r="54" spans="1:7" ht="15" x14ac:dyDescent="0.2">
      <c r="A54" s="770" t="s">
        <v>1654</v>
      </c>
      <c r="B54" s="1132" t="s">
        <v>2193</v>
      </c>
      <c r="C54" s="1133"/>
      <c r="D54" s="1133"/>
      <c r="E54" s="1133"/>
      <c r="F54" s="1133"/>
      <c r="G54" s="782" t="s">
        <v>2194</v>
      </c>
    </row>
    <row r="55" spans="1:7" ht="15" x14ac:dyDescent="0.2">
      <c r="A55" s="770" t="s">
        <v>1654</v>
      </c>
      <c r="B55" s="1132" t="s">
        <v>2195</v>
      </c>
      <c r="C55" s="1133"/>
      <c r="D55" s="1133"/>
      <c r="E55" s="1133"/>
      <c r="F55" s="1133"/>
      <c r="G55" s="782" t="s">
        <v>2196</v>
      </c>
    </row>
    <row r="56" spans="1:7" ht="15" x14ac:dyDescent="0.2">
      <c r="A56" s="770" t="s">
        <v>1654</v>
      </c>
      <c r="B56" s="1130" t="s">
        <v>2197</v>
      </c>
      <c r="C56" s="1131"/>
      <c r="D56" s="1131"/>
      <c r="E56" s="1131"/>
      <c r="F56" s="1131"/>
      <c r="G56" s="781" t="s">
        <v>2196</v>
      </c>
    </row>
    <row r="57" spans="1:7" ht="15" x14ac:dyDescent="0.2">
      <c r="A57" s="1126" t="s">
        <v>2198</v>
      </c>
      <c r="B57" s="1127"/>
      <c r="C57" s="1127"/>
      <c r="D57" s="1127"/>
      <c r="E57" s="1127"/>
      <c r="F57" s="1127"/>
      <c r="G57" s="1127"/>
    </row>
    <row r="58" spans="1:7" ht="25.5" x14ac:dyDescent="0.2">
      <c r="A58" s="770">
        <v>14</v>
      </c>
      <c r="B58" s="771" t="s">
        <v>2199</v>
      </c>
      <c r="C58" s="772" t="s">
        <v>2200</v>
      </c>
      <c r="D58" s="773">
        <v>10</v>
      </c>
      <c r="E58" s="774" t="s">
        <v>2201</v>
      </c>
      <c r="F58" s="773" t="s">
        <v>2202</v>
      </c>
      <c r="G58" s="782">
        <v>490</v>
      </c>
    </row>
    <row r="59" spans="1:7" ht="38.25" x14ac:dyDescent="0.2">
      <c r="A59" s="770">
        <v>2</v>
      </c>
      <c r="B59" s="771" t="s">
        <v>2203</v>
      </c>
      <c r="C59" s="772" t="s">
        <v>2200</v>
      </c>
      <c r="D59" s="773">
        <v>20</v>
      </c>
      <c r="E59" s="774" t="s">
        <v>2204</v>
      </c>
      <c r="F59" s="773" t="s">
        <v>2205</v>
      </c>
      <c r="G59" s="782">
        <v>40</v>
      </c>
    </row>
    <row r="60" spans="1:7" x14ac:dyDescent="0.2">
      <c r="A60" s="770">
        <v>6</v>
      </c>
      <c r="B60" s="771" t="s">
        <v>2206</v>
      </c>
      <c r="C60" s="772" t="s">
        <v>2200</v>
      </c>
      <c r="D60" s="773">
        <v>70</v>
      </c>
      <c r="E60" s="774" t="s">
        <v>2207</v>
      </c>
      <c r="F60" s="773" t="s">
        <v>2208</v>
      </c>
      <c r="G60" s="782">
        <v>130</v>
      </c>
    </row>
    <row r="61" spans="1:7" x14ac:dyDescent="0.2">
      <c r="A61" s="770">
        <v>9</v>
      </c>
      <c r="B61" s="771" t="s">
        <v>2209</v>
      </c>
      <c r="C61" s="772" t="s">
        <v>2200</v>
      </c>
      <c r="D61" s="773">
        <v>70</v>
      </c>
      <c r="E61" s="774" t="s">
        <v>2210</v>
      </c>
      <c r="F61" s="773" t="s">
        <v>2211</v>
      </c>
      <c r="G61" s="782">
        <v>200</v>
      </c>
    </row>
    <row r="62" spans="1:7" ht="38.25" x14ac:dyDescent="0.2">
      <c r="A62" s="770">
        <v>15</v>
      </c>
      <c r="B62" s="771" t="s">
        <v>2212</v>
      </c>
      <c r="C62" s="772" t="s">
        <v>2200</v>
      </c>
      <c r="D62" s="773">
        <v>70</v>
      </c>
      <c r="E62" s="774" t="s">
        <v>2213</v>
      </c>
      <c r="F62" s="773" t="s">
        <v>2214</v>
      </c>
      <c r="G62" s="782">
        <v>960</v>
      </c>
    </row>
    <row r="63" spans="1:7" ht="25.5" x14ac:dyDescent="0.2">
      <c r="A63" s="770">
        <v>16</v>
      </c>
      <c r="B63" s="771" t="s">
        <v>2215</v>
      </c>
      <c r="C63" s="772" t="s">
        <v>2200</v>
      </c>
      <c r="D63" s="773">
        <v>40</v>
      </c>
      <c r="E63" s="774" t="s">
        <v>2216</v>
      </c>
      <c r="F63" s="773" t="s">
        <v>2217</v>
      </c>
      <c r="G63" s="782">
        <v>730</v>
      </c>
    </row>
    <row r="64" spans="1:7" ht="25.5" x14ac:dyDescent="0.2">
      <c r="A64" s="770">
        <v>17</v>
      </c>
      <c r="B64" s="771" t="s">
        <v>2218</v>
      </c>
      <c r="C64" s="772" t="s">
        <v>2219</v>
      </c>
      <c r="D64" s="773">
        <v>6</v>
      </c>
      <c r="E64" s="774" t="s">
        <v>2220</v>
      </c>
      <c r="F64" s="773" t="s">
        <v>2221</v>
      </c>
      <c r="G64" s="782">
        <v>70</v>
      </c>
    </row>
    <row r="65" spans="1:7" ht="25.5" x14ac:dyDescent="0.2">
      <c r="A65" s="770">
        <v>18</v>
      </c>
      <c r="B65" s="771" t="s">
        <v>2222</v>
      </c>
      <c r="C65" s="772" t="s">
        <v>2200</v>
      </c>
      <c r="D65" s="773">
        <v>6</v>
      </c>
      <c r="E65" s="774" t="s">
        <v>2223</v>
      </c>
      <c r="F65" s="773" t="s">
        <v>2224</v>
      </c>
      <c r="G65" s="782">
        <v>20</v>
      </c>
    </row>
    <row r="66" spans="1:7" ht="25.5" x14ac:dyDescent="0.2">
      <c r="A66" s="770">
        <v>19</v>
      </c>
      <c r="B66" s="771" t="s">
        <v>2225</v>
      </c>
      <c r="C66" s="772" t="s">
        <v>2200</v>
      </c>
      <c r="D66" s="773">
        <v>6</v>
      </c>
      <c r="E66" s="774" t="s">
        <v>2226</v>
      </c>
      <c r="F66" s="773" t="s">
        <v>2227</v>
      </c>
      <c r="G66" s="782">
        <v>290</v>
      </c>
    </row>
    <row r="67" spans="1:7" ht="25.5" x14ac:dyDescent="0.2">
      <c r="A67" s="770">
        <v>20</v>
      </c>
      <c r="B67" s="771" t="s">
        <v>2228</v>
      </c>
      <c r="C67" s="772" t="s">
        <v>2219</v>
      </c>
      <c r="D67" s="773">
        <v>6</v>
      </c>
      <c r="E67" s="774" t="s">
        <v>2229</v>
      </c>
      <c r="F67" s="773" t="s">
        <v>2230</v>
      </c>
      <c r="G67" s="782">
        <v>110</v>
      </c>
    </row>
    <row r="68" spans="1:7" ht="15" x14ac:dyDescent="0.2">
      <c r="A68" s="770" t="s">
        <v>1654</v>
      </c>
      <c r="B68" s="1130" t="s">
        <v>2231</v>
      </c>
      <c r="C68" s="1131"/>
      <c r="D68" s="1131"/>
      <c r="E68" s="1131"/>
      <c r="F68" s="1131"/>
      <c r="G68" s="781"/>
    </row>
    <row r="69" spans="1:7" ht="15" x14ac:dyDescent="0.2">
      <c r="A69" s="770" t="s">
        <v>1654</v>
      </c>
      <c r="B69" s="1132" t="s">
        <v>2232</v>
      </c>
      <c r="C69" s="1133"/>
      <c r="D69" s="1133"/>
      <c r="E69" s="1133"/>
      <c r="F69" s="1133"/>
      <c r="G69" s="782" t="s">
        <v>2233</v>
      </c>
    </row>
    <row r="70" spans="1:7" ht="15" x14ac:dyDescent="0.2">
      <c r="A70" s="770" t="s">
        <v>1654</v>
      </c>
      <c r="B70" s="1130" t="s">
        <v>2234</v>
      </c>
      <c r="C70" s="1131"/>
      <c r="D70" s="1131"/>
      <c r="E70" s="1131"/>
      <c r="F70" s="1131"/>
      <c r="G70" s="781" t="s">
        <v>2233</v>
      </c>
    </row>
    <row r="71" spans="1:7" ht="15" x14ac:dyDescent="0.2">
      <c r="A71" s="1126" t="s">
        <v>2235</v>
      </c>
      <c r="B71" s="1127"/>
      <c r="C71" s="1127"/>
      <c r="D71" s="1127"/>
      <c r="E71" s="1127"/>
      <c r="F71" s="1127"/>
      <c r="G71" s="1127"/>
    </row>
    <row r="72" spans="1:7" ht="38.25" x14ac:dyDescent="0.2">
      <c r="A72" s="770">
        <v>21</v>
      </c>
      <c r="B72" s="771" t="s">
        <v>2236</v>
      </c>
      <c r="C72" s="772" t="s">
        <v>1457</v>
      </c>
      <c r="D72" s="773">
        <v>15</v>
      </c>
      <c r="E72" s="774" t="s">
        <v>2237</v>
      </c>
      <c r="F72" s="773" t="s">
        <v>2238</v>
      </c>
      <c r="G72" s="782">
        <v>350</v>
      </c>
    </row>
    <row r="73" spans="1:7" ht="38.25" x14ac:dyDescent="0.2">
      <c r="A73" s="770">
        <v>22</v>
      </c>
      <c r="B73" s="771" t="s">
        <v>2239</v>
      </c>
      <c r="C73" s="772" t="s">
        <v>2240</v>
      </c>
      <c r="D73" s="773">
        <v>300</v>
      </c>
      <c r="E73" s="774" t="s">
        <v>2241</v>
      </c>
      <c r="F73" s="773" t="s">
        <v>2242</v>
      </c>
      <c r="G73" s="782" t="s">
        <v>2243</v>
      </c>
    </row>
    <row r="74" spans="1:7" ht="38.25" x14ac:dyDescent="0.2">
      <c r="A74" s="770">
        <v>23</v>
      </c>
      <c r="B74" s="771" t="s">
        <v>2244</v>
      </c>
      <c r="C74" s="772" t="s">
        <v>2245</v>
      </c>
      <c r="D74" s="773">
        <v>200</v>
      </c>
      <c r="E74" s="774" t="s">
        <v>2246</v>
      </c>
      <c r="F74" s="773" t="s">
        <v>2247</v>
      </c>
      <c r="G74" s="782">
        <v>860</v>
      </c>
    </row>
    <row r="75" spans="1:7" ht="38.25" x14ac:dyDescent="0.2">
      <c r="A75" s="770">
        <v>24</v>
      </c>
      <c r="B75" s="771" t="s">
        <v>2248</v>
      </c>
      <c r="C75" s="772" t="s">
        <v>2240</v>
      </c>
      <c r="D75" s="773">
        <v>590</v>
      </c>
      <c r="E75" s="774" t="s">
        <v>2249</v>
      </c>
      <c r="F75" s="773" t="s">
        <v>2250</v>
      </c>
      <c r="G75" s="782" t="s">
        <v>2251</v>
      </c>
    </row>
    <row r="76" spans="1:7" ht="51" x14ac:dyDescent="0.2">
      <c r="A76" s="770">
        <v>25</v>
      </c>
      <c r="B76" s="771" t="s">
        <v>2252</v>
      </c>
      <c r="C76" s="772" t="s">
        <v>2240</v>
      </c>
      <c r="D76" s="773">
        <v>50</v>
      </c>
      <c r="E76" s="774" t="s">
        <v>2253</v>
      </c>
      <c r="F76" s="773" t="s">
        <v>2254</v>
      </c>
      <c r="G76" s="782">
        <v>540</v>
      </c>
    </row>
    <row r="77" spans="1:7" ht="38.25" x14ac:dyDescent="0.2">
      <c r="A77" s="1128">
        <v>26</v>
      </c>
      <c r="B77" s="771" t="s">
        <v>2255</v>
      </c>
      <c r="C77" s="772" t="s">
        <v>2256</v>
      </c>
      <c r="D77" s="773">
        <v>0</v>
      </c>
      <c r="E77" s="774" t="s">
        <v>2257</v>
      </c>
      <c r="F77" s="773" t="s">
        <v>2258</v>
      </c>
      <c r="G77" s="782">
        <v>50</v>
      </c>
    </row>
    <row r="78" spans="1:7" ht="180" hidden="1" outlineLevel="1" x14ac:dyDescent="0.2">
      <c r="A78" s="1129"/>
      <c r="B78" s="775"/>
      <c r="C78" s="776"/>
      <c r="D78" s="777"/>
      <c r="E78" s="778" t="s">
        <v>2259</v>
      </c>
      <c r="F78" s="777"/>
      <c r="G78" s="787" t="s">
        <v>1514</v>
      </c>
    </row>
    <row r="79" spans="1:7" ht="38.25" collapsed="1" x14ac:dyDescent="0.2">
      <c r="A79" s="1128">
        <v>27</v>
      </c>
      <c r="B79" s="771" t="s">
        <v>2260</v>
      </c>
      <c r="C79" s="772" t="s">
        <v>2256</v>
      </c>
      <c r="D79" s="773">
        <v>0</v>
      </c>
      <c r="E79" s="774" t="s">
        <v>2261</v>
      </c>
      <c r="F79" s="773" t="s">
        <v>2262</v>
      </c>
      <c r="G79" s="782">
        <v>60</v>
      </c>
    </row>
    <row r="80" spans="1:7" ht="120" hidden="1" outlineLevel="1" x14ac:dyDescent="0.2">
      <c r="A80" s="1129"/>
      <c r="B80" s="775"/>
      <c r="C80" s="776"/>
      <c r="D80" s="777"/>
      <c r="E80" s="778" t="s">
        <v>2263</v>
      </c>
      <c r="F80" s="777"/>
      <c r="G80" s="787" t="s">
        <v>1514</v>
      </c>
    </row>
    <row r="81" spans="1:7" ht="51" collapsed="1" x14ac:dyDescent="0.2">
      <c r="A81" s="1128">
        <v>28</v>
      </c>
      <c r="B81" s="771" t="s">
        <v>2264</v>
      </c>
      <c r="C81" s="772" t="s">
        <v>2256</v>
      </c>
      <c r="D81" s="773">
        <v>0</v>
      </c>
      <c r="E81" s="774" t="s">
        <v>2265</v>
      </c>
      <c r="F81" s="773" t="s">
        <v>2266</v>
      </c>
      <c r="G81" s="782">
        <v>190</v>
      </c>
    </row>
    <row r="82" spans="1:7" ht="168" hidden="1" outlineLevel="1" x14ac:dyDescent="0.2">
      <c r="A82" s="1129"/>
      <c r="B82" s="775"/>
      <c r="C82" s="776"/>
      <c r="D82" s="777"/>
      <c r="E82" s="778" t="s">
        <v>2267</v>
      </c>
      <c r="F82" s="777"/>
      <c r="G82" s="787" t="s">
        <v>1514</v>
      </c>
    </row>
    <row r="83" spans="1:7" ht="38.25" collapsed="1" x14ac:dyDescent="0.2">
      <c r="A83" s="1128">
        <v>29</v>
      </c>
      <c r="B83" s="771" t="s">
        <v>2268</v>
      </c>
      <c r="C83" s="772" t="s">
        <v>2256</v>
      </c>
      <c r="D83" s="773">
        <v>0</v>
      </c>
      <c r="E83" s="774" t="s">
        <v>2269</v>
      </c>
      <c r="F83" s="773" t="s">
        <v>2270</v>
      </c>
      <c r="G83" s="782">
        <v>100</v>
      </c>
    </row>
    <row r="84" spans="1:7" ht="108" hidden="1" outlineLevel="1" x14ac:dyDescent="0.2">
      <c r="A84" s="1129"/>
      <c r="B84" s="775"/>
      <c r="C84" s="776"/>
      <c r="D84" s="777"/>
      <c r="E84" s="778" t="s">
        <v>2271</v>
      </c>
      <c r="F84" s="777"/>
      <c r="G84" s="787" t="s">
        <v>1514</v>
      </c>
    </row>
    <row r="85" spans="1:7" ht="38.25" collapsed="1" x14ac:dyDescent="0.2">
      <c r="A85" s="1128">
        <v>31</v>
      </c>
      <c r="B85" s="771" t="s">
        <v>2272</v>
      </c>
      <c r="C85" s="772" t="s">
        <v>1465</v>
      </c>
      <c r="D85" s="773">
        <v>1</v>
      </c>
      <c r="E85" s="774" t="s">
        <v>2273</v>
      </c>
      <c r="F85" s="773" t="s">
        <v>2274</v>
      </c>
      <c r="G85" s="782">
        <v>700</v>
      </c>
    </row>
    <row r="86" spans="1:7" ht="84" hidden="1" outlineLevel="1" x14ac:dyDescent="0.2">
      <c r="A86" s="1129"/>
      <c r="B86" s="775"/>
      <c r="C86" s="776"/>
      <c r="D86" s="777"/>
      <c r="E86" s="778" t="s">
        <v>2275</v>
      </c>
      <c r="F86" s="777"/>
      <c r="G86" s="787" t="s">
        <v>1514</v>
      </c>
    </row>
    <row r="87" spans="1:7" ht="51" collapsed="1" x14ac:dyDescent="0.2">
      <c r="A87" s="770">
        <v>30</v>
      </c>
      <c r="B87" s="771" t="s">
        <v>2276</v>
      </c>
      <c r="C87" s="772" t="s">
        <v>1466</v>
      </c>
      <c r="D87" s="773">
        <v>0</v>
      </c>
      <c r="E87" s="774" t="s">
        <v>2277</v>
      </c>
      <c r="F87" s="773">
        <v>25</v>
      </c>
      <c r="G87" s="782">
        <v>30</v>
      </c>
    </row>
    <row r="88" spans="1:7" ht="15" x14ac:dyDescent="0.2">
      <c r="A88" s="770" t="s">
        <v>1654</v>
      </c>
      <c r="B88" s="1130" t="s">
        <v>2278</v>
      </c>
      <c r="C88" s="1131"/>
      <c r="D88" s="1131"/>
      <c r="E88" s="1131"/>
      <c r="F88" s="1131"/>
      <c r="G88" s="781"/>
    </row>
    <row r="89" spans="1:7" ht="15" x14ac:dyDescent="0.2">
      <c r="A89" s="770" t="s">
        <v>1654</v>
      </c>
      <c r="B89" s="1132" t="s">
        <v>2279</v>
      </c>
      <c r="C89" s="1133"/>
      <c r="D89" s="1133"/>
      <c r="E89" s="1133"/>
      <c r="F89" s="1133"/>
      <c r="G89" s="782" t="s">
        <v>2280</v>
      </c>
    </row>
    <row r="90" spans="1:7" ht="15" x14ac:dyDescent="0.2">
      <c r="A90" s="770" t="s">
        <v>1654</v>
      </c>
      <c r="B90" s="1130" t="s">
        <v>2281</v>
      </c>
      <c r="C90" s="1131"/>
      <c r="D90" s="1131"/>
      <c r="E90" s="1131"/>
      <c r="F90" s="1131"/>
      <c r="G90" s="781" t="s">
        <v>2280</v>
      </c>
    </row>
    <row r="91" spans="1:7" ht="15" x14ac:dyDescent="0.2">
      <c r="A91" s="770" t="s">
        <v>1654</v>
      </c>
      <c r="B91" s="1130" t="s">
        <v>2282</v>
      </c>
      <c r="C91" s="1131"/>
      <c r="D91" s="1131"/>
      <c r="E91" s="1131"/>
      <c r="F91" s="1131"/>
      <c r="G91" s="781"/>
    </row>
    <row r="92" spans="1:7" ht="15" x14ac:dyDescent="0.2">
      <c r="A92" s="770" t="s">
        <v>1654</v>
      </c>
      <c r="B92" s="1132" t="s">
        <v>2283</v>
      </c>
      <c r="C92" s="1133"/>
      <c r="D92" s="1133"/>
      <c r="E92" s="1133"/>
      <c r="F92" s="1133"/>
      <c r="G92" s="782" t="s">
        <v>2284</v>
      </c>
    </row>
    <row r="93" spans="1:7" ht="15" x14ac:dyDescent="0.2">
      <c r="A93" s="770" t="s">
        <v>1654</v>
      </c>
      <c r="B93" s="1132" t="s">
        <v>2285</v>
      </c>
      <c r="C93" s="1133"/>
      <c r="D93" s="1133"/>
      <c r="E93" s="1133"/>
      <c r="F93" s="1133"/>
      <c r="G93" s="782" t="s">
        <v>2286</v>
      </c>
    </row>
    <row r="94" spans="1:7" ht="27.95" customHeight="1" x14ac:dyDescent="0.2">
      <c r="A94" s="770" t="s">
        <v>1654</v>
      </c>
      <c r="B94" s="1132" t="s">
        <v>2287</v>
      </c>
      <c r="C94" s="1133"/>
      <c r="D94" s="1133"/>
      <c r="E94" s="1133"/>
      <c r="F94" s="1133"/>
      <c r="G94" s="782" t="s">
        <v>2288</v>
      </c>
    </row>
    <row r="95" spans="1:7" ht="27.95" customHeight="1" x14ac:dyDescent="0.2">
      <c r="A95" s="770" t="s">
        <v>1654</v>
      </c>
      <c r="B95" s="1132" t="s">
        <v>2289</v>
      </c>
      <c r="C95" s="1133"/>
      <c r="D95" s="1133"/>
      <c r="E95" s="1133"/>
      <c r="F95" s="1133"/>
      <c r="G95" s="782" t="s">
        <v>2290</v>
      </c>
    </row>
    <row r="96" spans="1:7" ht="27.95" customHeight="1" x14ac:dyDescent="0.2">
      <c r="A96" s="770" t="s">
        <v>1654</v>
      </c>
      <c r="B96" s="1132" t="s">
        <v>2291</v>
      </c>
      <c r="C96" s="1133"/>
      <c r="D96" s="1133"/>
      <c r="E96" s="1133"/>
      <c r="F96" s="1133"/>
      <c r="G96" s="782" t="s">
        <v>2284</v>
      </c>
    </row>
    <row r="97" spans="1:7" ht="27.95" customHeight="1" x14ac:dyDescent="0.2">
      <c r="A97" s="770" t="s">
        <v>1654</v>
      </c>
      <c r="B97" s="1132" t="s">
        <v>2292</v>
      </c>
      <c r="C97" s="1133"/>
      <c r="D97" s="1133"/>
      <c r="E97" s="1133"/>
      <c r="F97" s="1133"/>
      <c r="G97" s="782" t="s">
        <v>2293</v>
      </c>
    </row>
    <row r="98" spans="1:7" ht="15" x14ac:dyDescent="0.2">
      <c r="A98" s="770" t="s">
        <v>1654</v>
      </c>
      <c r="B98" s="1132" t="s">
        <v>2294</v>
      </c>
      <c r="C98" s="1133"/>
      <c r="D98" s="1133"/>
      <c r="E98" s="1133"/>
      <c r="F98" s="1133"/>
      <c r="G98" s="782" t="s">
        <v>2295</v>
      </c>
    </row>
    <row r="99" spans="1:7" ht="27.95" customHeight="1" x14ac:dyDescent="0.2">
      <c r="A99" s="770" t="s">
        <v>1654</v>
      </c>
      <c r="B99" s="1132" t="s">
        <v>2287</v>
      </c>
      <c r="C99" s="1133"/>
      <c r="D99" s="1133"/>
      <c r="E99" s="1133"/>
      <c r="F99" s="1133"/>
      <c r="G99" s="782" t="s">
        <v>2296</v>
      </c>
    </row>
    <row r="100" spans="1:7" ht="27.95" customHeight="1" x14ac:dyDescent="0.2">
      <c r="A100" s="770" t="s">
        <v>1654</v>
      </c>
      <c r="B100" s="1132" t="s">
        <v>2289</v>
      </c>
      <c r="C100" s="1133"/>
      <c r="D100" s="1133"/>
      <c r="E100" s="1133"/>
      <c r="F100" s="1133"/>
      <c r="G100" s="782" t="s">
        <v>2297</v>
      </c>
    </row>
    <row r="101" spans="1:7" ht="27.95" customHeight="1" x14ac:dyDescent="0.2">
      <c r="A101" s="770" t="s">
        <v>1654</v>
      </c>
      <c r="B101" s="1132" t="s">
        <v>2291</v>
      </c>
      <c r="C101" s="1133"/>
      <c r="D101" s="1133"/>
      <c r="E101" s="1133"/>
      <c r="F101" s="1133"/>
      <c r="G101" s="782" t="s">
        <v>2293</v>
      </c>
    </row>
    <row r="102" spans="1:7" ht="16.5" customHeight="1" x14ac:dyDescent="0.2">
      <c r="A102" s="770" t="s">
        <v>1654</v>
      </c>
      <c r="B102" s="1132" t="s">
        <v>2298</v>
      </c>
      <c r="C102" s="1133"/>
      <c r="D102" s="1133"/>
      <c r="E102" s="1133"/>
      <c r="F102" s="1133"/>
      <c r="G102" s="782" t="s">
        <v>2280</v>
      </c>
    </row>
    <row r="103" spans="1:7" ht="15" x14ac:dyDescent="0.2">
      <c r="A103" s="770" t="s">
        <v>1654</v>
      </c>
      <c r="B103" s="1132" t="s">
        <v>2299</v>
      </c>
      <c r="C103" s="1133"/>
      <c r="D103" s="1133"/>
      <c r="E103" s="1133"/>
      <c r="F103" s="1133"/>
      <c r="G103" s="782" t="s">
        <v>2280</v>
      </c>
    </row>
    <row r="104" spans="1:7" ht="18" customHeight="1" x14ac:dyDescent="0.2">
      <c r="A104" s="770" t="s">
        <v>1654</v>
      </c>
      <c r="B104" s="1132" t="s">
        <v>2300</v>
      </c>
      <c r="C104" s="1133"/>
      <c r="D104" s="1133"/>
      <c r="E104" s="1133"/>
      <c r="F104" s="1133"/>
      <c r="G104" s="782" t="s">
        <v>2233</v>
      </c>
    </row>
    <row r="105" spans="1:7" ht="15" x14ac:dyDescent="0.2">
      <c r="A105" s="770" t="s">
        <v>1654</v>
      </c>
      <c r="B105" s="1132" t="s">
        <v>2301</v>
      </c>
      <c r="C105" s="1133"/>
      <c r="D105" s="1133"/>
      <c r="E105" s="1133"/>
      <c r="F105" s="1133"/>
      <c r="G105" s="782" t="s">
        <v>2233</v>
      </c>
    </row>
    <row r="106" spans="1:7" s="779" customFormat="1" ht="15" x14ac:dyDescent="0.2">
      <c r="A106" s="780" t="s">
        <v>1654</v>
      </c>
      <c r="B106" s="1130" t="s">
        <v>2302</v>
      </c>
      <c r="C106" s="1131"/>
      <c r="D106" s="1131"/>
      <c r="E106" s="1131"/>
      <c r="F106" s="1131"/>
      <c r="G106" s="781">
        <v>422640</v>
      </c>
    </row>
    <row r="107" spans="1:7" ht="39.75" customHeight="1" x14ac:dyDescent="0.2">
      <c r="A107" s="770"/>
      <c r="B107" s="1132" t="s">
        <v>2303</v>
      </c>
      <c r="C107" s="1133"/>
      <c r="D107" s="1133"/>
      <c r="E107" s="1133"/>
      <c r="F107" s="1133"/>
      <c r="G107" s="782">
        <f>G106*61.09</f>
        <v>25819077.600000001</v>
      </c>
    </row>
    <row r="108" spans="1:7" ht="29.25" customHeight="1" x14ac:dyDescent="0.2">
      <c r="A108" s="770"/>
      <c r="B108" s="1132" t="s">
        <v>2304</v>
      </c>
      <c r="C108" s="1133"/>
      <c r="D108" s="1133"/>
      <c r="E108" s="1133"/>
      <c r="F108" s="1133"/>
      <c r="G108" s="781">
        <f>G107/5.36</f>
        <v>4816992.0895522386</v>
      </c>
    </row>
    <row r="109" spans="1:7" ht="49.5" customHeight="1" x14ac:dyDescent="0.2">
      <c r="A109" s="770"/>
      <c r="B109" s="1132" t="s">
        <v>2305</v>
      </c>
      <c r="C109" s="1133"/>
      <c r="D109" s="1133"/>
      <c r="E109" s="1133"/>
      <c r="F109" s="1133"/>
      <c r="G109" s="782">
        <f>G108/1.266</f>
        <v>3804891.0659970287</v>
      </c>
    </row>
    <row r="110" spans="1:7" ht="15" x14ac:dyDescent="0.2">
      <c r="A110" s="770" t="s">
        <v>1654</v>
      </c>
      <c r="B110" s="1130" t="s">
        <v>2306</v>
      </c>
      <c r="C110" s="1131"/>
      <c r="D110" s="1131"/>
      <c r="E110" s="1131"/>
      <c r="F110" s="1131"/>
      <c r="G110" s="781">
        <f>G108</f>
        <v>4816992.0895522386</v>
      </c>
    </row>
    <row r="111" spans="1:7" s="779" customFormat="1" ht="15" x14ac:dyDescent="0.2">
      <c r="A111" s="780" t="s">
        <v>1654</v>
      </c>
      <c r="B111" s="1130" t="s">
        <v>2307</v>
      </c>
      <c r="C111" s="1131"/>
      <c r="D111" s="1131"/>
      <c r="E111" s="1131"/>
      <c r="F111" s="1131"/>
      <c r="G111" s="781">
        <f>G110*0.1</f>
        <v>481699.2089552239</v>
      </c>
    </row>
    <row r="112" spans="1:7" ht="15" x14ac:dyDescent="0.2">
      <c r="A112" s="770" t="s">
        <v>1654</v>
      </c>
      <c r="B112" s="1130" t="s">
        <v>2308</v>
      </c>
      <c r="C112" s="1131"/>
      <c r="D112" s="1131"/>
      <c r="E112" s="1131"/>
      <c r="F112" s="1131"/>
      <c r="G112" s="781">
        <f>SUM(G110:G111)</f>
        <v>5298691.2985074623</v>
      </c>
    </row>
    <row r="113" spans="1:7" x14ac:dyDescent="0.2">
      <c r="A113" s="766"/>
      <c r="B113" s="761"/>
      <c r="C113" s="765"/>
      <c r="D113" s="762"/>
      <c r="E113" s="767"/>
      <c r="F113" s="762"/>
      <c r="G113" s="788"/>
    </row>
    <row r="114" spans="1:7" x14ac:dyDescent="0.2">
      <c r="A114" s="753"/>
      <c r="B114" s="753"/>
      <c r="C114" s="753"/>
      <c r="D114" s="753"/>
      <c r="E114" s="753"/>
    </row>
    <row r="115" spans="1:7" x14ac:dyDescent="0.2">
      <c r="A115" s="764" t="s">
        <v>2309</v>
      </c>
      <c r="C115" s="764"/>
    </row>
    <row r="116" spans="1:7" x14ac:dyDescent="0.2">
      <c r="A116" s="764" t="s">
        <v>2310</v>
      </c>
      <c r="C116" s="764"/>
    </row>
    <row r="117" spans="1:7" x14ac:dyDescent="0.2">
      <c r="A117" s="764" t="s">
        <v>2311</v>
      </c>
      <c r="C117" s="764"/>
    </row>
  </sheetData>
  <mergeCells count="64">
    <mergeCell ref="A16:G16"/>
    <mergeCell ref="B3:F3"/>
    <mergeCell ref="B4:F4"/>
    <mergeCell ref="A6:C6"/>
    <mergeCell ref="D6:G6"/>
    <mergeCell ref="A8:C8"/>
    <mergeCell ref="D8:G8"/>
    <mergeCell ref="A10:C10"/>
    <mergeCell ref="D10:G11"/>
    <mergeCell ref="A12:C12"/>
    <mergeCell ref="D12:G13"/>
    <mergeCell ref="A14:G14"/>
    <mergeCell ref="B108:F108"/>
    <mergeCell ref="B109:F109"/>
    <mergeCell ref="B112:F112"/>
    <mergeCell ref="B106:F106"/>
    <mergeCell ref="B111:F111"/>
    <mergeCell ref="B110:F110"/>
    <mergeCell ref="B107:F107"/>
    <mergeCell ref="A79:A80"/>
    <mergeCell ref="A81:A82"/>
    <mergeCell ref="A83:A84"/>
    <mergeCell ref="A85:A86"/>
    <mergeCell ref="B93:F93"/>
    <mergeCell ref="B94:F94"/>
    <mergeCell ref="B95:F95"/>
    <mergeCell ref="B105:F105"/>
    <mergeCell ref="B96:F96"/>
    <mergeCell ref="B97:F97"/>
    <mergeCell ref="B98:F98"/>
    <mergeCell ref="B55:F55"/>
    <mergeCell ref="B56:F56"/>
    <mergeCell ref="A71:G71"/>
    <mergeCell ref="B91:F91"/>
    <mergeCell ref="B92:F92"/>
    <mergeCell ref="B88:F88"/>
    <mergeCell ref="B89:F89"/>
    <mergeCell ref="B90:F90"/>
    <mergeCell ref="A77:A78"/>
    <mergeCell ref="B104:F104"/>
    <mergeCell ref="A57:G57"/>
    <mergeCell ref="B68:F68"/>
    <mergeCell ref="B69:F69"/>
    <mergeCell ref="B70:F70"/>
    <mergeCell ref="B99:F99"/>
    <mergeCell ref="B100:F100"/>
    <mergeCell ref="B101:F101"/>
    <mergeCell ref="B102:F102"/>
    <mergeCell ref="B103:F103"/>
    <mergeCell ref="B51:F51"/>
    <mergeCell ref="B52:F52"/>
    <mergeCell ref="B53:F53"/>
    <mergeCell ref="B54:F54"/>
    <mergeCell ref="A39:A41"/>
    <mergeCell ref="A42:A44"/>
    <mergeCell ref="A45:A47"/>
    <mergeCell ref="A48:A50"/>
    <mergeCell ref="A19:G19"/>
    <mergeCell ref="A36:A38"/>
    <mergeCell ref="A20:A22"/>
    <mergeCell ref="A23:A25"/>
    <mergeCell ref="A26:A28"/>
    <mergeCell ref="A29:A31"/>
    <mergeCell ref="A32:A35"/>
  </mergeCells>
  <pageMargins left="0.51181102362204722" right="0.27559055118110237" top="0.31496062992125984" bottom="0.31496062992125984" header="0.23622047244094491" footer="0.23622047244094491"/>
  <pageSetup paperSize="9" fitToHeight="0" orientation="landscape" verticalDpi="4294967293" r:id="rId1"/>
  <headerFoot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29</vt:i4>
      </vt:variant>
      <vt:variant>
        <vt:lpstr>Именованные диапазоны</vt:lpstr>
      </vt:variant>
      <vt:variant>
        <vt:i4>27</vt:i4>
      </vt:variant>
    </vt:vector>
  </HeadingPairs>
  <TitlesOfParts>
    <vt:vector size="56" baseType="lpstr">
      <vt:lpstr>График работ</vt:lpstr>
      <vt:lpstr>Пояснительная</vt:lpstr>
      <vt:lpstr>Протокол</vt:lpstr>
      <vt:lpstr>НМЦ</vt:lpstr>
      <vt:lpstr>НМЦК</vt:lpstr>
      <vt:lpstr>Cводная смета ПИР</vt:lpstr>
      <vt:lpstr>Экспертиза ПД и ИЗ</vt:lpstr>
      <vt:lpstr>геодез</vt:lpstr>
      <vt:lpstr>геолог.</vt:lpstr>
      <vt:lpstr>геофиз.</vt:lpstr>
      <vt:lpstr>гидромет</vt:lpstr>
      <vt:lpstr>Сели Лавины</vt:lpstr>
      <vt:lpstr>эколог</vt:lpstr>
      <vt:lpstr>Ориентировочная сумма КВЛ</vt:lpstr>
      <vt:lpstr>Расчёт по НЦС </vt:lpstr>
      <vt:lpstr>Расчёт по УНЦС</vt:lpstr>
      <vt:lpstr>СВОД (объемов работ)</vt:lpstr>
      <vt:lpstr>Этап 1. (ПД)</vt:lpstr>
      <vt:lpstr>Этап 2. (ПД)</vt:lpstr>
      <vt:lpstr>Этап 3. (ПД)</vt:lpstr>
      <vt:lpstr>Этап 4 (Лот №1) (ПД)</vt:lpstr>
      <vt:lpstr>Этап 5 (Лот №2) (ПД)</vt:lpstr>
      <vt:lpstr>Подэтап 6.1  (ПД)</vt:lpstr>
      <vt:lpstr>Подэтап 6.2  (ПД)</vt:lpstr>
      <vt:lpstr>Подэтап 6.3  (ПД)</vt:lpstr>
      <vt:lpstr>Подэтап 6.4  (ПД)</vt:lpstr>
      <vt:lpstr>Подэтап 7.1 (ПД) </vt:lpstr>
      <vt:lpstr>Подэтап 7.2 (ПД)</vt:lpstr>
      <vt:lpstr>Дефляторы</vt:lpstr>
      <vt:lpstr>'Расчёт по НЦС '!Print_Titles</vt:lpstr>
      <vt:lpstr>геодез!Заголовки_для_печати</vt:lpstr>
      <vt:lpstr>геолог.!Заголовки_для_печати</vt:lpstr>
      <vt:lpstr>геофиз.!Заголовки_для_печати</vt:lpstr>
      <vt:lpstr>гидромет!Заголовки_для_печати</vt:lpstr>
      <vt:lpstr>Дефляторы!Заголовки_для_печати</vt:lpstr>
      <vt:lpstr>'Расчёт по НЦС '!Заголовки_для_печати</vt:lpstr>
      <vt:lpstr>эколог!Заголовки_для_печати</vt:lpstr>
      <vt:lpstr>'Cводная смета ПИР'!Область_печати</vt:lpstr>
      <vt:lpstr>Дефляторы!Область_печати</vt:lpstr>
      <vt:lpstr>НМЦ!Область_печати</vt:lpstr>
      <vt:lpstr>НМЦК!Область_печати</vt:lpstr>
      <vt:lpstr>'Подэтап 6.1  (ПД)'!Область_печати</vt:lpstr>
      <vt:lpstr>'Подэтап 6.2  (ПД)'!Область_печати</vt:lpstr>
      <vt:lpstr>'Подэтап 6.3  (ПД)'!Область_печати</vt:lpstr>
      <vt:lpstr>'Подэтап 6.4  (ПД)'!Область_печати</vt:lpstr>
      <vt:lpstr>'Подэтап 7.1 (ПД) '!Область_печати</vt:lpstr>
      <vt:lpstr>'Подэтап 7.2 (ПД)'!Область_печати</vt:lpstr>
      <vt:lpstr>Пояснительная!Область_печати</vt:lpstr>
      <vt:lpstr>Протокол!Область_печати</vt:lpstr>
      <vt:lpstr>'Расчёт по УНЦС'!Область_печати</vt:lpstr>
      <vt:lpstr>'Экспертиза ПД и ИЗ'!Область_печати</vt:lpstr>
      <vt:lpstr>'Этап 1. (ПД)'!Область_печати</vt:lpstr>
      <vt:lpstr>'Этап 2. (ПД)'!Область_печати</vt:lpstr>
      <vt:lpstr>'Этап 3. (ПД)'!Область_печати</vt:lpstr>
      <vt:lpstr>'Этап 4 (Лот №1) (ПД)'!Область_печати</vt:lpstr>
      <vt:lpstr>'Этап 5 (Лот №2) (ПД)'!Область_печати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Джанумова Татьяна Григорьевна</dc:creator>
  <cp:lastModifiedBy>Джанумова Татьяна Григорьевна</cp:lastModifiedBy>
  <cp:lastPrinted>2023-04-07T13:18:55Z</cp:lastPrinted>
  <dcterms:created xsi:type="dcterms:W3CDTF">2023-03-21T15:49:14Z</dcterms:created>
  <dcterms:modified xsi:type="dcterms:W3CDTF">2023-04-07T13:19:01Z</dcterms:modified>
</cp:coreProperties>
</file>