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6"/>
  </bookViews>
  <sheets>
    <sheet name="График" sheetId="9" r:id="rId1"/>
    <sheet name="ПЗ" sheetId="8" r:id="rId2"/>
    <sheet name="Протокол" sheetId="7" r:id="rId3"/>
    <sheet name="НМЦ" sheetId="6" r:id="rId4"/>
    <sheet name="Проект сметы контракта" sheetId="5" r:id="rId5"/>
    <sheet name="ВОР" sheetId="4" r:id="rId6"/>
    <sheet name="НМЦК" sheetId="3" r:id="rId7"/>
    <sheet name="ССРСС 3 кв. 2019" sheetId="1" r:id="rId8"/>
  </sheets>
  <externalReferences>
    <externalReference r:id="rId9"/>
  </externalReferences>
  <definedNames>
    <definedName name="_xlnm.Print_Area" localSheetId="0">График!$A$1:$T$16</definedName>
    <definedName name="_xlnm.Print_Area" localSheetId="6">НМЦК!$A$1:$P$95</definedName>
  </definedNames>
  <calcPr calcId="162913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0" i="3" l="1"/>
  <c r="F82" i="3"/>
  <c r="F83" i="3" s="1"/>
  <c r="C7" i="6"/>
  <c r="C6" i="6"/>
  <c r="F75" i="3"/>
  <c r="F74" i="3"/>
  <c r="D74" i="3"/>
  <c r="F72" i="3"/>
  <c r="F88" i="3"/>
  <c r="D88" i="3"/>
  <c r="F86" i="3"/>
  <c r="D86" i="3"/>
  <c r="A7" i="7"/>
  <c r="C75" i="3" l="1"/>
  <c r="F90" i="3"/>
  <c r="C89" i="3"/>
  <c r="F84" i="3"/>
  <c r="F89" i="3"/>
  <c r="F91" i="3" s="1"/>
  <c r="C90" i="3"/>
  <c r="C91" i="3" l="1"/>
  <c r="K56" i="3" l="1"/>
  <c r="K57" i="3" s="1"/>
  <c r="H23" i="5" l="1"/>
  <c r="H22" i="5"/>
  <c r="H24" i="5" s="1"/>
  <c r="G23" i="5"/>
  <c r="G24" i="5" s="1"/>
  <c r="G22" i="5"/>
  <c r="O57" i="3"/>
  <c r="N57" i="3"/>
  <c r="M57" i="3"/>
  <c r="L57" i="3"/>
  <c r="J57" i="3"/>
  <c r="I57" i="3"/>
  <c r="H57" i="3"/>
  <c r="G57" i="3"/>
  <c r="F57" i="3"/>
  <c r="E57" i="3"/>
  <c r="D57" i="3"/>
  <c r="P57" i="3" s="1"/>
  <c r="O53" i="3"/>
  <c r="N53" i="3"/>
  <c r="M53" i="3"/>
  <c r="L53" i="3"/>
  <c r="K53" i="3"/>
  <c r="J53" i="3"/>
  <c r="I53" i="3"/>
  <c r="H53" i="3"/>
  <c r="G53" i="3"/>
  <c r="F53" i="3"/>
  <c r="E53" i="3"/>
  <c r="D53" i="3"/>
  <c r="O49" i="3"/>
  <c r="N49" i="3"/>
  <c r="M49" i="3"/>
  <c r="L49" i="3"/>
  <c r="K49" i="3"/>
  <c r="J49" i="3"/>
  <c r="I49" i="3"/>
  <c r="H49" i="3"/>
  <c r="G49" i="3"/>
  <c r="F49" i="3"/>
  <c r="E49" i="3"/>
  <c r="D49" i="3"/>
  <c r="P49" i="3" s="1"/>
  <c r="O45" i="3"/>
  <c r="N45" i="3"/>
  <c r="M45" i="3"/>
  <c r="L45" i="3"/>
  <c r="K45" i="3"/>
  <c r="J45" i="3"/>
  <c r="I45" i="3"/>
  <c r="H45" i="3"/>
  <c r="G45" i="3"/>
  <c r="F45" i="3"/>
  <c r="E45" i="3"/>
  <c r="D45" i="3"/>
  <c r="P53" i="3" l="1"/>
  <c r="P45" i="3"/>
  <c r="H24" i="3" l="1"/>
  <c r="I24" i="3" s="1"/>
  <c r="G24" i="3"/>
  <c r="H23" i="3"/>
  <c r="I23" i="3" s="1"/>
  <c r="G23" i="3"/>
  <c r="H22" i="3" l="1"/>
  <c r="I22" i="3" s="1"/>
  <c r="G22" i="3"/>
  <c r="H21" i="3"/>
  <c r="I21" i="3" s="1"/>
  <c r="G21" i="3"/>
  <c r="D20" i="3" l="1"/>
  <c r="G20" i="3" s="1"/>
  <c r="D19" i="3"/>
  <c r="G19" i="3" s="1"/>
  <c r="F18" i="3"/>
  <c r="H18" i="3" s="1"/>
  <c r="I18" i="3" s="1"/>
  <c r="H19" i="3" l="1"/>
  <c r="I19" i="3" s="1"/>
  <c r="H20" i="3"/>
  <c r="I20" i="3" s="1"/>
  <c r="G18" i="3"/>
  <c r="F17" i="3"/>
  <c r="G17" i="3" l="1"/>
  <c r="H17" i="3"/>
  <c r="I17" i="3" s="1"/>
  <c r="D16" i="3"/>
  <c r="H16" i="3" s="1"/>
  <c r="I16" i="3" s="1"/>
  <c r="I14" i="3"/>
  <c r="I25" i="3" l="1"/>
  <c r="I15" i="3" s="1"/>
  <c r="G16" i="3"/>
  <c r="F83" i="1"/>
  <c r="F84" i="1" s="1"/>
  <c r="F85" i="1" s="1"/>
  <c r="E83" i="1"/>
  <c r="E84" i="1" s="1"/>
  <c r="G81" i="1"/>
  <c r="H81" i="1" s="1"/>
  <c r="G79" i="1"/>
  <c r="H79" i="1" s="1"/>
  <c r="G77" i="1"/>
  <c r="H77" i="1" s="1"/>
  <c r="G68" i="1"/>
  <c r="H68" i="1" s="1"/>
  <c r="H67" i="1"/>
  <c r="G67" i="1"/>
  <c r="G82" i="1" s="1"/>
  <c r="H82" i="1" s="1"/>
  <c r="H66" i="1"/>
  <c r="G65" i="1"/>
  <c r="G80" i="1" s="1"/>
  <c r="H80" i="1" s="1"/>
  <c r="G64" i="1"/>
  <c r="H64" i="1" s="1"/>
  <c r="G63" i="1"/>
  <c r="G69" i="1" s="1"/>
  <c r="H69" i="1" s="1"/>
  <c r="G56" i="1"/>
  <c r="H56" i="1" s="1"/>
  <c r="F56" i="1"/>
  <c r="E56" i="1"/>
  <c r="D56" i="1"/>
  <c r="H55" i="1"/>
  <c r="H54" i="1"/>
  <c r="H53" i="1"/>
  <c r="H52" i="1"/>
  <c r="G45" i="1"/>
  <c r="G50" i="1" s="1"/>
  <c r="F45" i="1"/>
  <c r="F50" i="1" s="1"/>
  <c r="F57" i="1" s="1"/>
  <c r="F61" i="1" s="1"/>
  <c r="F70" i="1" s="1"/>
  <c r="H44" i="1"/>
  <c r="G44" i="1"/>
  <c r="F44" i="1"/>
  <c r="E44" i="1"/>
  <c r="D44" i="1"/>
  <c r="H42" i="1"/>
  <c r="G42" i="1"/>
  <c r="F42" i="1"/>
  <c r="E42" i="1"/>
  <c r="D42" i="1"/>
  <c r="H41" i="1"/>
  <c r="H39" i="1"/>
  <c r="H37" i="1"/>
  <c r="H35" i="1"/>
  <c r="H33" i="1"/>
  <c r="G31" i="1"/>
  <c r="F31" i="1"/>
  <c r="E31" i="1"/>
  <c r="E45" i="1" s="1"/>
  <c r="E47" i="1" s="1"/>
  <c r="D31" i="1"/>
  <c r="D45" i="1" s="1"/>
  <c r="H30" i="1"/>
  <c r="H29" i="1"/>
  <c r="H28" i="1"/>
  <c r="H27" i="1"/>
  <c r="F71" i="1" l="1"/>
  <c r="F72" i="1" s="1"/>
  <c r="E49" i="1"/>
  <c r="E50" i="1" s="1"/>
  <c r="E57" i="1" s="1"/>
  <c r="E61" i="1" s="1"/>
  <c r="E70" i="1" s="1"/>
  <c r="E48" i="1"/>
  <c r="D47" i="1"/>
  <c r="H45" i="1"/>
  <c r="G57" i="1"/>
  <c r="H65" i="1"/>
  <c r="H31" i="1"/>
  <c r="E85" i="1"/>
  <c r="H63" i="1"/>
  <c r="G78" i="1"/>
  <c r="H78" i="1" s="1"/>
  <c r="E71" i="1" l="1"/>
  <c r="E72" i="1"/>
  <c r="D49" i="1"/>
  <c r="D48" i="1"/>
  <c r="H47" i="1"/>
  <c r="H48" i="1" s="1"/>
  <c r="H86" i="1" s="1"/>
  <c r="H49" i="1" l="1"/>
  <c r="D50" i="1"/>
  <c r="H50" i="1" l="1"/>
  <c r="D57" i="1"/>
  <c r="D61" i="1" l="1"/>
  <c r="H57" i="1"/>
  <c r="G59" i="1" s="1"/>
  <c r="G60" i="1" l="1"/>
  <c r="G76" i="1"/>
  <c r="H59" i="1"/>
  <c r="D70" i="1"/>
  <c r="G83" i="1" l="1"/>
  <c r="H76" i="1"/>
  <c r="D71" i="1"/>
  <c r="D72" i="1"/>
  <c r="H60" i="1"/>
  <c r="G61" i="1"/>
  <c r="G70" i="1" l="1"/>
  <c r="H61" i="1"/>
  <c r="D75" i="1"/>
  <c r="G84" i="1"/>
  <c r="G85" i="1" s="1"/>
  <c r="H75" i="1" l="1"/>
  <c r="D83" i="1"/>
  <c r="G71" i="1"/>
  <c r="H71" i="1" s="1"/>
  <c r="H70" i="1"/>
  <c r="G72" i="1" l="1"/>
  <c r="H72" i="1" s="1"/>
  <c r="D84" i="1"/>
  <c r="H84" i="1" s="1"/>
  <c r="H83" i="1"/>
  <c r="D85" i="1" l="1"/>
  <c r="H85" i="1" s="1"/>
  <c r="C5" i="6" l="1"/>
  <c r="I12" i="3"/>
  <c r="I26" i="3" l="1"/>
  <c r="D41" i="3" l="1"/>
  <c r="O41" i="3" l="1"/>
  <c r="N41" i="3"/>
  <c r="M41" i="3"/>
  <c r="P41" i="3" s="1"/>
  <c r="L41" i="3"/>
  <c r="K41" i="3"/>
  <c r="J41" i="3"/>
  <c r="I41" i="3"/>
  <c r="H41" i="3"/>
  <c r="G41" i="3"/>
  <c r="F41" i="3"/>
  <c r="E41" i="3"/>
  <c r="F61" i="3" l="1"/>
  <c r="A62" i="3"/>
  <c r="J18" i="3"/>
  <c r="K18" i="3" s="1"/>
  <c r="K23" i="3"/>
  <c r="J20" i="3"/>
  <c r="K20" i="3" s="1"/>
  <c r="I27" i="3"/>
  <c r="J21" i="3" l="1"/>
  <c r="K21" i="3" s="1"/>
  <c r="J25" i="3"/>
  <c r="K25" i="3" s="1"/>
  <c r="J22" i="3"/>
  <c r="K22" i="3" s="1"/>
  <c r="J24" i="3"/>
  <c r="K24" i="3" s="1"/>
  <c r="J16" i="3"/>
  <c r="K16" i="3" s="1"/>
  <c r="J17" i="3"/>
  <c r="K17" i="3" s="1"/>
  <c r="J19" i="3"/>
  <c r="K19" i="3" s="1"/>
  <c r="J14" i="3"/>
  <c r="K14" i="3" s="1"/>
  <c r="J13" i="3"/>
  <c r="K13" i="3" s="1"/>
  <c r="M30" i="3"/>
  <c r="L14" i="3"/>
  <c r="L13" i="3"/>
  <c r="I28" i="3"/>
  <c r="K15" i="3" l="1"/>
  <c r="L19" i="3"/>
  <c r="M19" i="3" s="1"/>
  <c r="E15" i="5" s="1"/>
  <c r="F15" i="5" s="1"/>
  <c r="L22" i="3"/>
  <c r="M22" i="3" s="1"/>
  <c r="E18" i="5" s="1"/>
  <c r="F18" i="5" s="1"/>
  <c r="L18" i="3"/>
  <c r="M18" i="3" s="1"/>
  <c r="E14" i="5" s="1"/>
  <c r="F14" i="5" s="1"/>
  <c r="L25" i="3"/>
  <c r="M25" i="3" s="1"/>
  <c r="E21" i="5" s="1"/>
  <c r="F21" i="5" s="1"/>
  <c r="C18" i="6" s="1"/>
  <c r="L21" i="3"/>
  <c r="M21" i="3" s="1"/>
  <c r="E17" i="5" s="1"/>
  <c r="F17" i="5" s="1"/>
  <c r="L17" i="3"/>
  <c r="M17" i="3" s="1"/>
  <c r="E13" i="5" s="1"/>
  <c r="F13" i="5" s="1"/>
  <c r="L24" i="3"/>
  <c r="M24" i="3" s="1"/>
  <c r="E20" i="5" s="1"/>
  <c r="F20" i="5" s="1"/>
  <c r="L20" i="3"/>
  <c r="E16" i="5" s="1"/>
  <c r="F16" i="5" s="1"/>
  <c r="M23" i="3"/>
  <c r="E19" i="5" s="1"/>
  <c r="M14" i="3"/>
  <c r="E10" i="5" s="1"/>
  <c r="F10" i="5" s="1"/>
  <c r="C14" i="6" s="1"/>
  <c r="K12" i="3"/>
  <c r="L16" i="3"/>
  <c r="M16" i="3" s="1"/>
  <c r="E12" i="5" s="1"/>
  <c r="F12" i="5" s="1"/>
  <c r="M31" i="3"/>
  <c r="M13" i="3"/>
  <c r="E9" i="5" s="1"/>
  <c r="F9" i="5" s="1"/>
  <c r="K26" i="3" l="1"/>
  <c r="K27" i="3" s="1"/>
  <c r="K28" i="3" s="1"/>
  <c r="E11" i="5"/>
  <c r="F19" i="5"/>
  <c r="F11" i="5" s="1"/>
  <c r="M15" i="3"/>
  <c r="C19" i="6" s="1"/>
  <c r="E8" i="5"/>
  <c r="F8" i="5"/>
  <c r="D14" i="6"/>
  <c r="E14" i="6" s="1"/>
  <c r="M12" i="3"/>
  <c r="C15" i="6" s="1"/>
  <c r="C12" i="6" l="1"/>
  <c r="D12" i="6" s="1"/>
  <c r="F22" i="5"/>
  <c r="F23" i="5" s="1"/>
  <c r="F24" i="5" s="1"/>
  <c r="D19" i="6" l="1"/>
  <c r="E19" i="6" s="1"/>
  <c r="E22" i="5"/>
  <c r="E23" i="5" s="1"/>
  <c r="D15" i="6"/>
  <c r="E15" i="6" s="1"/>
  <c r="E12" i="6"/>
  <c r="C16" i="6" l="1"/>
  <c r="C20" i="6" s="1"/>
  <c r="M26" i="3"/>
  <c r="M27" i="3" s="1"/>
  <c r="M28" i="3" s="1"/>
  <c r="C23" i="6"/>
  <c r="D23" i="6" s="1"/>
  <c r="E23" i="6" s="1"/>
  <c r="E24" i="5"/>
  <c r="D18" i="6"/>
  <c r="E18" i="6" s="1"/>
  <c r="C22" i="6"/>
  <c r="D22" i="6" s="1"/>
  <c r="E22" i="6" s="1"/>
  <c r="D16" i="6" l="1"/>
  <c r="E16" i="6" s="1"/>
  <c r="E20" i="6" s="1"/>
  <c r="D20" i="6" l="1"/>
  <c r="B17" i="8"/>
  <c r="G6" i="7"/>
</calcChain>
</file>

<file path=xl/sharedStrings.xml><?xml version="1.0" encoding="utf-8"?>
<sst xmlns="http://schemas.openxmlformats.org/spreadsheetml/2006/main" count="603" uniqueCount="283">
  <si>
    <t>(наименование организации)</t>
  </si>
  <si>
    <t>(ссылка на документ об утверждении)</t>
  </si>
  <si>
    <t>(наименование стройки)</t>
  </si>
  <si>
    <t>№ п/п</t>
  </si>
  <si>
    <t>Обоснование</t>
  </si>
  <si>
    <t>монтажных работ</t>
  </si>
  <si>
    <t>Глава 1. Подготовка территории строительства</t>
  </si>
  <si>
    <t>Глава 2. Основные объекты строительства</t>
  </si>
  <si>
    <t>Глава 8. Временные здания и сооружения</t>
  </si>
  <si>
    <t>Глава 12. Публичный технологический и ценовой аудит, подготовка обоснования инвестиций, осуществляемых в инвестиционный проект по созданию объекта капитального строительства, в отношении которого планируется заключение контракта, предметом которого является одновременно выполнение работ по проектированию, строительству и вводу в эксплуатацию объекта капитального строительства, технологический и ценовой аудит такого обоснования инвестиций, аудит проектной документации, проектные и изыскательские работы</t>
  </si>
  <si>
    <t>Непредвиденные затраты</t>
  </si>
  <si>
    <t>Основания для расчета:</t>
  </si>
  <si>
    <t>№ пп</t>
  </si>
  <si>
    <t>Наименование работ и затрат</t>
  </si>
  <si>
    <t>СМР</t>
  </si>
  <si>
    <t>Оборудование</t>
  </si>
  <si>
    <t>Прочие</t>
  </si>
  <si>
    <t>Всего</t>
  </si>
  <si>
    <t xml:space="preserve">Индекс фактической инфляции* </t>
  </si>
  <si>
    <t xml:space="preserve">Стоимость работ в ценах на дату формирования начальной (максимальной) цены контракта </t>
  </si>
  <si>
    <t>Индекс прогнозной инфляции на период выполнения работ</t>
  </si>
  <si>
    <t>Начальная (максимальная) цена контракта с учетом индекса прогнозной инфляции на период выполнения работ</t>
  </si>
  <si>
    <t>1.1</t>
  </si>
  <si>
    <t>Разработка рабочей документации</t>
  </si>
  <si>
    <t>1.2</t>
  </si>
  <si>
    <t>Строительство</t>
  </si>
  <si>
    <t>НДС-20%</t>
  </si>
  <si>
    <t>2</t>
  </si>
  <si>
    <t>2.1</t>
  </si>
  <si>
    <t>2.2</t>
  </si>
  <si>
    <t>РАСЧЕТ ИНДЕКСОВ ФАКТИЧЕСКОЙ ИНФЛЯЦИИ</t>
  </si>
  <si>
    <t>на конец периода, в % к предыдущему месяцу</t>
  </si>
  <si>
    <t>ОКВЭД2</t>
  </si>
  <si>
    <t/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</si>
  <si>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</si>
  <si>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</si>
  <si>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</si>
  <si>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</si>
  <si>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</si>
  <si>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</si>
  <si>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</si>
  <si>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</si>
  <si>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</si>
  <si>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</si>
  <si>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</si>
  <si>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</si>
  <si>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 виде коэффициента</t>
  </si>
  <si>
    <t>Дата формирования НМЦК</t>
  </si>
  <si>
    <t>*Индекс фактической инфляции по данным Росстата ("Строительство ", Российская Федерация) от цен утверждения сметной документации до даты формирования НМЦК  :</t>
  </si>
  <si>
    <t>Прогнозный индекс для РД на период выполнения работ:</t>
  </si>
  <si>
    <t>Начало работ</t>
  </si>
  <si>
    <t>Окончание работ</t>
  </si>
  <si>
    <t>Индекс Минэкономразвития РФ на 2023 г. (Письмо Минэкономразвития России от 28.09.2022 № 36804-ПК/Д03и)</t>
  </si>
  <si>
    <t>ежемесячный прогнозный индекс на 2023 год</t>
  </si>
  <si>
    <t>^(1/12)</t>
  </si>
  <si>
    <t>Индекс прогнозной инфляции</t>
  </si>
  <si>
    <t>Прогнозный индекс для Стройки на период выполнения работ:</t>
  </si>
  <si>
    <t>Заместитель руководителя управления направления сметного регулирования Управления проектов Департамента развития инфраструктуры</t>
  </si>
  <si>
    <t>Татаринова Е.А.</t>
  </si>
  <si>
    <t>Расчет начальной (максимальной) цены контракта при осуществлении закупки на выполнение подрядных работ по строительству объекта</t>
  </si>
  <si>
    <t>Рабочая документация</t>
  </si>
  <si>
    <t>1</t>
  </si>
  <si>
    <t>Итого:</t>
  </si>
  <si>
    <t>Итого с учетом НДС</t>
  </si>
  <si>
    <t xml:space="preserve">Усредненный индекс- дефлятор  РД </t>
  </si>
  <si>
    <t>Усредненный индекс- дефлятор  Стройка</t>
  </si>
  <si>
    <t xml:space="preserve">РАСЧЕТ ИНДЕКСОВ ПРОГНОЗНОЙ ИНФЛЯЦИИ </t>
  </si>
  <si>
    <t>2.4</t>
  </si>
  <si>
    <t>2.7</t>
  </si>
  <si>
    <t>2.6</t>
  </si>
  <si>
    <t>2.5</t>
  </si>
  <si>
    <t>2.3</t>
  </si>
  <si>
    <t>2.8</t>
  </si>
  <si>
    <t>2.9</t>
  </si>
  <si>
    <t>2.10</t>
  </si>
  <si>
    <t>Глава 4. Объекты энергетического хозяйства</t>
  </si>
  <si>
    <t>Глава 5. Объекты транспортного хозяйства и связи</t>
  </si>
  <si>
    <t>06-01-01</t>
  </si>
  <si>
    <t>Ведомость объемов конструктивных решений (элементов) и комплексов (видов) работ</t>
  </si>
  <si>
    <t>объект:</t>
  </si>
  <si>
    <t>Номера сметных расчетов (смет) и позиций в сметных расчетах (сметах), относящиеся к соответствующим конструктивным решениям (элементам), комплексам (видам) работ</t>
  </si>
  <si>
    <t>Наименование конструктивных решений (элементов), комплексов (видов) работ</t>
  </si>
  <si>
    <t>Единица измерения</t>
  </si>
  <si>
    <t>Количество (объем работ)</t>
  </si>
  <si>
    <t>комплекс</t>
  </si>
  <si>
    <t xml:space="preserve">Заместитель руководителя управления направления сметного регулирования Управления проектов Департамента развития инфраструктуры  </t>
  </si>
  <si>
    <t>Е.А. Татаринова</t>
  </si>
  <si>
    <t>ПРОЕКТ СМЕТЫ КОНТРАКТА</t>
  </si>
  <si>
    <t>Цена, руб.</t>
  </si>
  <si>
    <t>в том числе Оборудование</t>
  </si>
  <si>
    <t>На единицу измерения</t>
  </si>
  <si>
    <t>РАСЧЕТ НАЧАЛЬНОЙ МАКСИМАЛЬНОЙ ЦЕНЫ ДОГОВОРА</t>
  </si>
  <si>
    <t>по объекту:</t>
  </si>
  <si>
    <t xml:space="preserve">Продолжительность работ </t>
  </si>
  <si>
    <t>мес.</t>
  </si>
  <si>
    <t xml:space="preserve">Начало работ - </t>
  </si>
  <si>
    <t xml:space="preserve">Окончание работ - </t>
  </si>
  <si>
    <t>№ п.п.</t>
  </si>
  <si>
    <t>Перечень видов работ</t>
  </si>
  <si>
    <t xml:space="preserve"> Стоимость в прогнозных   ценах, руб.</t>
  </si>
  <si>
    <t>без учета НДС</t>
  </si>
  <si>
    <t>НДС-20 %</t>
  </si>
  <si>
    <t>с учетом НДС</t>
  </si>
  <si>
    <t xml:space="preserve">Разработка рабочей документации </t>
  </si>
  <si>
    <t>В том числе:</t>
  </si>
  <si>
    <t>Строительство (строительные работы, оборудование, прочие затраты)</t>
  </si>
  <si>
    <t>ВСЕГО:</t>
  </si>
  <si>
    <t>Протокол</t>
  </si>
  <si>
    <t>начальной (максимальной) цены контракта</t>
  </si>
  <si>
    <t>Объект закупки:</t>
  </si>
  <si>
    <t xml:space="preserve">Начальная (максимальная ) цена контракта составляет </t>
  </si>
  <si>
    <t>Начальная (максимальная ) цена контракта включает в себя расходы:</t>
  </si>
  <si>
    <t>- разработка рабочей документации;</t>
  </si>
  <si>
    <t>- затраты на оплату труда рабочих-строителей;</t>
  </si>
  <si>
    <t>- затраты на приобретение материалов, изделий и конструкций;</t>
  </si>
  <si>
    <t>- затраты на эксплуатацию машин и механизмов;</t>
  </si>
  <si>
    <t>- накладные расходы;</t>
  </si>
  <si>
    <t>- сметную прибыль;</t>
  </si>
  <si>
    <t>- затраты на строительство временных зданий и сооружений;</t>
  </si>
  <si>
    <t>- возврат от разборки временных зданий и сооружений в размере 15% от суммы затрат на их возведение;</t>
  </si>
  <si>
    <t>- резерв средств на непредвиденные работы и затраты;</t>
  </si>
  <si>
    <t>- индексы фактической инфляции для пересчета сметной стоимости из уровня цен утверждения проектной документации в уровень цен на дату определения НМЦК;</t>
  </si>
  <si>
    <t>- прогнозные индексы инфляции для пересчета из уровня цен на дату определения НМЦК в уровень цен соответствующего периода реализации проекта;</t>
  </si>
  <si>
    <t>- налог на добавленную стоимость в размере 20%.</t>
  </si>
  <si>
    <t>Приложение:</t>
  </si>
  <si>
    <t>Расчет начальной (максимальной) цены контракта.</t>
  </si>
  <si>
    <t>- геодезическая разбивочная основа;</t>
  </si>
  <si>
    <t>ПОЯСНИТЕЛЬНАЯ ЗАПИСКА</t>
  </si>
  <si>
    <t>К РАСЧЕТУ НАЧАЛЬНОЙ МАКСИМАЛЬНОЙ ЦЕНЫ ДОГОВОРА</t>
  </si>
  <si>
    <t>Расчет стоимости строительства выполнен проектно-сметным методом.</t>
  </si>
  <si>
    <t>Описание метода расчета стоимости проектных работ и строительства</t>
  </si>
  <si>
    <t xml:space="preserve">Индекс-дефлятор определен в соответствии с данными Минэкономразвития РФ.  </t>
  </si>
  <si>
    <t>Индекс-дефлятор на продолжительность строительства выполнен в соответствии с графиком выполнения работ.</t>
  </si>
  <si>
    <t>Налог на добавленную стоимость - 20 %</t>
  </si>
  <si>
    <t>Итоговая начальная максимальная цена  работ  составляет:</t>
  </si>
  <si>
    <t>рублей с учетом НДС</t>
  </si>
  <si>
    <t>Форма № 1</t>
  </si>
  <si>
    <t xml:space="preserve">Заказчик </t>
  </si>
  <si>
    <t>Акционерное Общество "Курорты Северного Кавказа"</t>
  </si>
  <si>
    <t>"Утвержден" «    »________________2019 г.</t>
  </si>
  <si>
    <r>
      <t xml:space="preserve">Сводный сметный расчет в сумме </t>
    </r>
    <r>
      <rPr>
        <b/>
        <sz val="10"/>
        <rFont val="Arial"/>
        <family val="2"/>
        <charset val="204"/>
      </rPr>
      <t>10603,86</t>
    </r>
    <r>
      <rPr>
        <sz val="10"/>
        <rFont val="Arial"/>
        <family val="2"/>
        <charset val="204"/>
      </rPr>
      <t>тыс. руб.</t>
    </r>
  </si>
  <si>
    <r>
      <t xml:space="preserve">В том числе возвратных сумм </t>
    </r>
    <r>
      <rPr>
        <b/>
        <sz val="10"/>
        <rFont val="Arial"/>
        <family val="2"/>
        <charset val="204"/>
      </rPr>
      <t xml:space="preserve">14,94 </t>
    </r>
    <r>
      <rPr>
        <sz val="10"/>
        <rFont val="Arial"/>
        <family val="2"/>
        <charset val="204"/>
      </rPr>
      <t>тыс. руб.</t>
    </r>
  </si>
  <si>
    <t>«    »________________20__ г.</t>
  </si>
  <si>
    <t>СВОДНЫЙ СМЕТНЫЙ РАСЧЕТ СТОИМОСТИ СТРОИТЕЛЬСТВА</t>
  </si>
  <si>
    <t>Водовод сброса очищенных стоков ВТРК  "Ведучи"</t>
  </si>
  <si>
    <t>Составлен в ценах по состоянию на 01.01.2000 г. с переходом в текущие цены по состоянию на III квартал 2019 г.</t>
  </si>
  <si>
    <t>Номера сметных расчетов и смет</t>
  </si>
  <si>
    <t>Наименование глав, объектов, работ и затрат</t>
  </si>
  <si>
    <t>Сметная стоимость, тыс. руб.</t>
  </si>
  <si>
    <t>Общая сметная стоимость, тыс. руб.</t>
  </si>
  <si>
    <t>строитель-
ных работ</t>
  </si>
  <si>
    <t>оборудования, мебели, инвентаря</t>
  </si>
  <si>
    <t>прочих</t>
  </si>
  <si>
    <t>01-01-01</t>
  </si>
  <si>
    <t>Подготовительные работы. Подготовка площадки строительства.</t>
  </si>
  <si>
    <t>01-01-02</t>
  </si>
  <si>
    <t xml:space="preserve">Создание опорной геодезической сети </t>
  </si>
  <si>
    <t>01-01-03</t>
  </si>
  <si>
    <t xml:space="preserve">Создание геодезической разбивочной основы и вынос в натуру основных осей здания. </t>
  </si>
  <si>
    <t>01-01-04</t>
  </si>
  <si>
    <t>Подготовительные работы. Рекультивация</t>
  </si>
  <si>
    <t>Итого по  главе 1</t>
  </si>
  <si>
    <t>Итого по главе 2.</t>
  </si>
  <si>
    <r>
      <t xml:space="preserve">Глава 3. Объекты подсобного и обслуживающего назначения  </t>
    </r>
    <r>
      <rPr>
        <sz val="10"/>
        <rFont val="Arial"/>
        <family val="2"/>
        <charset val="204"/>
      </rPr>
      <t xml:space="preserve">  </t>
    </r>
  </si>
  <si>
    <t>Итого по главе 3</t>
  </si>
  <si>
    <t>Итого по главе 4.</t>
  </si>
  <si>
    <t>Итого по главе 5</t>
  </si>
  <si>
    <t xml:space="preserve">Глава 6. Наружные сети и сооружения водоснабжения, канализации, теплоснабжения, газоснабжения </t>
  </si>
  <si>
    <t>Водовод сброса очищенных стоков</t>
  </si>
  <si>
    <t xml:space="preserve"> </t>
  </si>
  <si>
    <t>Итого по  главе 6</t>
  </si>
  <si>
    <t>Глава 7. Благоустройство озеленение</t>
  </si>
  <si>
    <t>Итого по главе 7.</t>
  </si>
  <si>
    <t>Итого по главам 1-7.</t>
  </si>
  <si>
    <t>ГСН-81-05-01-2001 п.4.5</t>
  </si>
  <si>
    <t>Временные здания и сооружения - 1,5%</t>
  </si>
  <si>
    <t>справочно</t>
  </si>
  <si>
    <t xml:space="preserve">Возврат от разборки временных зданий и сооружений (15% от ВЗиС)       </t>
  </si>
  <si>
    <t>Итого по главе 8.</t>
  </si>
  <si>
    <t>Итого по главам 1-8</t>
  </si>
  <si>
    <t xml:space="preserve">Глава 9 Прочие работы и затраты </t>
  </si>
  <si>
    <t>Расчет №2</t>
  </si>
  <si>
    <t>Расчет платежа за загрязнение атмосферного воздуха (0,251/10,64)</t>
  </si>
  <si>
    <t>Расчет №3</t>
  </si>
  <si>
    <t>Платежи за размещение или утилизацию отходов при СМР (1,48/10,64)</t>
  </si>
  <si>
    <t>Расчет №1</t>
  </si>
  <si>
    <t>Расчет затрат, связанных с командированием строительных рабочих и ИТР с  проживанием (663/10,64)</t>
  </si>
  <si>
    <t>Расчет затрат на перевозку работников автомобильным транспортом до места работы и обратно (9,88/10,64)</t>
  </si>
  <si>
    <t>Итого по главе 9.</t>
  </si>
  <si>
    <t>Итого по главам 1-9.</t>
  </si>
  <si>
    <t>Глава 10. Затраты на содержание заказчика. Строительный контроль.</t>
  </si>
  <si>
    <t>Письмо АО "КСК" №60-20-0348 от 11.02.2020г</t>
  </si>
  <si>
    <t>Строительный контроль - 2,14%</t>
  </si>
  <si>
    <t>Итого по главе 10.</t>
  </si>
  <si>
    <t>Итого по главам 1-10</t>
  </si>
  <si>
    <t>Сводная смета №1</t>
  </si>
  <si>
    <t>Проектная документация</t>
  </si>
  <si>
    <t>Инженерные изыскания</t>
  </si>
  <si>
    <t>Постановление Правительства РФ от 18.04.2009 №427</t>
  </si>
  <si>
    <t>Провекра достоверности сметной стоимости: 20000/6,16/1,2=2705,63</t>
  </si>
  <si>
    <t>Приложение к Договору №123-ГЭ-19-П от 09.07.2019г.</t>
  </si>
  <si>
    <t xml:space="preserve">Затраты на проведение экспертизы проектной документации и результатов инженерных изысканий </t>
  </si>
  <si>
    <t>Проверка достоверности сметной стоимости</t>
  </si>
  <si>
    <t>Итого по главе 12.</t>
  </si>
  <si>
    <t>Итого по главам 1-12.</t>
  </si>
  <si>
    <t>МДС 81-35.2004</t>
  </si>
  <si>
    <t xml:space="preserve">Резерв средств на непредвид. работы и затраты  2%                   </t>
  </si>
  <si>
    <t>Итого в  базисных ценах  2001 года</t>
  </si>
  <si>
    <t>Переход в текущие цены по состоянию на II квартал 2019 г.</t>
  </si>
  <si>
    <t>Итого по графам 4, 5</t>
  </si>
  <si>
    <t>Строительно-монтажные работы, К=9,09 (Письмо Минстроя РФ от 04.10.2019 г. №37341-ДВ/09 (Чеченская Республика, внешние инженерные сети)</t>
  </si>
  <si>
    <t>Итого по графе 7 за исключением п.2, 3,14-18</t>
  </si>
  <si>
    <t>Прочие работы и затраты, К=10,64  (Письмо Минстроя РФ от 09.10.2019 г. №38021-ЮГ/09  (п. 30, Объекты непроизводственного назначения)) х 1,02 (непредвиденные затраты)</t>
  </si>
  <si>
    <t>Итого по графе 7 (п.2, 3)</t>
  </si>
  <si>
    <t>Создание геодезической разбивочной основы
к=1,266 (в ценах 2001 г. согласно письмам Госстроя России №AIII-9/10 от 04.01.2001 г. и №AIII-3412/10 от 07.10.1999 г.) х к=4,29 (Письмо Минстроя РФ от 04.10.2019 г. №37341-ДВ/09 прил. 2, п. 1) х 1,02 (непредвиденные затраты)</t>
  </si>
  <si>
    <t>Проектная документация
к=1,19 (в ценах 2001 г. согласно письмам Госстроя России №AIII-9/10 от 04.01.2001 г. и №AIII-3412/10 от 07.10.1999 г.) х к=4,21 Письмо Минстроя РФ от 04.10.2019 г. №37341-ДВ/09 прил. 2, п. 1) х 1,02 (непредвиденные затраты)</t>
  </si>
  <si>
    <t>Рабочая документация
к=1,19 (в ценах 2001 г. согласно письмам Госстроя России №AIII-9/10 от 04.01.2001 г. и №AIII-3412/10 от 07.10.1999 г.) х к=4,21 Письмо Минстроя РФ от 04.10.2019 г. №37341-ДВ/09 прил. 2, п. 1) х 1,02 (непредвиденные затраты)</t>
  </si>
  <si>
    <t>Инженерные изыскания
к=1,266 (в ценах 2001 г. согласно письмам Госстроя России №AIII-9/10 от 04.01.2001 г. и №AIII-3412/10 от 07.10.1999 г.) х к=4,29 (Письмо Минстроя РФ от 04.10.2019 г. №37341-ДВ/09 прил. 2, п. 1) х 1,02 (непредвиденные затраты)</t>
  </si>
  <si>
    <t>Провекра достоверности сметной стоимости</t>
  </si>
  <si>
    <t xml:space="preserve">Затраты на проведение экспертизы проектной документации и результатов инженерных изысканий     </t>
  </si>
  <si>
    <t>Итого "Переход в текущие цены по состоянию на III квартал 2019 г."</t>
  </si>
  <si>
    <t>Часть вторая Налогового кодекса Российской Федерации подпунктом «в» пункта 3 статьи 1 Федерального закона от 03.08.2018 № 303-ФЗ, в части изменения налоговой ставки.</t>
  </si>
  <si>
    <t>НДС 20% (без учета Экспертизы)</t>
  </si>
  <si>
    <t>Всего в текущем уровне цен III квартала 2019г. с учетом НДС</t>
  </si>
  <si>
    <t xml:space="preserve"> возвратных сумм</t>
  </si>
  <si>
    <t>Директор ООО "Магистраль"</t>
  </si>
  <si>
    <t>М.И.Балаева</t>
  </si>
  <si>
    <t>(подпись, расшифровка)</t>
  </si>
  <si>
    <t>Главный инженер проекта ООО "Магистраль"</t>
  </si>
  <si>
    <t>Р.А. Шавхалов</t>
  </si>
  <si>
    <t>Руководитель сметного отдела ООО "Магистраль"</t>
  </si>
  <si>
    <t>Б.М. Патиев</t>
  </si>
  <si>
    <t>Генеральный директор ООО "Гранд"</t>
  </si>
  <si>
    <t>Ю.В. Харин</t>
  </si>
  <si>
    <t>Генеральный директор АО "КСК"</t>
  </si>
  <si>
    <t>Х. Х. Тимижев</t>
  </si>
  <si>
    <t>«Водовод сброса очищенных стоков ВТРК «Ведучи»</t>
  </si>
  <si>
    <t>расположенному по адресу: Чеченская Республика, Итум-Калинский муниципальный район, с. Ведучи</t>
  </si>
  <si>
    <t>2. Заключение государственного автономного учреждения "Управление государственной экспертизы Чеченской Республики" от 13.02.2020 № 20-1-0021-20</t>
  </si>
  <si>
    <t>3. Утвержденный сводный сметный расчет стоимости строительства  в ценах 3 квартала 2019 г. на сумму  10 603,86 тыс. руб., в том числе:</t>
  </si>
  <si>
    <t>Непредвиденные затраты по разработке рабочей документации - 2%</t>
  </si>
  <si>
    <r>
      <t xml:space="preserve">Стоимость работ в ценах утверждения сметной документации- </t>
    </r>
    <r>
      <rPr>
        <b/>
        <sz val="12"/>
        <color rgb="FFFF0000"/>
        <rFont val="Times New Roman"/>
        <family val="1"/>
        <charset val="204"/>
      </rPr>
      <t>3 квартала 2019 г.</t>
    </r>
  </si>
  <si>
    <t>Всего с учетом ВЗИС-1,5% и возврата ВЗИС 15%</t>
  </si>
  <si>
    <t xml:space="preserve">Плата за загрязнение атмосферного воздуха </t>
  </si>
  <si>
    <t xml:space="preserve">Плата за размещение или утилизацию отходов при СМР </t>
  </si>
  <si>
    <t xml:space="preserve">Затраты на перевозку работников автомобильным транспортом до места работы и обратно </t>
  </si>
  <si>
    <t>Затраты, связанные с командированием строительных рабочих и ИТР (суточные и проживание)</t>
  </si>
  <si>
    <t>Непредвиденные затраты для строительства - 2%</t>
  </si>
  <si>
    <t>Период от даты определения НМЦК до даты окончания работ, мес.</t>
  </si>
  <si>
    <t xml:space="preserve">Сводный индекс цен на продукцию (затраты, услуги) инвестиционного назначения 
по Российской Федерации </t>
  </si>
  <si>
    <t>Общий индекс за год</t>
  </si>
  <si>
    <t xml:space="preserve">Инфляционная составляющая </t>
  </si>
  <si>
    <t>- создание опорной геодезической сети;</t>
  </si>
  <si>
    <t>-плата за загрязнение атмосферного воздуха ;</t>
  </si>
  <si>
    <t>- плата за размещение или утилизацию отходов при СМР ;</t>
  </si>
  <si>
    <t>- затраты, связанные с командированием строительных рабочих и ИТР (суточные и проживание);</t>
  </si>
  <si>
    <t>- затраты на перевозку работников автомобильным транспортом до места работы и обратно ;</t>
  </si>
  <si>
    <t>Начальная максимальная цена договора (далее - НМЦД) определена в соответствии требованием Положения о закупке товаров, работ, услуг акционерного общества "КАВКАЗ.РФ", утвержденного Приказом акционерного общества "КАВКАЗ.РФ" от 16.09.2022  № Пр-22-244.</t>
  </si>
  <si>
    <t>Цена работ учитывает все затраты Подрядчика, включая стоимость проектных работ стадии "Рабочая документация", стоимость приобретения материалов поставки Подрядчика, стоимость строительно-монтажных и прочих затрат согласно перечню затрат, учтенному сводным сметным расчетом стоимости строительства, накладных расходов, сметной прибыли.</t>
  </si>
  <si>
    <t>Для расчета цены строительства  использован сводный сметный расчет в ценах 3 квартала 2019 г., локальные сметные расчеты в ценах 3 квартала 2019 г., получившие положительное заключение государственного автономного учреждения "Управление государственной экспертизы Чеченской Республики" от 13.02.2020 № 20-1-0021-20.</t>
  </si>
  <si>
    <t>В расчете учтены временные здания и сооружения в размере 1,5%, непредвиденные затраты в размере 2 % согласно сводному сметному расчету и возврат от разборки временных зданий и сооружений в размере 15%.</t>
  </si>
  <si>
    <t>1. Приказ об утверждении проектной документации, включая сводный сметный расчет стоимости строительства от 15.08.2023 № Пр23-200</t>
  </si>
  <si>
    <t>График производства работ по объекту:</t>
  </si>
  <si>
    <t>Водовод сброса очищенных стоков ВТРК "Ведучи"</t>
  </si>
  <si>
    <t>3</t>
  </si>
  <si>
    <t>4</t>
  </si>
  <si>
    <t>Х</t>
  </si>
  <si>
    <t>2.1.</t>
  </si>
  <si>
    <t xml:space="preserve">Создание геодезической разбивочной основы и вынос в натуру основных осей </t>
  </si>
  <si>
    <t>Подготовительные работы.Подготовка площадки строительства</t>
  </si>
  <si>
    <t xml:space="preserve">Водовод сброса очищенных стоков </t>
  </si>
  <si>
    <t xml:space="preserve">Рекультивация </t>
  </si>
  <si>
    <t>Сдача объекта в эксплуатацию</t>
  </si>
  <si>
    <t>Х-дата подписания договора</t>
  </si>
  <si>
    <t>окончание первого года</t>
  </si>
  <si>
    <t>начало второго года</t>
  </si>
  <si>
    <t>Продолжительность выполнения работ, мес.</t>
  </si>
  <si>
    <t>Доля сметной стоимости, подлежащая выполнению подрядчиком в 2023 году</t>
  </si>
  <si>
    <t>Индекс Минэкономразвития РФ на 2024 г. (Письмо Минэкономразвития России от 28.09.2022 № 36804-ПК/Д03и)</t>
  </si>
  <si>
    <t>ежемесячный прогнозный индекс на 2024 год</t>
  </si>
  <si>
    <t>К на 2023 =</t>
  </si>
  <si>
    <t>К на 2024 =</t>
  </si>
  <si>
    <t>Доля сметной стоимости, подлежащая выполнению подрядчиком в 2024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</si>
</sst>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-* #,##0.00_-;\-* #,##0.00_-;_-* &quot;-&quot;??_-;_-@_-"/>
    <numFmt numFmtId="164" formatCode="0.0"/>
    <numFmt numFmtId="165" formatCode="0.0000"/>
    <numFmt numFmtId="166" formatCode="#,##0.0000"/>
    <numFmt numFmtId="167" formatCode="#,##0.####"/>
    <numFmt numFmtId="168" formatCode="0.0000000"/>
    <numFmt numFmtId="169" formatCode="0.000"/>
    <numFmt numFmtId="170" formatCode="#,##0.000"/>
    <numFmt numFmtId="171" formatCode="0.0%"/>
  </numFmts>
  <fonts count="4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8"/>
      <color rgb="FF000000"/>
      <name val="Arial"/>
      <family val="2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i/>
      <sz val="12"/>
      <color rgb="FF0070C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color indexed="18"/>
      <name val="Arial"/>
      <family val="2"/>
      <charset val="204"/>
    </font>
    <font>
      <b/>
      <sz val="8"/>
      <color rgb="FF000000"/>
      <name val="Times New Roman"/>
      <family val="1"/>
      <charset val="204"/>
    </font>
    <font>
      <b/>
      <sz val="10"/>
      <name val="Arial Cyr"/>
      <charset val="204"/>
    </font>
    <font>
      <b/>
      <u/>
      <sz val="12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1"/>
      <name val="Calibri"/>
      <family val="2"/>
      <charset val="204"/>
    </font>
    <font>
      <b/>
      <i/>
      <sz val="12"/>
      <color rgb="FF0070C0"/>
      <name val="Times New Roman"/>
      <family val="1"/>
      <charset val="204"/>
    </font>
    <font>
      <sz val="12"/>
      <name val="Arial CYR"/>
      <charset val="204"/>
    </font>
    <font>
      <u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  <font>
      <b/>
      <u/>
      <sz val="10"/>
      <name val="Arial"/>
      <family val="2"/>
      <charset val="204"/>
    </font>
    <font>
      <sz val="10"/>
      <color theme="0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i/>
      <sz val="10"/>
      <name val="Arial Cyr"/>
      <charset val="204"/>
    </font>
    <font>
      <sz val="12"/>
      <name val="Arial Cyr"/>
      <family val="2"/>
      <charset val="204"/>
    </font>
    <font>
      <i/>
      <sz val="10"/>
      <color rgb="FF0070C0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i/>
      <u/>
      <sz val="12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3">
    <xf numFmtId="0" fontId="0" fillId="0" borderId="0"/>
    <xf numFmtId="0" fontId="4" fillId="0" borderId="0"/>
    <xf numFmtId="0" fontId="6" fillId="0" borderId="0">
      <alignment horizontal="left" vertical="top"/>
    </xf>
    <xf numFmtId="0" fontId="7" fillId="0" borderId="0"/>
    <xf numFmtId="0" fontId="3" fillId="0" borderId="0"/>
    <xf numFmtId="0" fontId="4" fillId="0" borderId="0"/>
    <xf numFmtId="0" fontId="2" fillId="0" borderId="0"/>
    <xf numFmtId="0" fontId="2" fillId="0" borderId="0"/>
    <xf numFmtId="0" fontId="3" fillId="0" borderId="0"/>
    <xf numFmtId="0" fontId="19" fillId="0" borderId="0"/>
    <xf numFmtId="0" fontId="19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26" fillId="0" borderId="0"/>
    <xf numFmtId="0" fontId="7" fillId="0" borderId="0"/>
    <xf numFmtId="0" fontId="19" fillId="0" borderId="0"/>
    <xf numFmtId="0" fontId="28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475">
    <xf numFmtId="0" fontId="0" fillId="0" borderId="0" xfId="0"/>
    <xf numFmtId="0" fontId="8" fillId="0" borderId="0" xfId="4" applyFont="1" applyAlignment="1">
      <alignment horizontal="center" vertical="center" wrapText="1"/>
    </xf>
    <xf numFmtId="0" fontId="9" fillId="0" borderId="0" xfId="4" applyFont="1"/>
    <xf numFmtId="0" fontId="10" fillId="0" borderId="0" xfId="4" applyFont="1"/>
    <xf numFmtId="0" fontId="11" fillId="2" borderId="0" xfId="4" applyFont="1" applyFill="1" applyAlignment="1">
      <alignment vertical="center"/>
    </xf>
    <xf numFmtId="0" fontId="13" fillId="3" borderId="9" xfId="5" applyFont="1" applyFill="1" applyBorder="1" applyAlignment="1">
      <alignment horizontal="center" vertical="center" wrapText="1"/>
    </xf>
    <xf numFmtId="0" fontId="8" fillId="3" borderId="9" xfId="4" applyFont="1" applyFill="1" applyBorder="1" applyAlignment="1">
      <alignment horizontal="center" vertical="center"/>
    </xf>
    <xf numFmtId="0" fontId="8" fillId="4" borderId="9" xfId="4" applyFont="1" applyFill="1" applyBorder="1" applyAlignment="1">
      <alignment horizontal="center" vertical="center"/>
    </xf>
    <xf numFmtId="0" fontId="8" fillId="4" borderId="9" xfId="4" applyFont="1" applyFill="1" applyBorder="1" applyAlignment="1">
      <alignment horizontal="center" vertical="center" wrapText="1"/>
    </xf>
    <xf numFmtId="0" fontId="14" fillId="4" borderId="9" xfId="4" applyFont="1" applyFill="1" applyBorder="1" applyAlignment="1">
      <alignment horizontal="center" vertical="center" wrapText="1"/>
    </xf>
    <xf numFmtId="0" fontId="8" fillId="3" borderId="9" xfId="4" applyFont="1" applyFill="1" applyBorder="1" applyAlignment="1">
      <alignment horizontal="center" vertical="center" wrapText="1"/>
    </xf>
    <xf numFmtId="0" fontId="13" fillId="4" borderId="9" xfId="5" applyFont="1" applyFill="1" applyBorder="1" applyAlignment="1">
      <alignment horizontal="center" vertical="center" wrapText="1"/>
    </xf>
    <xf numFmtId="0" fontId="8" fillId="3" borderId="9" xfId="5" applyFont="1" applyFill="1" applyBorder="1" applyAlignment="1">
      <alignment horizontal="center" vertical="center"/>
    </xf>
    <xf numFmtId="49" fontId="13" fillId="5" borderId="9" xfId="5" applyNumberFormat="1" applyFont="1" applyFill="1" applyBorder="1" applyAlignment="1">
      <alignment horizontal="center" vertical="center" wrapText="1"/>
    </xf>
    <xf numFmtId="0" fontId="13" fillId="5" borderId="9" xfId="5" applyFont="1" applyFill="1" applyBorder="1" applyAlignment="1">
      <alignment horizontal="center" vertical="center" wrapText="1"/>
    </xf>
    <xf numFmtId="4" fontId="8" fillId="5" borderId="9" xfId="5" applyNumberFormat="1" applyFont="1" applyFill="1" applyBorder="1" applyAlignment="1">
      <alignment horizontal="center" vertical="center"/>
    </xf>
    <xf numFmtId="49" fontId="10" fillId="2" borderId="9" xfId="5" applyNumberFormat="1" applyFont="1" applyFill="1" applyBorder="1" applyAlignment="1">
      <alignment horizontal="center" vertical="center" wrapText="1"/>
    </xf>
    <xf numFmtId="4" fontId="9" fillId="2" borderId="9" xfId="5" applyNumberFormat="1" applyFont="1" applyFill="1" applyBorder="1" applyAlignment="1">
      <alignment horizontal="center" vertical="center"/>
    </xf>
    <xf numFmtId="165" fontId="9" fillId="2" borderId="9" xfId="5" applyNumberFormat="1" applyFont="1" applyFill="1" applyBorder="1" applyAlignment="1">
      <alignment horizontal="center" vertical="center"/>
    </xf>
    <xf numFmtId="0" fontId="8" fillId="5" borderId="9" xfId="5" applyFont="1" applyFill="1" applyBorder="1" applyAlignment="1">
      <alignment horizontal="center" vertical="center"/>
    </xf>
    <xf numFmtId="49" fontId="9" fillId="0" borderId="9" xfId="0" applyNumberFormat="1" applyFont="1" applyBorder="1" applyAlignment="1">
      <alignment horizontal="center" vertical="center"/>
    </xf>
    <xf numFmtId="4" fontId="9" fillId="0" borderId="9" xfId="0" applyNumberFormat="1" applyFont="1" applyBorder="1" applyAlignment="1">
      <alignment horizontal="center" vertical="center"/>
    </xf>
    <xf numFmtId="166" fontId="9" fillId="0" borderId="9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4" fontId="9" fillId="3" borderId="9" xfId="0" applyNumberFormat="1" applyFont="1" applyFill="1" applyBorder="1" applyAlignment="1">
      <alignment horizontal="center" vertical="center"/>
    </xf>
    <xf numFmtId="4" fontId="8" fillId="3" borderId="9" xfId="0" applyNumberFormat="1" applyFont="1" applyFill="1" applyBorder="1" applyAlignment="1">
      <alignment horizontal="center" vertical="center"/>
    </xf>
    <xf numFmtId="0" fontId="9" fillId="0" borderId="0" xfId="0" applyFont="1"/>
    <xf numFmtId="2" fontId="9" fillId="0" borderId="0" xfId="0" applyNumberFormat="1" applyFont="1"/>
    <xf numFmtId="165" fontId="9" fillId="0" borderId="0" xfId="0" applyNumberFormat="1" applyFont="1"/>
    <xf numFmtId="0" fontId="8" fillId="0" borderId="0" xfId="0" applyFont="1" applyAlignment="1">
      <alignment horizontal="center"/>
    </xf>
    <xf numFmtId="0" fontId="20" fillId="6" borderId="9" xfId="9" applyFont="1" applyFill="1" applyBorder="1" applyAlignment="1">
      <alignment horizontal="center" vertical="top" wrapText="1"/>
    </xf>
    <xf numFmtId="0" fontId="9" fillId="0" borderId="0" xfId="0" applyFont="1" applyAlignment="1">
      <alignment horizontal="right"/>
    </xf>
    <xf numFmtId="14" fontId="0" fillId="7" borderId="9" xfId="0" applyNumberFormat="1" applyFill="1" applyBorder="1" applyAlignment="1">
      <alignment horizontal="right"/>
    </xf>
    <xf numFmtId="4" fontId="21" fillId="0" borderId="0" xfId="10" applyNumberFormat="1" applyFont="1" applyFill="1" applyBorder="1" applyAlignment="1" applyProtection="1">
      <alignment horizontal="right" vertical="top"/>
    </xf>
    <xf numFmtId="14" fontId="0" fillId="0" borderId="0" xfId="0" applyNumberFormat="1" applyFill="1" applyBorder="1" applyAlignment="1">
      <alignment horizontal="center"/>
    </xf>
    <xf numFmtId="4" fontId="21" fillId="0" borderId="0" xfId="10" applyNumberFormat="1" applyFont="1" applyFill="1" applyBorder="1" applyAlignment="1" applyProtection="1">
      <alignment horizontal="right" vertical="center"/>
    </xf>
    <xf numFmtId="166" fontId="21" fillId="0" borderId="0" xfId="10" applyNumberFormat="1" applyFont="1" applyFill="1" applyBorder="1" applyAlignment="1" applyProtection="1">
      <alignment horizontal="right" vertical="center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 wrapText="1"/>
    </xf>
    <xf numFmtId="0" fontId="5" fillId="0" borderId="0" xfId="10" applyNumberFormat="1" applyFont="1" applyFill="1" applyBorder="1" applyAlignment="1" applyProtection="1"/>
    <xf numFmtId="0" fontId="21" fillId="0" borderId="0" xfId="10" applyNumberFormat="1" applyFont="1" applyFill="1" applyBorder="1" applyAlignment="1" applyProtection="1">
      <alignment horizontal="right" vertical="top" wrapText="1"/>
    </xf>
    <xf numFmtId="0" fontId="21" fillId="0" borderId="0" xfId="10" applyNumberFormat="1" applyFont="1" applyFill="1" applyBorder="1" applyAlignment="1" applyProtection="1">
      <alignment horizontal="right" vertical="top"/>
    </xf>
    <xf numFmtId="14" fontId="0" fillId="7" borderId="9" xfId="0" applyNumberFormat="1" applyFill="1" applyBorder="1"/>
    <xf numFmtId="164" fontId="0" fillId="0" borderId="9" xfId="0" applyNumberFormat="1" applyBorder="1"/>
    <xf numFmtId="10" fontId="0" fillId="0" borderId="9" xfId="0" applyNumberFormat="1" applyBorder="1"/>
    <xf numFmtId="0" fontId="9" fillId="9" borderId="6" xfId="0" applyFont="1" applyFill="1" applyBorder="1" applyAlignment="1">
      <alignment vertical="center"/>
    </xf>
    <xf numFmtId="168" fontId="0" fillId="0" borderId="9" xfId="0" applyNumberFormat="1" applyBorder="1"/>
    <xf numFmtId="165" fontId="0" fillId="0" borderId="0" xfId="0" applyNumberFormat="1"/>
    <xf numFmtId="0" fontId="0" fillId="0" borderId="0" xfId="0" applyAlignment="1"/>
    <xf numFmtId="0" fontId="21" fillId="0" borderId="0" xfId="10" applyNumberFormat="1" applyFont="1" applyFill="1" applyBorder="1" applyAlignment="1" applyProtection="1">
      <alignment horizontal="right"/>
    </xf>
    <xf numFmtId="0" fontId="9" fillId="0" borderId="0" xfId="0" applyFont="1" applyAlignment="1">
      <alignment vertical="top" wrapText="1"/>
    </xf>
    <xf numFmtId="0" fontId="10" fillId="0" borderId="0" xfId="11" applyFont="1" applyAlignment="1">
      <alignment horizontal="center" vertical="center"/>
    </xf>
    <xf numFmtId="49" fontId="12" fillId="2" borderId="9" xfId="0" applyNumberFormat="1" applyFont="1" applyFill="1" applyBorder="1" applyAlignment="1" applyProtection="1">
      <alignment horizontal="center" vertical="center" wrapText="1"/>
    </xf>
    <xf numFmtId="49" fontId="12" fillId="0" borderId="9" xfId="0" applyNumberFormat="1" applyFont="1" applyFill="1" applyBorder="1" applyAlignment="1" applyProtection="1">
      <alignment horizontal="center" vertical="top" wrapText="1"/>
    </xf>
    <xf numFmtId="49" fontId="9" fillId="3" borderId="9" xfId="0" applyNumberFormat="1" applyFont="1" applyFill="1" applyBorder="1" applyAlignment="1">
      <alignment horizontal="center" vertical="center"/>
    </xf>
    <xf numFmtId="49" fontId="12" fillId="0" borderId="9" xfId="0" applyNumberFormat="1" applyFont="1" applyFill="1" applyBorder="1" applyAlignment="1" applyProtection="1">
      <alignment horizontal="center" vertical="center" wrapText="1"/>
    </xf>
    <xf numFmtId="49" fontId="12" fillId="3" borderId="9" xfId="0" applyNumberFormat="1" applyFont="1" applyFill="1" applyBorder="1" applyAlignment="1" applyProtection="1">
      <alignment horizontal="center" vertical="center" wrapText="1"/>
    </xf>
    <xf numFmtId="49" fontId="16" fillId="3" borderId="9" xfId="0" applyNumberFormat="1" applyFont="1" applyFill="1" applyBorder="1" applyAlignment="1" applyProtection="1">
      <alignment horizontal="center" vertical="center" wrapText="1"/>
    </xf>
    <xf numFmtId="4" fontId="10" fillId="0" borderId="0" xfId="0" applyNumberFormat="1" applyFont="1" applyAlignment="1">
      <alignment horizontal="center" vertical="center"/>
    </xf>
    <xf numFmtId="4" fontId="9" fillId="4" borderId="9" xfId="0" applyNumberFormat="1" applyFont="1" applyFill="1" applyBorder="1" applyAlignment="1">
      <alignment horizontal="center" vertical="center"/>
    </xf>
    <xf numFmtId="4" fontId="15" fillId="4" borderId="9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top"/>
    </xf>
    <xf numFmtId="49" fontId="9" fillId="0" borderId="0" xfId="0" applyNumberFormat="1" applyFont="1" applyAlignment="1">
      <alignment horizontal="left" vertical="top"/>
    </xf>
    <xf numFmtId="0" fontId="9" fillId="0" borderId="0" xfId="0" applyFont="1" applyAlignment="1">
      <alignment horizontal="left" vertical="top"/>
    </xf>
    <xf numFmtId="0" fontId="9" fillId="0" borderId="0" xfId="13" applyFont="1" applyAlignment="1">
      <alignment horizontal="center" vertical="top"/>
    </xf>
    <xf numFmtId="49" fontId="9" fillId="0" borderId="0" xfId="13" applyNumberFormat="1" applyFont="1" applyAlignment="1">
      <alignment horizontal="left" vertical="top"/>
    </xf>
    <xf numFmtId="0" fontId="9" fillId="0" borderId="0" xfId="13" applyFont="1" applyAlignment="1">
      <alignment horizontal="left" vertical="top"/>
    </xf>
    <xf numFmtId="0" fontId="9" fillId="0" borderId="0" xfId="13" applyFont="1"/>
    <xf numFmtId="0" fontId="9" fillId="11" borderId="3" xfId="14" applyFont="1" applyFill="1" applyBorder="1" applyAlignment="1">
      <alignment horizontal="center" vertical="center"/>
    </xf>
    <xf numFmtId="0" fontId="9" fillId="11" borderId="9" xfId="13" applyFont="1" applyFill="1" applyBorder="1" applyAlignment="1">
      <alignment horizontal="center" vertical="center"/>
    </xf>
    <xf numFmtId="0" fontId="8" fillId="5" borderId="9" xfId="0" applyFont="1" applyFill="1" applyBorder="1" applyAlignment="1">
      <alignment horizontal="center" vertical="center"/>
    </xf>
    <xf numFmtId="0" fontId="9" fillId="0" borderId="9" xfId="13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7" fillId="0" borderId="0" xfId="15"/>
    <xf numFmtId="0" fontId="10" fillId="0" borderId="0" xfId="0" applyFont="1" applyBorder="1" applyAlignment="1">
      <alignment horizontal="right"/>
    </xf>
    <xf numFmtId="0" fontId="9" fillId="0" borderId="0" xfId="0" applyFont="1" applyAlignment="1">
      <alignment horizontal="left" vertical="center"/>
    </xf>
    <xf numFmtId="0" fontId="6" fillId="2" borderId="0" xfId="13" applyFont="1" applyFill="1" applyAlignment="1">
      <alignment horizontal="center" vertical="top"/>
    </xf>
    <xf numFmtId="0" fontId="6" fillId="2" borderId="0" xfId="13" applyFont="1" applyFill="1" applyAlignment="1">
      <alignment horizontal="left" vertical="top"/>
    </xf>
    <xf numFmtId="0" fontId="6" fillId="2" borderId="0" xfId="13" applyFont="1" applyFill="1"/>
    <xf numFmtId="0" fontId="9" fillId="2" borderId="0" xfId="13" applyFont="1" applyFill="1" applyAlignment="1">
      <alignment horizontal="left" vertical="center"/>
    </xf>
    <xf numFmtId="0" fontId="9" fillId="2" borderId="0" xfId="13" applyFont="1" applyFill="1" applyAlignment="1">
      <alignment horizontal="center" vertical="top"/>
    </xf>
    <xf numFmtId="0" fontId="9" fillId="2" borderId="0" xfId="13" applyFont="1" applyFill="1" applyAlignment="1">
      <alignment horizontal="left" vertical="top"/>
    </xf>
    <xf numFmtId="0" fontId="9" fillId="2" borderId="0" xfId="13" applyFont="1" applyFill="1"/>
    <xf numFmtId="0" fontId="6" fillId="11" borderId="9" xfId="13" applyFont="1" applyFill="1" applyBorder="1" applyAlignment="1">
      <alignment horizontal="center" vertical="center" wrapText="1"/>
    </xf>
    <xf numFmtId="0" fontId="6" fillId="11" borderId="9" xfId="13" applyFont="1" applyFill="1" applyBorder="1" applyAlignment="1">
      <alignment horizontal="center" vertical="center"/>
    </xf>
    <xf numFmtId="0" fontId="9" fillId="11" borderId="9" xfId="14" applyFont="1" applyFill="1" applyBorder="1" applyAlignment="1">
      <alignment horizontal="center" vertical="center"/>
    </xf>
    <xf numFmtId="0" fontId="9" fillId="11" borderId="9" xfId="13" applyFont="1" applyFill="1" applyBorder="1" applyAlignment="1">
      <alignment horizontal="center"/>
    </xf>
    <xf numFmtId="4" fontId="24" fillId="5" borderId="9" xfId="0" applyNumberFormat="1" applyFont="1" applyFill="1" applyBorder="1" applyAlignment="1">
      <alignment horizontal="center" vertical="center"/>
    </xf>
    <xf numFmtId="4" fontId="0" fillId="0" borderId="9" xfId="0" applyNumberFormat="1" applyBorder="1" applyAlignment="1">
      <alignment horizontal="center" vertical="center"/>
    </xf>
    <xf numFmtId="49" fontId="9" fillId="11" borderId="9" xfId="0" applyNumberFormat="1" applyFont="1" applyFill="1" applyBorder="1" applyAlignment="1">
      <alignment horizontal="center" vertical="center"/>
    </xf>
    <xf numFmtId="49" fontId="16" fillId="11" borderId="9" xfId="0" applyNumberFormat="1" applyFont="1" applyFill="1" applyBorder="1" applyAlignment="1" applyProtection="1">
      <alignment horizontal="center" vertical="center" wrapText="1"/>
    </xf>
    <xf numFmtId="0" fontId="0" fillId="11" borderId="9" xfId="0" applyFill="1" applyBorder="1"/>
    <xf numFmtId="4" fontId="24" fillId="11" borderId="9" xfId="0" applyNumberFormat="1" applyFont="1" applyFill="1" applyBorder="1" applyAlignment="1">
      <alignment horizontal="center" vertical="center"/>
    </xf>
    <xf numFmtId="4" fontId="24" fillId="2" borderId="9" xfId="0" applyNumberFormat="1" applyFont="1" applyFill="1" applyBorder="1" applyAlignment="1">
      <alignment horizontal="center" vertical="center"/>
    </xf>
    <xf numFmtId="4" fontId="1" fillId="2" borderId="9" xfId="0" applyNumberFormat="1" applyFont="1" applyFill="1" applyBorder="1" applyAlignment="1">
      <alignment horizontal="center" vertical="center"/>
    </xf>
    <xf numFmtId="4" fontId="9" fillId="0" borderId="0" xfId="0" applyNumberFormat="1" applyFont="1"/>
    <xf numFmtId="0" fontId="13" fillId="0" borderId="0" xfId="17" applyFont="1" applyAlignment="1">
      <alignment horizontal="center" vertical="center" wrapText="1"/>
    </xf>
    <xf numFmtId="0" fontId="13" fillId="0" borderId="0" xfId="17" applyFont="1" applyAlignment="1">
      <alignment vertical="center"/>
    </xf>
    <xf numFmtId="164" fontId="14" fillId="0" borderId="0" xfId="17" applyNumberFormat="1" applyFont="1" applyAlignment="1">
      <alignment vertical="center"/>
    </xf>
    <xf numFmtId="0" fontId="14" fillId="0" borderId="0" xfId="17" applyFont="1" applyAlignment="1">
      <alignment vertical="center"/>
    </xf>
    <xf numFmtId="0" fontId="9" fillId="0" borderId="0" xfId="17" applyFont="1"/>
    <xf numFmtId="14" fontId="14" fillId="0" borderId="0" xfId="17" applyNumberFormat="1" applyFont="1" applyFill="1" applyAlignment="1">
      <alignment vertical="center"/>
    </xf>
    <xf numFmtId="0" fontId="10" fillId="0" borderId="0" xfId="17" applyFont="1"/>
    <xf numFmtId="0" fontId="10" fillId="3" borderId="9" xfId="17" applyFont="1" applyFill="1" applyBorder="1" applyAlignment="1">
      <alignment horizontal="center" vertical="center" wrapText="1"/>
    </xf>
    <xf numFmtId="0" fontId="9" fillId="3" borderId="9" xfId="17" applyFont="1" applyFill="1" applyBorder="1" applyAlignment="1">
      <alignment horizontal="center"/>
    </xf>
    <xf numFmtId="49" fontId="13" fillId="5" borderId="9" xfId="18" applyNumberFormat="1" applyFont="1" applyFill="1" applyBorder="1" applyAlignment="1">
      <alignment horizontal="center" vertical="center" wrapText="1"/>
    </xf>
    <xf numFmtId="0" fontId="13" fillId="5" borderId="9" xfId="18" applyFont="1" applyFill="1" applyBorder="1" applyAlignment="1">
      <alignment horizontal="left" vertical="center" wrapText="1"/>
    </xf>
    <xf numFmtId="4" fontId="13" fillId="5" borderId="9" xfId="17" applyNumberFormat="1" applyFont="1" applyFill="1" applyBorder="1" applyAlignment="1">
      <alignment horizontal="center" vertical="center" wrapText="1"/>
    </xf>
    <xf numFmtId="4" fontId="8" fillId="5" borderId="9" xfId="17" applyNumberFormat="1" applyFont="1" applyFill="1" applyBorder="1" applyAlignment="1">
      <alignment horizontal="center" vertical="center"/>
    </xf>
    <xf numFmtId="49" fontId="10" fillId="2" borderId="9" xfId="18" applyNumberFormat="1" applyFont="1" applyFill="1" applyBorder="1" applyAlignment="1">
      <alignment horizontal="center" vertical="center" wrapText="1"/>
    </xf>
    <xf numFmtId="0" fontId="27" fillId="0" borderId="9" xfId="17" applyFont="1" applyFill="1" applyBorder="1" applyAlignment="1">
      <alignment vertical="center" wrapText="1"/>
    </xf>
    <xf numFmtId="4" fontId="15" fillId="2" borderId="9" xfId="17" applyNumberFormat="1" applyFont="1" applyFill="1" applyBorder="1" applyAlignment="1">
      <alignment horizontal="center" vertical="center" wrapText="1"/>
    </xf>
    <xf numFmtId="4" fontId="15" fillId="2" borderId="9" xfId="17" applyNumberFormat="1" applyFont="1" applyFill="1" applyBorder="1" applyAlignment="1">
      <alignment horizontal="center" vertical="center"/>
    </xf>
    <xf numFmtId="0" fontId="15" fillId="2" borderId="9" xfId="17" applyFont="1" applyFill="1" applyBorder="1" applyAlignment="1">
      <alignment horizontal="left" vertical="center" wrapText="1"/>
    </xf>
    <xf numFmtId="49" fontId="13" fillId="5" borderId="9" xfId="17" applyNumberFormat="1" applyFont="1" applyFill="1" applyBorder="1" applyAlignment="1">
      <alignment horizontal="center" vertical="center" wrapText="1"/>
    </xf>
    <xf numFmtId="0" fontId="13" fillId="5" borderId="9" xfId="17" applyFont="1" applyFill="1" applyBorder="1" applyAlignment="1">
      <alignment horizontal="left" vertical="center" wrapText="1"/>
    </xf>
    <xf numFmtId="49" fontId="15" fillId="2" borderId="9" xfId="17" applyNumberFormat="1" applyFont="1" applyFill="1" applyBorder="1" applyAlignment="1">
      <alignment horizontal="center" vertical="center" wrapText="1"/>
    </xf>
    <xf numFmtId="0" fontId="13" fillId="3" borderId="9" xfId="17" applyFont="1" applyFill="1" applyBorder="1" applyAlignment="1">
      <alignment vertical="center" wrapText="1"/>
    </xf>
    <xf numFmtId="4" fontId="13" fillId="3" borderId="9" xfId="17" applyNumberFormat="1" applyFont="1" applyFill="1" applyBorder="1" applyAlignment="1">
      <alignment horizontal="center" vertical="center" wrapText="1"/>
    </xf>
    <xf numFmtId="2" fontId="0" fillId="0" borderId="0" xfId="0" applyNumberFormat="1"/>
    <xf numFmtId="3" fontId="27" fillId="0" borderId="9" xfId="17" applyNumberFormat="1" applyFont="1" applyFill="1" applyBorder="1" applyAlignment="1">
      <alignment horizontal="center" vertical="center" wrapText="1"/>
    </xf>
    <xf numFmtId="4" fontId="27" fillId="0" borderId="9" xfId="17" applyNumberFormat="1" applyFont="1" applyFill="1" applyBorder="1" applyAlignment="1">
      <alignment horizontal="center" vertical="center" wrapText="1"/>
    </xf>
    <xf numFmtId="4" fontId="15" fillId="0" borderId="9" xfId="17" applyNumberFormat="1" applyFont="1" applyBorder="1" applyAlignment="1">
      <alignment horizontal="center" vertical="center"/>
    </xf>
    <xf numFmtId="0" fontId="15" fillId="0" borderId="9" xfId="17" applyFont="1" applyBorder="1"/>
    <xf numFmtId="0" fontId="15" fillId="0" borderId="9" xfId="17" applyFont="1" applyBorder="1" applyAlignment="1">
      <alignment vertical="center" wrapText="1"/>
    </xf>
    <xf numFmtId="0" fontId="8" fillId="0" borderId="0" xfId="19" applyFont="1" applyAlignment="1"/>
    <xf numFmtId="0" fontId="9" fillId="0" borderId="0" xfId="19" applyFont="1"/>
    <xf numFmtId="0" fontId="10" fillId="0" borderId="0" xfId="11" applyFont="1"/>
    <xf numFmtId="0" fontId="9" fillId="0" borderId="0" xfId="19" applyFont="1" applyAlignment="1">
      <alignment vertical="center"/>
    </xf>
    <xf numFmtId="4" fontId="8" fillId="0" borderId="0" xfId="19" applyNumberFormat="1" applyFont="1" applyAlignment="1">
      <alignment vertical="center" wrapText="1"/>
    </xf>
    <xf numFmtId="0" fontId="8" fillId="0" borderId="0" xfId="19" applyFont="1"/>
    <xf numFmtId="0" fontId="14" fillId="0" borderId="0" xfId="19" applyFont="1"/>
    <xf numFmtId="0" fontId="14" fillId="0" borderId="0" xfId="19" applyFont="1" applyFill="1" applyAlignment="1">
      <alignment vertical="center" wrapText="1"/>
    </xf>
    <xf numFmtId="49" fontId="9" fillId="0" borderId="0" xfId="19" applyNumberFormat="1" applyFont="1"/>
    <xf numFmtId="0" fontId="10" fillId="0" borderId="0" xfId="11" quotePrefix="1" applyFont="1" applyFill="1" applyBorder="1"/>
    <xf numFmtId="49" fontId="9" fillId="0" borderId="0" xfId="20" applyNumberFormat="1" applyFont="1"/>
    <xf numFmtId="0" fontId="9" fillId="0" borderId="0" xfId="20" applyFont="1"/>
    <xf numFmtId="49" fontId="9" fillId="0" borderId="0" xfId="20" quotePrefix="1" applyNumberFormat="1" applyFont="1" applyAlignment="1">
      <alignment horizontal="left"/>
    </xf>
    <xf numFmtId="49" fontId="9" fillId="0" borderId="0" xfId="20" quotePrefix="1" applyNumberFormat="1" applyFont="1" applyAlignment="1">
      <alignment horizontal="left" wrapText="1"/>
    </xf>
    <xf numFmtId="49" fontId="9" fillId="0" borderId="0" xfId="20" applyNumberFormat="1" applyFont="1" applyAlignment="1">
      <alignment wrapText="1"/>
    </xf>
    <xf numFmtId="0" fontId="11" fillId="0" borderId="0" xfId="20" applyFont="1"/>
    <xf numFmtId="49" fontId="11" fillId="0" borderId="0" xfId="20" applyNumberFormat="1" applyFont="1"/>
    <xf numFmtId="49" fontId="11" fillId="0" borderId="0" xfId="19" applyNumberFormat="1" applyFont="1"/>
    <xf numFmtId="0" fontId="10" fillId="0" borderId="0" xfId="11" applyFont="1" applyFill="1" applyBorder="1"/>
    <xf numFmtId="0" fontId="29" fillId="0" borderId="0" xfId="19" applyFont="1" applyBorder="1" applyAlignment="1">
      <alignment horizontal="center"/>
    </xf>
    <xf numFmtId="0" fontId="10" fillId="0" borderId="0" xfId="11" applyFont="1" applyBorder="1"/>
    <xf numFmtId="0" fontId="9" fillId="0" borderId="0" xfId="19" applyFont="1" applyBorder="1"/>
    <xf numFmtId="0" fontId="30" fillId="0" borderId="0" xfId="19" applyFont="1" applyBorder="1" applyAlignment="1"/>
    <xf numFmtId="0" fontId="9" fillId="0" borderId="0" xfId="17" applyFont="1" applyBorder="1" applyAlignment="1">
      <alignment vertical="center" wrapText="1"/>
    </xf>
    <xf numFmtId="0" fontId="8" fillId="0" borderId="0" xfId="17" applyFont="1" applyBorder="1"/>
    <xf numFmtId="4" fontId="8" fillId="0" borderId="0" xfId="17" applyNumberFormat="1" applyFont="1" applyBorder="1" applyAlignment="1">
      <alignment horizontal="right"/>
    </xf>
    <xf numFmtId="0" fontId="10" fillId="0" borderId="0" xfId="0" applyFont="1" applyBorder="1" applyAlignment="1">
      <alignment wrapText="1"/>
    </xf>
    <xf numFmtId="0" fontId="20" fillId="6" borderId="9" xfId="9" applyFont="1" applyFill="1" applyBorder="1" applyAlignment="1">
      <alignment horizontal="center" vertical="top" wrapText="1"/>
    </xf>
    <xf numFmtId="0" fontId="19" fillId="0" borderId="0" xfId="0" applyFont="1" applyFill="1"/>
    <xf numFmtId="0" fontId="19" fillId="0" borderId="0" xfId="0" applyFont="1" applyFill="1" applyAlignment="1">
      <alignment vertical="center"/>
    </xf>
    <xf numFmtId="4" fontId="19" fillId="0" borderId="0" xfId="0" applyNumberFormat="1" applyFont="1" applyFill="1" applyAlignment="1">
      <alignment horizontal="center" vertical="center"/>
    </xf>
    <xf numFmtId="4" fontId="31" fillId="0" borderId="0" xfId="0" applyNumberFormat="1" applyFont="1" applyFill="1" applyAlignment="1">
      <alignment horizontal="right" vertical="center"/>
    </xf>
    <xf numFmtId="49" fontId="19" fillId="0" borderId="0" xfId="0" applyNumberFormat="1" applyFont="1" applyFill="1" applyAlignment="1">
      <alignment horizontal="left" vertical="top"/>
    </xf>
    <xf numFmtId="4" fontId="32" fillId="0" borderId="0" xfId="0" applyNumberFormat="1" applyFont="1" applyFill="1" applyAlignment="1">
      <alignment horizontal="center" vertical="center"/>
    </xf>
    <xf numFmtId="4" fontId="19" fillId="0" borderId="0" xfId="0" applyNumberFormat="1" applyFont="1" applyFill="1"/>
    <xf numFmtId="49" fontId="19" fillId="0" borderId="0" xfId="0" applyNumberFormat="1" applyFont="1" applyFill="1" applyBorder="1" applyAlignment="1">
      <alignment horizontal="left" vertical="top"/>
    </xf>
    <xf numFmtId="49" fontId="19" fillId="0" borderId="1" xfId="0" applyNumberFormat="1" applyFont="1" applyFill="1" applyBorder="1" applyAlignment="1">
      <alignment horizontal="left" vertical="top"/>
    </xf>
    <xf numFmtId="4" fontId="19" fillId="0" borderId="1" xfId="0" applyNumberFormat="1" applyFont="1" applyFill="1" applyBorder="1" applyAlignment="1">
      <alignment horizontal="center" vertical="center"/>
    </xf>
    <xf numFmtId="4" fontId="19" fillId="0" borderId="1" xfId="0" applyNumberFormat="1" applyFont="1" applyFill="1" applyBorder="1" applyAlignment="1">
      <alignment horizontal="right" vertical="top"/>
    </xf>
    <xf numFmtId="4" fontId="19" fillId="0" borderId="0" xfId="0" applyNumberFormat="1" applyFont="1" applyFill="1" applyAlignment="1">
      <alignment horizontal="right" vertical="center"/>
    </xf>
    <xf numFmtId="4" fontId="1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/>
    </xf>
    <xf numFmtId="0" fontId="19" fillId="0" borderId="9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49" fontId="19" fillId="0" borderId="9" xfId="0" applyNumberFormat="1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left" vertical="center" wrapText="1"/>
    </xf>
    <xf numFmtId="4" fontId="19" fillId="0" borderId="9" xfId="0" applyNumberFormat="1" applyFont="1" applyFill="1" applyBorder="1" applyAlignment="1">
      <alignment horizontal="center" vertical="center"/>
    </xf>
    <xf numFmtId="4" fontId="19" fillId="0" borderId="9" xfId="0" applyNumberFormat="1" applyFont="1" applyFill="1" applyBorder="1" applyAlignment="1">
      <alignment horizontal="right" vertical="center"/>
    </xf>
    <xf numFmtId="4" fontId="19" fillId="0" borderId="6" xfId="0" applyNumberFormat="1" applyFont="1" applyFill="1" applyBorder="1" applyAlignment="1">
      <alignment horizontal="right" vertical="center"/>
    </xf>
    <xf numFmtId="4" fontId="19" fillId="0" borderId="9" xfId="0" applyNumberFormat="1" applyFont="1" applyFill="1" applyBorder="1" applyAlignment="1">
      <alignment vertical="center"/>
    </xf>
    <xf numFmtId="0" fontId="19" fillId="0" borderId="4" xfId="0" applyFont="1" applyFill="1" applyBorder="1"/>
    <xf numFmtId="49" fontId="19" fillId="0" borderId="9" xfId="0" applyNumberFormat="1" applyFont="1" applyFill="1" applyBorder="1"/>
    <xf numFmtId="0" fontId="31" fillId="0" borderId="5" xfId="0" applyFont="1" applyFill="1" applyBorder="1" applyAlignment="1">
      <alignment wrapText="1"/>
    </xf>
    <xf numFmtId="4" fontId="31" fillId="0" borderId="9" xfId="0" applyNumberFormat="1" applyFont="1" applyFill="1" applyBorder="1" applyAlignment="1"/>
    <xf numFmtId="4" fontId="31" fillId="0" borderId="6" xfId="0" applyNumberFormat="1" applyFont="1" applyFill="1" applyBorder="1" applyAlignment="1">
      <alignment horizontal="right" vertical="center"/>
    </xf>
    <xf numFmtId="4" fontId="19" fillId="0" borderId="9" xfId="0" applyNumberFormat="1" applyFont="1" applyFill="1" applyBorder="1"/>
    <xf numFmtId="4" fontId="19" fillId="0" borderId="5" xfId="0" applyNumberFormat="1" applyFont="1" applyFill="1" applyBorder="1"/>
    <xf numFmtId="4" fontId="19" fillId="0" borderId="6" xfId="0" applyNumberFormat="1" applyFont="1" applyFill="1" applyBorder="1" applyAlignment="1">
      <alignment vertical="center"/>
    </xf>
    <xf numFmtId="49" fontId="19" fillId="0" borderId="9" xfId="0" applyNumberFormat="1" applyFont="1" applyFill="1" applyBorder="1" applyAlignment="1">
      <alignment horizontal="center"/>
    </xf>
    <xf numFmtId="0" fontId="31" fillId="0" borderId="5" xfId="0" applyFont="1" applyFill="1" applyBorder="1"/>
    <xf numFmtId="4" fontId="31" fillId="0" borderId="9" xfId="0" applyNumberFormat="1" applyFont="1" applyFill="1" applyBorder="1" applyAlignment="1">
      <alignment horizontal="right"/>
    </xf>
    <xf numFmtId="4" fontId="31" fillId="0" borderId="9" xfId="0" applyNumberFormat="1" applyFont="1" applyFill="1" applyBorder="1" applyAlignment="1">
      <alignment horizontal="right" vertical="center"/>
    </xf>
    <xf numFmtId="0" fontId="19" fillId="0" borderId="5" xfId="0" applyFont="1" applyFill="1" applyBorder="1" applyAlignment="1"/>
    <xf numFmtId="0" fontId="19" fillId="0" borderId="6" xfId="0" applyFont="1" applyFill="1" applyBorder="1" applyAlignment="1"/>
    <xf numFmtId="0" fontId="19" fillId="0" borderId="3" xfId="0" applyFont="1" applyFill="1" applyBorder="1"/>
    <xf numFmtId="169" fontId="31" fillId="0" borderId="6" xfId="0" applyNumberFormat="1" applyFont="1" applyFill="1" applyBorder="1" applyAlignment="1">
      <alignment horizontal="right" vertical="center"/>
    </xf>
    <xf numFmtId="0" fontId="31" fillId="0" borderId="9" xfId="0" applyFont="1" applyFill="1" applyBorder="1"/>
    <xf numFmtId="0" fontId="19" fillId="0" borderId="9" xfId="0" applyFont="1" applyFill="1" applyBorder="1" applyAlignment="1">
      <alignment horizontal="right"/>
    </xf>
    <xf numFmtId="0" fontId="19" fillId="0" borderId="9" xfId="0" applyFont="1" applyFill="1" applyBorder="1" applyAlignment="1">
      <alignment horizontal="right" vertical="center"/>
    </xf>
    <xf numFmtId="49" fontId="19" fillId="0" borderId="9" xfId="0" applyNumberFormat="1" applyFont="1" applyFill="1" applyBorder="1" applyAlignment="1">
      <alignment horizontal="center" vertical="center"/>
    </xf>
    <xf numFmtId="4" fontId="31" fillId="0" borderId="9" xfId="0" applyNumberFormat="1" applyFont="1" applyFill="1" applyBorder="1" applyAlignment="1">
      <alignment horizontal="left"/>
    </xf>
    <xf numFmtId="4" fontId="19" fillId="0" borderId="6" xfId="0" applyNumberFormat="1" applyFont="1" applyFill="1" applyBorder="1" applyAlignment="1">
      <alignment horizontal="left" wrapText="1"/>
    </xf>
    <xf numFmtId="4" fontId="19" fillId="0" borderId="9" xfId="0" applyNumberFormat="1" applyFont="1" applyFill="1" applyBorder="1" applyAlignment="1">
      <alignment horizontal="right"/>
    </xf>
    <xf numFmtId="49" fontId="35" fillId="0" borderId="9" xfId="0" applyNumberFormat="1" applyFont="1" applyFill="1" applyBorder="1" applyAlignment="1">
      <alignment horizontal="center" vertical="center"/>
    </xf>
    <xf numFmtId="49" fontId="35" fillId="0" borderId="9" xfId="0" applyNumberFormat="1" applyFont="1" applyFill="1" applyBorder="1" applyAlignment="1">
      <alignment horizontal="left" vertical="center"/>
    </xf>
    <xf numFmtId="2" fontId="31" fillId="0" borderId="9" xfId="0" applyNumberFormat="1" applyFont="1" applyFill="1" applyBorder="1"/>
    <xf numFmtId="2" fontId="31" fillId="0" borderId="5" xfId="0" applyNumberFormat="1" applyFont="1" applyFill="1" applyBorder="1"/>
    <xf numFmtId="169" fontId="31" fillId="0" borderId="9" xfId="0" applyNumberFormat="1" applyFont="1" applyFill="1" applyBorder="1"/>
    <xf numFmtId="169" fontId="31" fillId="0" borderId="6" xfId="0" applyNumberFormat="1" applyFont="1" applyFill="1" applyBorder="1" applyAlignment="1">
      <alignment vertical="center"/>
    </xf>
    <xf numFmtId="49" fontId="32" fillId="0" borderId="9" xfId="0" applyNumberFormat="1" applyFont="1" applyFill="1" applyBorder="1" applyAlignment="1">
      <alignment horizontal="left" vertical="center" wrapText="1"/>
    </xf>
    <xf numFmtId="0" fontId="32" fillId="0" borderId="5" xfId="0" applyFont="1" applyFill="1" applyBorder="1" applyAlignment="1">
      <alignment vertical="center" wrapText="1"/>
    </xf>
    <xf numFmtId="2" fontId="32" fillId="0" borderId="9" xfId="0" applyNumberFormat="1" applyFont="1" applyFill="1" applyBorder="1" applyAlignment="1">
      <alignment vertical="center"/>
    </xf>
    <xf numFmtId="169" fontId="32" fillId="0" borderId="9" xfId="0" applyNumberFormat="1" applyFont="1" applyFill="1" applyBorder="1" applyAlignment="1">
      <alignment vertical="center"/>
    </xf>
    <xf numFmtId="4" fontId="32" fillId="0" borderId="9" xfId="0" applyNumberFormat="1" applyFont="1" applyFill="1" applyBorder="1" applyAlignment="1">
      <alignment vertical="center"/>
    </xf>
    <xf numFmtId="0" fontId="32" fillId="0" borderId="0" xfId="0" applyFont="1" applyFill="1"/>
    <xf numFmtId="2" fontId="36" fillId="0" borderId="9" xfId="0" applyNumberFormat="1" applyFont="1" applyFill="1" applyBorder="1"/>
    <xf numFmtId="2" fontId="36" fillId="0" borderId="5" xfId="0" applyNumberFormat="1" applyFont="1" applyFill="1" applyBorder="1"/>
    <xf numFmtId="2" fontId="36" fillId="0" borderId="9" xfId="0" applyNumberFormat="1" applyFont="1" applyFill="1" applyBorder="1" applyAlignment="1">
      <alignment vertical="center"/>
    </xf>
    <xf numFmtId="0" fontId="19" fillId="0" borderId="5" xfId="0" applyFont="1" applyFill="1" applyBorder="1" applyAlignment="1">
      <alignment vertical="center" wrapText="1"/>
    </xf>
    <xf numFmtId="49" fontId="19" fillId="0" borderId="9" xfId="0" applyNumberFormat="1" applyFont="1" applyFill="1" applyBorder="1" applyAlignment="1">
      <alignment horizontal="left" vertical="top" wrapText="1"/>
    </xf>
    <xf numFmtId="0" fontId="19" fillId="0" borderId="1" xfId="0" applyFont="1" applyFill="1" applyBorder="1" applyAlignment="1">
      <alignment vertical="center" wrapText="1"/>
    </xf>
    <xf numFmtId="4" fontId="19" fillId="0" borderId="9" xfId="21" applyNumberFormat="1" applyFont="1" applyFill="1" applyBorder="1" applyAlignment="1">
      <alignment horizontal="right" vertical="top" wrapText="1"/>
    </xf>
    <xf numFmtId="4" fontId="19" fillId="0" borderId="9" xfId="21" applyNumberFormat="1" applyFont="1" applyFill="1" applyBorder="1" applyAlignment="1">
      <alignment horizontal="right" vertical="top"/>
    </xf>
    <xf numFmtId="170" fontId="19" fillId="0" borderId="9" xfId="0" applyNumberFormat="1" applyFont="1" applyFill="1" applyBorder="1" applyAlignment="1">
      <alignment wrapText="1"/>
    </xf>
    <xf numFmtId="170" fontId="19" fillId="0" borderId="5" xfId="0" applyNumberFormat="1" applyFont="1" applyFill="1" applyBorder="1" applyAlignment="1">
      <alignment wrapText="1"/>
    </xf>
    <xf numFmtId="4" fontId="19" fillId="0" borderId="9" xfId="0" applyNumberFormat="1" applyFont="1" applyFill="1" applyBorder="1" applyAlignment="1">
      <alignment vertical="center" wrapText="1"/>
    </xf>
    <xf numFmtId="0" fontId="19" fillId="0" borderId="0" xfId="0" applyFont="1" applyFill="1" applyAlignment="1">
      <alignment wrapText="1"/>
    </xf>
    <xf numFmtId="49" fontId="35" fillId="0" borderId="9" xfId="0" applyNumberFormat="1" applyFont="1" applyFill="1" applyBorder="1"/>
    <xf numFmtId="170" fontId="19" fillId="0" borderId="9" xfId="0" applyNumberFormat="1" applyFont="1" applyFill="1" applyBorder="1"/>
    <xf numFmtId="49" fontId="36" fillId="0" borderId="5" xfId="0" applyNumberFormat="1" applyFont="1" applyFill="1" applyBorder="1"/>
    <xf numFmtId="0" fontId="19" fillId="0" borderId="5" xfId="0" applyFont="1" applyFill="1" applyBorder="1" applyAlignment="1">
      <alignment wrapText="1"/>
    </xf>
    <xf numFmtId="49" fontId="19" fillId="0" borderId="3" xfId="0" applyNumberFormat="1" applyFont="1" applyFill="1" applyBorder="1"/>
    <xf numFmtId="49" fontId="19" fillId="0" borderId="2" xfId="0" applyNumberFormat="1" applyFont="1" applyFill="1" applyBorder="1"/>
    <xf numFmtId="0" fontId="31" fillId="0" borderId="6" xfId="0" applyFont="1" applyFill="1" applyBorder="1"/>
    <xf numFmtId="4" fontId="31" fillId="0" borderId="3" xfId="0" applyNumberFormat="1" applyFont="1" applyFill="1" applyBorder="1" applyAlignment="1">
      <alignment horizontal="right"/>
    </xf>
    <xf numFmtId="169" fontId="32" fillId="0" borderId="3" xfId="0" applyNumberFormat="1" applyFont="1" applyFill="1" applyBorder="1"/>
    <xf numFmtId="0" fontId="35" fillId="0" borderId="0" xfId="0" applyFont="1" applyFill="1"/>
    <xf numFmtId="0" fontId="37" fillId="0" borderId="9" xfId="0" applyFont="1" applyFill="1" applyBorder="1" applyAlignment="1">
      <alignment vertical="center" wrapText="1"/>
    </xf>
    <xf numFmtId="4" fontId="31" fillId="12" borderId="9" xfId="0" applyNumberFormat="1" applyFont="1" applyFill="1" applyBorder="1" applyAlignment="1">
      <alignment horizontal="right" vertical="center"/>
    </xf>
    <xf numFmtId="0" fontId="32" fillId="0" borderId="9" xfId="0" applyFont="1" applyFill="1" applyBorder="1" applyAlignment="1">
      <alignment horizontal="left" vertical="center"/>
    </xf>
    <xf numFmtId="169" fontId="19" fillId="0" borderId="9" xfId="0" applyNumberFormat="1" applyFont="1" applyFill="1" applyBorder="1" applyAlignment="1">
      <alignment vertical="center"/>
    </xf>
    <xf numFmtId="169" fontId="19" fillId="0" borderId="0" xfId="0" applyNumberFormat="1" applyFont="1" applyFill="1"/>
    <xf numFmtId="0" fontId="19" fillId="0" borderId="0" xfId="0" applyFont="1" applyFill="1" applyBorder="1" applyAlignment="1">
      <alignment horizontal="center"/>
    </xf>
    <xf numFmtId="169" fontId="1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38" fillId="0" borderId="0" xfId="0" applyFont="1" applyAlignment="1">
      <alignment horizontal="justify"/>
    </xf>
    <xf numFmtId="0" fontId="19" fillId="0" borderId="0" xfId="0" applyFont="1" applyFill="1" applyAlignment="1">
      <alignment horizontal="left"/>
    </xf>
    <xf numFmtId="170" fontId="0" fillId="0" borderId="1" xfId="0" applyNumberFormat="1" applyFill="1" applyBorder="1"/>
    <xf numFmtId="170" fontId="19" fillId="0" borderId="0" xfId="0" applyNumberFormat="1" applyFont="1" applyFill="1" applyAlignment="1">
      <alignment horizontal="left"/>
    </xf>
    <xf numFmtId="170" fontId="0" fillId="0" borderId="0" xfId="0" applyNumberFormat="1" applyFill="1" applyAlignment="1">
      <alignment vertical="center"/>
    </xf>
    <xf numFmtId="0" fontId="0" fillId="0" borderId="0" xfId="0" applyFill="1"/>
    <xf numFmtId="170" fontId="39" fillId="0" borderId="0" xfId="0" applyNumberFormat="1" applyFont="1" applyFill="1"/>
    <xf numFmtId="170" fontId="0" fillId="0" borderId="0" xfId="0" applyNumberFormat="1" applyFill="1"/>
    <xf numFmtId="170" fontId="19" fillId="0" borderId="0" xfId="0" applyNumberFormat="1" applyFont="1" applyFill="1" applyAlignment="1">
      <alignment horizontal="left" vertical="center"/>
    </xf>
    <xf numFmtId="0" fontId="19" fillId="0" borderId="0" xfId="0" applyFont="1" applyFill="1" applyAlignment="1">
      <alignment horizontal="left" vertical="top"/>
    </xf>
    <xf numFmtId="170" fontId="19" fillId="0" borderId="0" xfId="0" applyNumberFormat="1" applyFont="1" applyFill="1" applyAlignment="1">
      <alignment horizontal="left" vertical="top"/>
    </xf>
    <xf numFmtId="0" fontId="40" fillId="0" borderId="0" xfId="0" applyFont="1"/>
    <xf numFmtId="0" fontId="31" fillId="0" borderId="0" xfId="0" applyFont="1" applyFill="1" applyAlignment="1">
      <alignment horizontal="left" vertical="top"/>
    </xf>
    <xf numFmtId="0" fontId="40" fillId="0" borderId="0" xfId="0" applyFont="1" applyBorder="1" applyAlignment="1">
      <alignment horizontal="center"/>
    </xf>
    <xf numFmtId="49" fontId="9" fillId="0" borderId="9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4" fontId="9" fillId="0" borderId="6" xfId="0" applyNumberFormat="1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/>
    </xf>
    <xf numFmtId="167" fontId="41" fillId="0" borderId="9" xfId="9" applyNumberFormat="1" applyFont="1" applyBorder="1" applyAlignment="1">
      <alignment horizontal="center" vertical="top"/>
    </xf>
    <xf numFmtId="3" fontId="41" fillId="0" borderId="9" xfId="9" applyNumberFormat="1" applyFont="1" applyBorder="1" applyAlignment="1">
      <alignment horizontal="center" vertical="top"/>
    </xf>
    <xf numFmtId="3" fontId="41" fillId="0" borderId="10" xfId="9" applyNumberFormat="1" applyFont="1" applyBorder="1" applyAlignment="1">
      <alignment horizontal="center" vertical="center"/>
    </xf>
    <xf numFmtId="167" fontId="41" fillId="0" borderId="0" xfId="9" applyNumberFormat="1" applyFont="1" applyAlignment="1">
      <alignment horizontal="center" vertical="center"/>
    </xf>
    <xf numFmtId="0" fontId="0" fillId="0" borderId="9" xfId="0" applyBorder="1"/>
    <xf numFmtId="0" fontId="20" fillId="6" borderId="11" xfId="9" applyFont="1" applyFill="1" applyBorder="1" applyAlignment="1">
      <alignment horizontal="center" vertical="top" wrapText="1"/>
    </xf>
    <xf numFmtId="167" fontId="41" fillId="0" borderId="11" xfId="9" applyNumberFormat="1" applyFont="1" applyBorder="1" applyAlignment="1">
      <alignment horizontal="center" vertical="top"/>
    </xf>
    <xf numFmtId="0" fontId="9" fillId="0" borderId="11" xfId="0" applyFont="1" applyBorder="1" applyAlignment="1">
      <alignment horizontal="center"/>
    </xf>
    <xf numFmtId="0" fontId="0" fillId="0" borderId="9" xfId="0" applyBorder="1" applyAlignment="1">
      <alignment horizontal="center" vertical="center" wrapText="1"/>
    </xf>
    <xf numFmtId="165" fontId="0" fillId="0" borderId="9" xfId="0" applyNumberFormat="1" applyBorder="1" applyAlignment="1">
      <alignment horizontal="center" vertical="center"/>
    </xf>
    <xf numFmtId="165" fontId="0" fillId="0" borderId="9" xfId="0" applyNumberFormat="1" applyBorder="1" applyAlignment="1">
      <alignment horizontal="center"/>
    </xf>
    <xf numFmtId="4" fontId="42" fillId="2" borderId="9" xfId="0" applyNumberFormat="1" applyFont="1" applyFill="1" applyBorder="1" applyAlignment="1">
      <alignment horizontal="center" vertical="center"/>
    </xf>
    <xf numFmtId="165" fontId="11" fillId="2" borderId="9" xfId="5" applyNumberFormat="1" applyFont="1" applyFill="1" applyBorder="1" applyAlignment="1">
      <alignment horizontal="center" vertical="center"/>
    </xf>
    <xf numFmtId="166" fontId="11" fillId="0" borderId="9" xfId="0" applyNumberFormat="1" applyFont="1" applyBorder="1" applyAlignment="1">
      <alignment horizontal="center" vertical="center"/>
    </xf>
    <xf numFmtId="0" fontId="9" fillId="2" borderId="0" xfId="4" applyFont="1" applyFill="1" applyAlignment="1">
      <alignment vertical="center"/>
    </xf>
    <xf numFmtId="4" fontId="41" fillId="0" borderId="10" xfId="9" applyNumberFormat="1" applyFont="1" applyBorder="1" applyAlignment="1">
      <alignment horizontal="center" vertical="center"/>
    </xf>
    <xf numFmtId="167" fontId="41" fillId="7" borderId="0" xfId="9" applyNumberFormat="1" applyFont="1" applyFill="1" applyAlignment="1">
      <alignment horizontal="center" vertical="center"/>
    </xf>
    <xf numFmtId="0" fontId="9" fillId="0" borderId="0" xfId="17" applyFont="1" applyFill="1" applyBorder="1" applyAlignment="1">
      <alignment horizontal="left" vertical="top" wrapText="1"/>
    </xf>
    <xf numFmtId="0" fontId="8" fillId="0" borderId="0" xfId="17" applyFont="1" applyBorder="1" applyAlignment="1">
      <alignment horizontal="center"/>
    </xf>
    <xf numFmtId="0" fontId="9" fillId="0" borderId="0" xfId="17" quotePrefix="1" applyFont="1" applyBorder="1" applyAlignment="1">
      <alignment horizontal="center" vertical="center" wrapText="1"/>
    </xf>
    <xf numFmtId="0" fontId="9" fillId="0" borderId="0" xfId="17" applyFont="1" applyBorder="1" applyAlignment="1">
      <alignment horizontal="center" vertical="center" wrapText="1"/>
    </xf>
    <xf numFmtId="0" fontId="8" fillId="0" borderId="0" xfId="17" applyFont="1" applyAlignment="1">
      <alignment horizontal="center" vertical="center" wrapText="1"/>
    </xf>
    <xf numFmtId="0" fontId="9" fillId="0" borderId="0" xfId="17" applyFont="1" applyBorder="1" applyAlignment="1">
      <alignment horizontal="left" vertical="center" wrapText="1"/>
    </xf>
    <xf numFmtId="0" fontId="9" fillId="0" borderId="0" xfId="17" applyFont="1" applyBorder="1" applyAlignment="1">
      <alignment vertical="center" wrapText="1"/>
    </xf>
    <xf numFmtId="0" fontId="10" fillId="0" borderId="0" xfId="0" applyFont="1" applyBorder="1" applyAlignment="1">
      <alignment horizontal="left" wrapText="1"/>
    </xf>
    <xf numFmtId="0" fontId="9" fillId="0" borderId="0" xfId="17" applyFont="1" applyBorder="1" applyAlignment="1">
      <alignment horizontal="left" vertical="top" wrapText="1"/>
    </xf>
    <xf numFmtId="0" fontId="8" fillId="0" borderId="0" xfId="17" applyFont="1" applyBorder="1" applyAlignment="1">
      <alignment horizontal="center" vertical="center" wrapText="1"/>
    </xf>
    <xf numFmtId="0" fontId="9" fillId="0" borderId="0" xfId="17" applyFont="1" applyFill="1" applyBorder="1" applyAlignment="1">
      <alignment horizontal="left" vertical="center" wrapText="1"/>
    </xf>
    <xf numFmtId="49" fontId="9" fillId="0" borderId="0" xfId="17" applyNumberFormat="1" applyFont="1" applyFill="1" applyBorder="1" applyAlignment="1">
      <alignment horizontal="left" vertical="center" wrapText="1"/>
    </xf>
    <xf numFmtId="49" fontId="9" fillId="0" borderId="0" xfId="20" quotePrefix="1" applyNumberFormat="1" applyFont="1" applyAlignment="1">
      <alignment horizontal="left" vertical="center" wrapText="1"/>
    </xf>
    <xf numFmtId="0" fontId="8" fillId="0" borderId="0" xfId="19" applyFont="1" applyAlignment="1">
      <alignment horizontal="center"/>
    </xf>
    <xf numFmtId="0" fontId="8" fillId="0" borderId="0" xfId="19" applyFont="1" applyAlignment="1">
      <alignment horizontal="center" vertical="center" wrapText="1"/>
    </xf>
    <xf numFmtId="0" fontId="8" fillId="0" borderId="0" xfId="19" applyFont="1" applyAlignment="1">
      <alignment horizontal="left" vertical="center" wrapText="1"/>
    </xf>
    <xf numFmtId="49" fontId="9" fillId="0" borderId="0" xfId="20" applyNumberFormat="1" applyFont="1" applyAlignment="1">
      <alignment horizontal="left" wrapText="1"/>
    </xf>
    <xf numFmtId="0" fontId="30" fillId="0" borderId="0" xfId="19" applyFont="1" applyBorder="1" applyAlignment="1">
      <alignment horizontal="center"/>
    </xf>
    <xf numFmtId="0" fontId="13" fillId="0" borderId="0" xfId="17" applyFont="1" applyAlignment="1">
      <alignment horizontal="center" vertical="center"/>
    </xf>
    <xf numFmtId="0" fontId="13" fillId="0" borderId="0" xfId="17" applyFont="1" applyAlignment="1">
      <alignment horizontal="center" vertical="center" wrapText="1"/>
    </xf>
    <xf numFmtId="0" fontId="10" fillId="3" borderId="9" xfId="17" applyFont="1" applyFill="1" applyBorder="1" applyAlignment="1">
      <alignment horizontal="center" vertical="center" wrapText="1"/>
    </xf>
    <xf numFmtId="0" fontId="10" fillId="3" borderId="3" xfId="17" applyFont="1" applyFill="1" applyBorder="1" applyAlignment="1">
      <alignment horizontal="center" vertical="center" wrapText="1"/>
    </xf>
    <xf numFmtId="0" fontId="10" fillId="3" borderId="7" xfId="17" applyFont="1" applyFill="1" applyBorder="1" applyAlignment="1">
      <alignment horizontal="center" vertical="center" wrapText="1"/>
    </xf>
    <xf numFmtId="0" fontId="8" fillId="2" borderId="0" xfId="13" applyFont="1" applyFill="1" applyAlignment="1">
      <alignment horizontal="center" wrapText="1"/>
    </xf>
    <xf numFmtId="0" fontId="8" fillId="2" borderId="0" xfId="13" applyNumberFormat="1" applyFont="1" applyFill="1" applyAlignment="1">
      <alignment horizontal="center" vertical="center" wrapText="1"/>
    </xf>
    <xf numFmtId="0" fontId="25" fillId="11" borderId="9" xfId="16" applyNumberFormat="1" applyFont="1" applyFill="1" applyBorder="1" applyAlignment="1" applyProtection="1">
      <alignment horizontal="center" vertical="center" wrapText="1"/>
    </xf>
    <xf numFmtId="0" fontId="6" fillId="11" borderId="9" xfId="13" applyFont="1" applyFill="1" applyBorder="1" applyAlignment="1">
      <alignment horizontal="center" vertical="center" wrapText="1"/>
    </xf>
    <xf numFmtId="0" fontId="6" fillId="11" borderId="9" xfId="13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NumberFormat="1" applyFont="1" applyAlignment="1">
      <alignment horizontal="center" vertical="center" wrapText="1"/>
    </xf>
    <xf numFmtId="0" fontId="9" fillId="11" borderId="3" xfId="13" applyFont="1" applyFill="1" applyBorder="1" applyAlignment="1">
      <alignment horizontal="center" vertical="center" wrapText="1"/>
    </xf>
    <xf numFmtId="0" fontId="9" fillId="11" borderId="7" xfId="13" applyFont="1" applyFill="1" applyBorder="1" applyAlignment="1">
      <alignment horizontal="center" vertical="center" wrapText="1"/>
    </xf>
    <xf numFmtId="0" fontId="9" fillId="11" borderId="8" xfId="13" applyFont="1" applyFill="1" applyBorder="1" applyAlignment="1">
      <alignment horizontal="center" vertical="center" wrapText="1"/>
    </xf>
    <xf numFmtId="0" fontId="12" fillId="11" borderId="3" xfId="8" applyNumberFormat="1" applyFont="1" applyFill="1" applyBorder="1" applyAlignment="1" applyProtection="1">
      <alignment horizontal="center" vertical="center" wrapText="1"/>
    </xf>
    <xf numFmtId="0" fontId="12" fillId="11" borderId="7" xfId="8" applyNumberFormat="1" applyFont="1" applyFill="1" applyBorder="1" applyAlignment="1" applyProtection="1">
      <alignment horizontal="center" vertical="center" wrapText="1"/>
    </xf>
    <xf numFmtId="0" fontId="12" fillId="11" borderId="8" xfId="8" applyNumberFormat="1" applyFont="1" applyFill="1" applyBorder="1" applyAlignment="1" applyProtection="1">
      <alignment horizontal="center" vertical="center" wrapText="1"/>
    </xf>
    <xf numFmtId="0" fontId="9" fillId="11" borderId="3" xfId="0" applyFont="1" applyFill="1" applyBorder="1" applyAlignment="1">
      <alignment horizontal="center" vertical="center" wrapText="1"/>
    </xf>
    <xf numFmtId="0" fontId="9" fillId="11" borderId="7" xfId="0" applyFont="1" applyFill="1" applyBorder="1" applyAlignment="1">
      <alignment horizontal="center" vertical="center" wrapText="1"/>
    </xf>
    <xf numFmtId="0" fontId="9" fillId="11" borderId="8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8" fillId="0" borderId="0" xfId="4" applyFont="1" applyAlignment="1">
      <alignment horizontal="center" vertical="center" wrapText="1"/>
    </xf>
    <xf numFmtId="0" fontId="8" fillId="0" borderId="0" xfId="4" applyFont="1" applyAlignment="1">
      <alignment horizontal="center" vertical="center"/>
    </xf>
    <xf numFmtId="0" fontId="8" fillId="0" borderId="0" xfId="4" applyFont="1" applyFill="1" applyAlignment="1">
      <alignment horizontal="center"/>
    </xf>
    <xf numFmtId="0" fontId="9" fillId="2" borderId="0" xfId="4" applyFont="1" applyFill="1" applyAlignment="1">
      <alignment horizontal="left" vertical="center"/>
    </xf>
    <xf numFmtId="0" fontId="9" fillId="0" borderId="0" xfId="4" applyFont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17" fillId="0" borderId="0" xfId="7" applyFont="1" applyAlignment="1">
      <alignment horizontal="center" vertical="center" wrapText="1"/>
    </xf>
    <xf numFmtId="0" fontId="0" fillId="0" borderId="0" xfId="0" applyAlignment="1"/>
    <xf numFmtId="0" fontId="18" fillId="2" borderId="1" xfId="8" applyFont="1" applyFill="1" applyBorder="1" applyAlignment="1">
      <alignment horizontal="right"/>
    </xf>
    <xf numFmtId="0" fontId="18" fillId="2" borderId="0" xfId="8" applyFont="1" applyFill="1" applyBorder="1" applyAlignment="1">
      <alignment horizontal="right"/>
    </xf>
    <xf numFmtId="0" fontId="0" fillId="0" borderId="0" xfId="0" applyBorder="1" applyAlignment="1"/>
    <xf numFmtId="0" fontId="10" fillId="2" borderId="9" xfId="8" applyFont="1" applyFill="1" applyBorder="1" applyAlignment="1">
      <alignment horizontal="center" vertical="center"/>
    </xf>
    <xf numFmtId="0" fontId="10" fillId="2" borderId="4" xfId="8" applyFont="1" applyFill="1" applyBorder="1" applyAlignment="1">
      <alignment horizontal="center" vertical="center"/>
    </xf>
    <xf numFmtId="0" fontId="20" fillId="6" borderId="9" xfId="9" applyFont="1" applyFill="1" applyBorder="1" applyAlignment="1">
      <alignment horizontal="center" vertical="top" wrapText="1"/>
    </xf>
    <xf numFmtId="0" fontId="20" fillId="6" borderId="11" xfId="9" applyFont="1" applyFill="1" applyBorder="1" applyAlignment="1">
      <alignment horizontal="center" vertical="top" wrapText="1"/>
    </xf>
    <xf numFmtId="0" fontId="4" fillId="7" borderId="3" xfId="0" applyFont="1" applyFill="1" applyBorder="1" applyAlignment="1">
      <alignment horizontal="left" vertical="center" wrapText="1"/>
    </xf>
    <xf numFmtId="165" fontId="22" fillId="8" borderId="9" xfId="0" applyNumberFormat="1" applyFont="1" applyFill="1" applyBorder="1" applyAlignment="1">
      <alignment horizontal="center" vertical="center"/>
    </xf>
    <xf numFmtId="0" fontId="4" fillId="7" borderId="8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wrapText="1"/>
    </xf>
    <xf numFmtId="0" fontId="23" fillId="0" borderId="0" xfId="10" applyNumberFormat="1" applyFont="1" applyFill="1" applyBorder="1" applyAlignment="1" applyProtection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9" borderId="9" xfId="0" applyFont="1" applyFill="1" applyBorder="1" applyAlignment="1">
      <alignment horizontal="left" vertical="center"/>
    </xf>
    <xf numFmtId="0" fontId="9" fillId="0" borderId="0" xfId="0" applyFont="1" applyAlignment="1">
      <alignment horizontal="left" vertical="top" wrapText="1"/>
    </xf>
    <xf numFmtId="0" fontId="9" fillId="9" borderId="6" xfId="0" applyFont="1" applyFill="1" applyBorder="1" applyAlignment="1">
      <alignment horizontal="left" vertical="center" wrapText="1"/>
    </xf>
    <xf numFmtId="0" fontId="9" fillId="7" borderId="5" xfId="0" applyFont="1" applyFill="1" applyBorder="1" applyAlignment="1">
      <alignment horizontal="center" vertical="center"/>
    </xf>
    <xf numFmtId="0" fontId="9" fillId="7" borderId="6" xfId="0" applyFont="1" applyFill="1" applyBorder="1" applyAlignment="1">
      <alignment horizontal="center" vertical="center"/>
    </xf>
    <xf numFmtId="0" fontId="9" fillId="0" borderId="9" xfId="0" applyFont="1" applyBorder="1" applyAlignment="1">
      <alignment horizontal="left" wrapText="1"/>
    </xf>
    <xf numFmtId="0" fontId="19" fillId="0" borderId="4" xfId="0" applyFont="1" applyFill="1" applyBorder="1" applyAlignment="1">
      <alignment horizontal="center"/>
    </xf>
    <xf numFmtId="0" fontId="19" fillId="0" borderId="5" xfId="0" applyFont="1" applyFill="1" applyBorder="1" applyAlignment="1">
      <alignment horizontal="center"/>
    </xf>
    <xf numFmtId="0" fontId="19" fillId="0" borderId="6" xfId="0" applyFont="1" applyFill="1" applyBorder="1" applyAlignment="1">
      <alignment horizontal="center"/>
    </xf>
    <xf numFmtId="0" fontId="19" fillId="0" borderId="9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 wrapText="1"/>
    </xf>
    <xf numFmtId="0" fontId="31" fillId="12" borderId="4" xfId="0" applyFont="1" applyFill="1" applyBorder="1" applyAlignment="1">
      <alignment horizontal="left" vertical="center"/>
    </xf>
    <xf numFmtId="0" fontId="31" fillId="12" borderId="5" xfId="0" applyFont="1" applyFill="1" applyBorder="1" applyAlignment="1">
      <alignment horizontal="left" vertical="center"/>
    </xf>
    <xf numFmtId="0" fontId="31" fillId="12" borderId="6" xfId="0" applyFont="1" applyFill="1" applyBorder="1" applyAlignment="1">
      <alignment horizontal="left" vertical="center"/>
    </xf>
    <xf numFmtId="4" fontId="31" fillId="0" borderId="4" xfId="0" applyNumberFormat="1" applyFont="1" applyFill="1" applyBorder="1" applyAlignment="1">
      <alignment horizontal="left" vertical="center"/>
    </xf>
    <xf numFmtId="4" fontId="31" fillId="0" borderId="5" xfId="0" applyNumberFormat="1" applyFont="1" applyFill="1" applyBorder="1" applyAlignment="1">
      <alignment horizontal="left" vertical="center"/>
    </xf>
    <xf numFmtId="4" fontId="31" fillId="0" borderId="6" xfId="0" applyNumberFormat="1" applyFont="1" applyFill="1" applyBorder="1" applyAlignment="1">
      <alignment horizontal="left" vertical="center"/>
    </xf>
    <xf numFmtId="0" fontId="31" fillId="0" borderId="4" xfId="0" applyFont="1" applyFill="1" applyBorder="1" applyAlignment="1">
      <alignment horizontal="left"/>
    </xf>
    <xf numFmtId="0" fontId="31" fillId="0" borderId="5" xfId="0" applyFont="1" applyFill="1" applyBorder="1" applyAlignment="1">
      <alignment horizontal="left"/>
    </xf>
    <xf numFmtId="0" fontId="31" fillId="0" borderId="6" xfId="0" applyFont="1" applyFill="1" applyBorder="1" applyAlignment="1">
      <alignment horizontal="left"/>
    </xf>
    <xf numFmtId="4" fontId="31" fillId="0" borderId="4" xfId="0" applyNumberFormat="1" applyFont="1" applyFill="1" applyBorder="1" applyAlignment="1">
      <alignment horizontal="left" wrapText="1"/>
    </xf>
    <xf numFmtId="4" fontId="31" fillId="0" borderId="5" xfId="0" applyNumberFormat="1" applyFont="1" applyFill="1" applyBorder="1" applyAlignment="1">
      <alignment horizontal="left" wrapText="1"/>
    </xf>
    <xf numFmtId="4" fontId="31" fillId="0" borderId="6" xfId="0" applyNumberFormat="1" applyFont="1" applyFill="1" applyBorder="1" applyAlignment="1">
      <alignment horizontal="left" wrapText="1"/>
    </xf>
    <xf numFmtId="49" fontId="19" fillId="0" borderId="9" xfId="0" applyNumberFormat="1" applyFont="1" applyFill="1" applyBorder="1" applyAlignment="1">
      <alignment horizontal="center" vertical="center" wrapText="1"/>
    </xf>
    <xf numFmtId="0" fontId="31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horizontal="left" vertical="center"/>
    </xf>
    <xf numFmtId="0" fontId="31" fillId="0" borderId="6" xfId="0" applyFont="1" applyFill="1" applyBorder="1" applyAlignment="1">
      <alignment horizontal="left" vertical="center"/>
    </xf>
    <xf numFmtId="49" fontId="19" fillId="0" borderId="1" xfId="0" applyNumberFormat="1" applyFont="1" applyFill="1" applyBorder="1" applyAlignment="1">
      <alignment horizontal="center" vertical="top"/>
    </xf>
    <xf numFmtId="4" fontId="31" fillId="0" borderId="0" xfId="0" applyNumberFormat="1" applyFont="1" applyFill="1" applyAlignment="1">
      <alignment horizontal="center" vertical="center"/>
    </xf>
    <xf numFmtId="0" fontId="33" fillId="0" borderId="0" xfId="0" applyFont="1" applyFill="1" applyBorder="1" applyAlignment="1">
      <alignment horizontal="center" vertical="center" wrapText="1"/>
    </xf>
    <xf numFmtId="4" fontId="32" fillId="0" borderId="0" xfId="0" applyNumberFormat="1" applyFont="1" applyFill="1" applyAlignment="1">
      <alignment horizontal="center" vertical="center"/>
    </xf>
    <xf numFmtId="0" fontId="34" fillId="0" borderId="1" xfId="0" applyFont="1" applyFill="1" applyBorder="1" applyAlignment="1">
      <alignment horizontal="center"/>
    </xf>
    <xf numFmtId="169" fontId="19" fillId="0" borderId="9" xfId="0" applyNumberFormat="1" applyFont="1" applyFill="1" applyBorder="1" applyAlignment="1">
      <alignment horizontal="right"/>
    </xf>
    <xf numFmtId="0" fontId="19" fillId="0" borderId="9" xfId="0" applyFont="1" applyFill="1" applyBorder="1" applyAlignment="1">
      <alignment horizontal="right"/>
    </xf>
    <xf numFmtId="4" fontId="31" fillId="0" borderId="4" xfId="0" applyNumberFormat="1" applyFont="1" applyFill="1" applyBorder="1" applyAlignment="1">
      <alignment horizontal="left"/>
    </xf>
    <xf numFmtId="4" fontId="31" fillId="0" borderId="5" xfId="0" applyNumberFormat="1" applyFont="1" applyFill="1" applyBorder="1" applyAlignment="1">
      <alignment horizontal="left"/>
    </xf>
    <xf numFmtId="4" fontId="31" fillId="0" borderId="6" xfId="0" applyNumberFormat="1" applyFont="1" applyFill="1" applyBorder="1" applyAlignment="1">
      <alignment horizontal="left"/>
    </xf>
    <xf numFmtId="0" fontId="31" fillId="0" borderId="4" xfId="0" applyFont="1" applyFill="1" applyBorder="1" applyAlignment="1">
      <alignment horizontal="left" vertical="center" wrapText="1"/>
    </xf>
    <xf numFmtId="0" fontId="31" fillId="0" borderId="5" xfId="0" applyFont="1" applyFill="1" applyBorder="1" applyAlignment="1">
      <alignment horizontal="left" vertical="center" wrapText="1"/>
    </xf>
    <xf numFmtId="0" fontId="31" fillId="0" borderId="6" xfId="0" applyFont="1" applyFill="1" applyBorder="1" applyAlignment="1">
      <alignment horizontal="left" vertical="center" wrapText="1"/>
    </xf>
    <xf numFmtId="0" fontId="8" fillId="0" borderId="0" xfId="4" applyFont="1" applyAlignment="1">
      <alignment horizontal="center" wrapText="1"/>
    </xf>
    <xf numFmtId="0" fontId="43" fillId="0" borderId="0" xfId="0" applyFont="1" applyAlignment="1">
      <alignment horizontal="center" vertical="center"/>
    </xf>
    <xf numFmtId="0" fontId="43" fillId="0" borderId="0" xfId="0" applyFont="1"/>
    <xf numFmtId="0" fontId="8" fillId="0" borderId="0" xfId="4" applyFont="1" applyAlignment="1">
      <alignment horizontal="center" vertical="top" wrapText="1"/>
    </xf>
    <xf numFmtId="0" fontId="8" fillId="3" borderId="12" xfId="5" applyFont="1" applyFill="1" applyBorder="1" applyAlignment="1">
      <alignment horizontal="center" vertical="center" wrapText="1"/>
    </xf>
    <xf numFmtId="0" fontId="8" fillId="3" borderId="13" xfId="4" applyFont="1" applyFill="1" applyBorder="1" applyAlignment="1">
      <alignment horizontal="center" vertical="center"/>
    </xf>
    <xf numFmtId="0" fontId="8" fillId="3" borderId="14" xfId="4" applyFont="1" applyFill="1" applyBorder="1" applyAlignment="1">
      <alignment horizontal="center" vertical="center" wrapText="1"/>
    </xf>
    <xf numFmtId="0" fontId="8" fillId="3" borderId="15" xfId="4" applyFont="1" applyFill="1" applyBorder="1" applyAlignment="1">
      <alignment horizontal="center" vertical="center" wrapText="1"/>
    </xf>
    <xf numFmtId="0" fontId="8" fillId="3" borderId="16" xfId="4" applyFont="1" applyFill="1" applyBorder="1" applyAlignment="1">
      <alignment horizontal="center" vertical="center"/>
    </xf>
    <xf numFmtId="0" fontId="8" fillId="3" borderId="17" xfId="4" applyFont="1" applyFill="1" applyBorder="1" applyAlignment="1">
      <alignment horizontal="center" vertical="center"/>
    </xf>
    <xf numFmtId="0" fontId="8" fillId="3" borderId="18" xfId="4" applyFont="1" applyFill="1" applyBorder="1" applyAlignment="1">
      <alignment horizontal="center" vertical="center"/>
    </xf>
    <xf numFmtId="0" fontId="8" fillId="3" borderId="19" xfId="5" applyFont="1" applyFill="1" applyBorder="1" applyAlignment="1">
      <alignment horizontal="center" vertical="center" wrapText="1"/>
    </xf>
    <xf numFmtId="0" fontId="8" fillId="3" borderId="20" xfId="4" applyFont="1" applyFill="1" applyBorder="1" applyAlignment="1">
      <alignment horizontal="center" vertical="center"/>
    </xf>
    <xf numFmtId="0" fontId="8" fillId="3" borderId="21" xfId="4" applyFont="1" applyFill="1" applyBorder="1" applyAlignment="1">
      <alignment horizontal="center" vertical="center" wrapText="1"/>
    </xf>
    <xf numFmtId="0" fontId="8" fillId="3" borderId="22" xfId="4" applyFont="1" applyFill="1" applyBorder="1" applyAlignment="1">
      <alignment horizontal="center" vertical="center" wrapText="1"/>
    </xf>
    <xf numFmtId="0" fontId="8" fillId="3" borderId="23" xfId="4" applyFont="1" applyFill="1" applyBorder="1" applyAlignment="1">
      <alignment horizontal="center" vertical="center"/>
    </xf>
    <xf numFmtId="0" fontId="8" fillId="3" borderId="24" xfId="4" applyFont="1" applyFill="1" applyBorder="1" applyAlignment="1">
      <alignment horizontal="center" vertical="center"/>
    </xf>
    <xf numFmtId="0" fontId="8" fillId="3" borderId="15" xfId="4" applyFont="1" applyFill="1" applyBorder="1" applyAlignment="1">
      <alignment horizontal="center" vertical="center"/>
    </xf>
    <xf numFmtId="0" fontId="8" fillId="3" borderId="25" xfId="5" applyFont="1" applyFill="1" applyBorder="1" applyAlignment="1">
      <alignment horizontal="center" vertical="center" wrapText="1"/>
    </xf>
    <xf numFmtId="0" fontId="8" fillId="3" borderId="11" xfId="4" applyFont="1" applyFill="1" applyBorder="1" applyAlignment="1">
      <alignment horizontal="center" vertical="center"/>
    </xf>
    <xf numFmtId="0" fontId="8" fillId="3" borderId="26" xfId="4" applyFont="1" applyFill="1" applyBorder="1" applyAlignment="1">
      <alignment horizontal="center" vertical="center" wrapText="1"/>
    </xf>
    <xf numFmtId="0" fontId="8" fillId="3" borderId="27" xfId="4" applyFont="1" applyFill="1" applyBorder="1" applyAlignment="1">
      <alignment horizontal="center" vertical="center" wrapText="1"/>
    </xf>
    <xf numFmtId="49" fontId="8" fillId="3" borderId="25" xfId="4" applyNumberFormat="1" applyFont="1" applyFill="1" applyBorder="1" applyAlignment="1">
      <alignment horizontal="center" vertical="center"/>
    </xf>
    <xf numFmtId="49" fontId="8" fillId="3" borderId="9" xfId="4" applyNumberFormat="1" applyFont="1" applyFill="1" applyBorder="1" applyAlignment="1">
      <alignment horizontal="center" vertical="center"/>
    </xf>
    <xf numFmtId="49" fontId="8" fillId="3" borderId="28" xfId="4" applyNumberFormat="1" applyFont="1" applyFill="1" applyBorder="1" applyAlignment="1">
      <alignment horizontal="center" vertical="center"/>
    </xf>
    <xf numFmtId="49" fontId="8" fillId="3" borderId="6" xfId="4" applyNumberFormat="1" applyFont="1" applyFill="1" applyBorder="1" applyAlignment="1">
      <alignment horizontal="center" vertical="center"/>
    </xf>
    <xf numFmtId="49" fontId="8" fillId="0" borderId="25" xfId="5" applyNumberFormat="1" applyFont="1" applyBorder="1" applyAlignment="1">
      <alignment horizontal="center" vertical="center" wrapText="1"/>
    </xf>
    <xf numFmtId="49" fontId="8" fillId="0" borderId="11" xfId="5" applyNumberFormat="1" applyFont="1" applyBorder="1" applyAlignment="1">
      <alignment horizontal="left" vertical="center" wrapText="1"/>
    </xf>
    <xf numFmtId="0" fontId="43" fillId="0" borderId="29" xfId="0" applyFont="1" applyBorder="1" applyAlignment="1">
      <alignment horizontal="center" vertical="center"/>
    </xf>
    <xf numFmtId="0" fontId="43" fillId="0" borderId="27" xfId="0" applyFont="1" applyBorder="1" applyAlignment="1">
      <alignment horizontal="center" vertical="center"/>
    </xf>
    <xf numFmtId="0" fontId="43" fillId="0" borderId="25" xfId="0" applyFont="1" applyBorder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0" fontId="43" fillId="0" borderId="28" xfId="0" applyFont="1" applyBorder="1" applyAlignment="1">
      <alignment horizontal="center" vertical="center"/>
    </xf>
    <xf numFmtId="0" fontId="43" fillId="0" borderId="6" xfId="0" applyFont="1" applyBorder="1" applyAlignment="1">
      <alignment horizontal="center" vertical="center"/>
    </xf>
    <xf numFmtId="49" fontId="9" fillId="0" borderId="25" xfId="5" applyNumberFormat="1" applyFont="1" applyBorder="1" applyAlignment="1">
      <alignment horizontal="center" vertical="center" wrapText="1"/>
    </xf>
    <xf numFmtId="49" fontId="9" fillId="0" borderId="11" xfId="5" applyNumberFormat="1" applyFont="1" applyBorder="1" applyAlignment="1">
      <alignment horizontal="left" vertical="center" wrapText="1"/>
    </xf>
    <xf numFmtId="14" fontId="43" fillId="0" borderId="26" xfId="0" applyNumberFormat="1" applyFont="1" applyBorder="1" applyAlignment="1">
      <alignment horizontal="center" vertical="center"/>
    </xf>
    <xf numFmtId="14" fontId="43" fillId="7" borderId="26" xfId="0" applyNumberFormat="1" applyFont="1" applyFill="1" applyBorder="1" applyAlignment="1">
      <alignment horizontal="center" vertical="center"/>
    </xf>
    <xf numFmtId="0" fontId="43" fillId="2" borderId="25" xfId="0" applyFont="1" applyFill="1" applyBorder="1" applyAlignment="1">
      <alignment horizontal="center" vertical="center"/>
    </xf>
    <xf numFmtId="0" fontId="43" fillId="2" borderId="9" xfId="0" applyFont="1" applyFill="1" applyBorder="1" applyAlignment="1">
      <alignment horizontal="center" vertical="center"/>
    </xf>
    <xf numFmtId="0" fontId="43" fillId="13" borderId="9" xfId="0" applyFont="1" applyFill="1" applyBorder="1" applyAlignment="1">
      <alignment horizontal="center" vertical="center"/>
    </xf>
    <xf numFmtId="0" fontId="43" fillId="13" borderId="28" xfId="0" applyFont="1" applyFill="1" applyBorder="1" applyAlignment="1">
      <alignment horizontal="center" vertical="center"/>
    </xf>
    <xf numFmtId="0" fontId="43" fillId="13" borderId="25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43" fillId="0" borderId="28" xfId="0" applyFont="1" applyFill="1" applyBorder="1" applyAlignment="1">
      <alignment horizontal="center" vertical="center"/>
    </xf>
    <xf numFmtId="0" fontId="43" fillId="0" borderId="21" xfId="0" applyFont="1" applyBorder="1" applyAlignment="1">
      <alignment horizontal="center" vertical="center"/>
    </xf>
    <xf numFmtId="0" fontId="43" fillId="0" borderId="25" xfId="0" applyFont="1" applyFill="1" applyBorder="1" applyAlignment="1">
      <alignment horizontal="center" vertical="center"/>
    </xf>
    <xf numFmtId="49" fontId="9" fillId="0" borderId="25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 wrapText="1"/>
    </xf>
    <xf numFmtId="0" fontId="44" fillId="2" borderId="25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4" fillId="14" borderId="9" xfId="0" applyFont="1" applyFill="1" applyBorder="1" applyAlignment="1">
      <alignment horizontal="center" vertical="center"/>
    </xf>
    <xf numFmtId="0" fontId="44" fillId="0" borderId="28" xfId="0" applyFont="1" applyFill="1" applyBorder="1" applyAlignment="1">
      <alignment horizontal="center" vertical="center"/>
    </xf>
    <xf numFmtId="0" fontId="44" fillId="0" borderId="25" xfId="0" applyFont="1" applyFill="1" applyBorder="1" applyAlignment="1">
      <alignment horizontal="center" vertical="center"/>
    </xf>
    <xf numFmtId="0" fontId="44" fillId="0" borderId="25" xfId="0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0" fontId="44" fillId="0" borderId="28" xfId="0" applyFont="1" applyBorder="1" applyAlignment="1">
      <alignment horizontal="center" vertical="center"/>
    </xf>
    <xf numFmtId="0" fontId="44" fillId="0" borderId="6" xfId="0" applyFont="1" applyBorder="1" applyAlignment="1">
      <alignment horizontal="center" vertical="center"/>
    </xf>
    <xf numFmtId="0" fontId="43" fillId="14" borderId="28" xfId="0" applyFont="1" applyFill="1" applyBorder="1" applyAlignment="1">
      <alignment horizontal="center" vertical="center"/>
    </xf>
    <xf numFmtId="0" fontId="43" fillId="14" borderId="9" xfId="0" applyFont="1" applyFill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3" fillId="14" borderId="25" xfId="0" applyFont="1" applyFill="1" applyBorder="1" applyAlignment="1">
      <alignment horizontal="center" vertical="center"/>
    </xf>
    <xf numFmtId="0" fontId="43" fillId="0" borderId="6" xfId="0" applyFont="1" applyFill="1" applyBorder="1" applyAlignment="1">
      <alignment horizontal="center" vertical="center"/>
    </xf>
    <xf numFmtId="0" fontId="43" fillId="2" borderId="28" xfId="0" applyFont="1" applyFill="1" applyBorder="1" applyAlignment="1">
      <alignment horizontal="center" vertical="center"/>
    </xf>
    <xf numFmtId="49" fontId="8" fillId="0" borderId="30" xfId="0" applyNumberFormat="1" applyFont="1" applyBorder="1" applyAlignment="1">
      <alignment horizontal="center" vertical="center"/>
    </xf>
    <xf numFmtId="0" fontId="8" fillId="0" borderId="31" xfId="0" applyFont="1" applyBorder="1" applyAlignment="1">
      <alignment horizontal="left" vertical="center" wrapText="1"/>
    </xf>
    <xf numFmtId="14" fontId="45" fillId="0" borderId="30" xfId="0" applyNumberFormat="1" applyFont="1" applyBorder="1" applyAlignment="1">
      <alignment horizontal="center" vertical="center"/>
    </xf>
    <xf numFmtId="14" fontId="45" fillId="7" borderId="32" xfId="0" applyNumberFormat="1" applyFont="1" applyFill="1" applyBorder="1" applyAlignment="1">
      <alignment horizontal="center" vertical="center"/>
    </xf>
    <xf numFmtId="0" fontId="45" fillId="2" borderId="30" xfId="0" applyFont="1" applyFill="1" applyBorder="1" applyAlignment="1">
      <alignment horizontal="center" vertical="center"/>
    </xf>
    <xf numFmtId="0" fontId="45" fillId="2" borderId="32" xfId="0" applyFont="1" applyFill="1" applyBorder="1" applyAlignment="1">
      <alignment horizontal="center" vertical="center"/>
    </xf>
    <xf numFmtId="0" fontId="45" fillId="0" borderId="30" xfId="0" applyFont="1" applyBorder="1" applyAlignment="1">
      <alignment horizontal="center" vertical="center"/>
    </xf>
    <xf numFmtId="0" fontId="45" fillId="0" borderId="32" xfId="0" applyFont="1" applyBorder="1" applyAlignment="1">
      <alignment horizontal="center" vertical="center"/>
    </xf>
    <xf numFmtId="0" fontId="45" fillId="0" borderId="33" xfId="0" applyFont="1" applyBorder="1" applyAlignment="1">
      <alignment horizontal="center" vertical="center"/>
    </xf>
    <xf numFmtId="0" fontId="45" fillId="0" borderId="34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45" fillId="14" borderId="34" xfId="0" applyFont="1" applyFill="1" applyBorder="1" applyAlignment="1">
      <alignment horizontal="center" vertical="center"/>
    </xf>
    <xf numFmtId="0" fontId="45" fillId="14" borderId="33" xfId="0" applyFont="1" applyFill="1" applyBorder="1" applyAlignment="1">
      <alignment horizontal="center" vertical="center"/>
    </xf>
    <xf numFmtId="0" fontId="45" fillId="0" borderId="33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/>
    </xf>
    <xf numFmtId="0" fontId="9" fillId="9" borderId="2" xfId="0" applyFont="1" applyFill="1" applyBorder="1" applyAlignment="1">
      <alignment horizontal="left" vertical="top"/>
    </xf>
    <xf numFmtId="2" fontId="0" fillId="0" borderId="9" xfId="0" applyNumberFormat="1" applyBorder="1"/>
    <xf numFmtId="0" fontId="9" fillId="9" borderId="1" xfId="0" applyFont="1" applyFill="1" applyBorder="1" applyAlignment="1">
      <alignment horizontal="left" vertical="top"/>
    </xf>
    <xf numFmtId="171" fontId="0" fillId="0" borderId="9" xfId="22" applyNumberFormat="1" applyFont="1" applyBorder="1"/>
    <xf numFmtId="10" fontId="9" fillId="9" borderId="11" xfId="0" applyNumberFormat="1" applyFont="1" applyFill="1" applyBorder="1" applyAlignment="1">
      <alignment vertical="center"/>
    </xf>
    <xf numFmtId="0" fontId="9" fillId="9" borderId="9" xfId="0" applyFont="1" applyFill="1" applyBorder="1" applyAlignment="1">
      <alignment vertical="center"/>
    </xf>
    <xf numFmtId="0" fontId="9" fillId="7" borderId="11" xfId="0" applyFont="1" applyFill="1" applyBorder="1" applyAlignment="1">
      <alignment horizontal="center" vertical="center" wrapText="1"/>
    </xf>
    <xf numFmtId="0" fontId="9" fillId="7" borderId="5" xfId="0" applyFont="1" applyFill="1" applyBorder="1" applyAlignment="1">
      <alignment horizontal="center" vertical="center" wrapText="1"/>
    </xf>
    <xf numFmtId="0" fontId="9" fillId="7" borderId="6" xfId="0" applyFont="1" applyFill="1" applyBorder="1" applyAlignment="1">
      <alignment horizontal="center" vertical="center" wrapText="1"/>
    </xf>
    <xf numFmtId="168" fontId="0" fillId="7" borderId="9" xfId="0" applyNumberFormat="1" applyFill="1" applyBorder="1"/>
    <xf numFmtId="168" fontId="0" fillId="0" borderId="0" xfId="0" applyNumberFormat="1"/>
    <xf numFmtId="0" fontId="9" fillId="9" borderId="11" xfId="0" applyFont="1" applyFill="1" applyBorder="1" applyAlignment="1">
      <alignment horizontal="left" vertical="center" wrapText="1"/>
    </xf>
    <xf numFmtId="165" fontId="22" fillId="10" borderId="9" xfId="0" applyNumberFormat="1" applyFont="1" applyFill="1" applyBorder="1" applyAlignment="1">
      <alignment horizontal="right" vertical="center"/>
    </xf>
    <xf numFmtId="14" fontId="0" fillId="0" borderId="0" xfId="0" applyNumberFormat="1" applyBorder="1"/>
    <xf numFmtId="14" fontId="0" fillId="0" borderId="0" xfId="0" applyNumberFormat="1"/>
    <xf numFmtId="0" fontId="9" fillId="7" borderId="11" xfId="0" applyFont="1" applyFill="1" applyBorder="1" applyAlignment="1">
      <alignment horizontal="center" vertical="center"/>
    </xf>
    <xf numFmtId="165" fontId="9" fillId="0" borderId="0" xfId="0" applyNumberFormat="1" applyFont="1" applyFill="1" applyBorder="1" applyAlignment="1">
      <alignment horizontal="center" vertical="center"/>
    </xf>
    <xf numFmtId="0" fontId="46" fillId="0" borderId="0" xfId="19" applyFont="1" applyFill="1" applyAlignment="1">
      <alignment horizontal="left" vertical="center" wrapText="1"/>
    </xf>
  </cellXfs>
  <cellStyles count="23">
    <cellStyle name="Обычный" xfId="0" builtinId="0"/>
    <cellStyle name="Обычный 10" xfId="13"/>
    <cellStyle name="Обычный 14" xfId="1"/>
    <cellStyle name="Обычный 2" xfId="3"/>
    <cellStyle name="Обычный 2 2" xfId="15"/>
    <cellStyle name="Обычный 2 3" xfId="9"/>
    <cellStyle name="Обычный 2 4" xfId="12"/>
    <cellStyle name="Обычный 3 2 3" xfId="11"/>
    <cellStyle name="Обычный 3 3" xfId="10"/>
    <cellStyle name="Обычный 3 3 2" xfId="4"/>
    <cellStyle name="Обычный 3 3 4" xfId="19"/>
    <cellStyle name="Обычный 3 5" xfId="6"/>
    <cellStyle name="Обычный 4" xfId="5"/>
    <cellStyle name="Обычный 4 3" xfId="18"/>
    <cellStyle name="Обычный 4 3 2" xfId="17"/>
    <cellStyle name="Обычный 5" xfId="8"/>
    <cellStyle name="Обычный 5 3" xfId="16"/>
    <cellStyle name="Обычный 5 4" xfId="20"/>
    <cellStyle name="Обычный 7" xfId="7"/>
    <cellStyle name="Процентный" xfId="22" builtinId="5"/>
    <cellStyle name="СводРасч" xfId="14"/>
    <cellStyle name="Финансовый" xfId="21" builtinId="3"/>
    <cellStyle name="Хвост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atarinov\AppData\Roaming\Microsoft\AddIns\sumprop.xl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definedNames>
      <definedName name="СуммаПрописью"/>
    </definedNames>
    <sheetDataSet>
      <sheetData sheetId="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6"/>
  <sheetViews>
    <sheetView topLeftCell="A3" zoomScaleNormal="85" workbookViewId="0">
      <selection activeCell="B18" sqref="B18"/>
    </sheetView>
  </sheetViews>
  <sheetFormatPr defaultColWidth="8.85546875" defaultRowHeight="15" x14ac:dyDescent="0.25"/>
  <cols>
    <col min="1" max="1" width="8.85546875" style="380"/>
    <col min="2" max="2" width="55.140625" style="380" customWidth="1"/>
    <col min="3" max="3" width="20" style="379" customWidth="1"/>
    <col min="4" max="4" width="20.28515625" style="379" customWidth="1"/>
    <col min="5" max="20" width="4.7109375" style="379" hidden="1" customWidth="1"/>
    <col min="21" max="21" width="0" style="380" hidden="1" customWidth="1"/>
    <col min="22" max="16384" width="8.85546875" style="380"/>
  </cols>
  <sheetData>
    <row r="1" spans="1:20" ht="45" customHeight="1" x14ac:dyDescent="0.25">
      <c r="A1" s="378" t="s">
        <v>262</v>
      </c>
      <c r="B1" s="378"/>
      <c r="C1" s="378"/>
      <c r="D1" s="378"/>
    </row>
    <row r="2" spans="1:20" ht="45" customHeight="1" thickBot="1" x14ac:dyDescent="0.3">
      <c r="A2" s="381" t="s">
        <v>263</v>
      </c>
      <c r="B2" s="381"/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381"/>
      <c r="Q2" s="381"/>
      <c r="R2" s="381"/>
      <c r="S2" s="381"/>
      <c r="T2" s="381"/>
    </row>
    <row r="3" spans="1:20" ht="15" customHeight="1" thickBot="1" x14ac:dyDescent="0.3">
      <c r="A3" s="382" t="s">
        <v>12</v>
      </c>
      <c r="B3" s="383" t="s">
        <v>13</v>
      </c>
      <c r="C3" s="384" t="s">
        <v>50</v>
      </c>
      <c r="D3" s="385" t="s">
        <v>51</v>
      </c>
      <c r="E3" s="386">
        <v>2023</v>
      </c>
      <c r="F3" s="387"/>
      <c r="G3" s="387"/>
      <c r="H3" s="387"/>
      <c r="I3" s="387"/>
      <c r="J3" s="387"/>
      <c r="K3" s="387"/>
      <c r="L3" s="387"/>
      <c r="M3" s="387"/>
      <c r="N3" s="387"/>
      <c r="O3" s="387"/>
      <c r="P3" s="387"/>
      <c r="Q3" s="387"/>
      <c r="R3" s="387"/>
      <c r="S3" s="387"/>
      <c r="T3" s="388"/>
    </row>
    <row r="4" spans="1:20" ht="15" customHeight="1" x14ac:dyDescent="0.25">
      <c r="A4" s="389"/>
      <c r="B4" s="390"/>
      <c r="C4" s="391"/>
      <c r="D4" s="392"/>
      <c r="E4" s="393" t="s">
        <v>42</v>
      </c>
      <c r="F4" s="394"/>
      <c r="G4" s="394"/>
      <c r="H4" s="395"/>
      <c r="I4" s="393" t="s">
        <v>43</v>
      </c>
      <c r="J4" s="394"/>
      <c r="K4" s="394"/>
      <c r="L4" s="395"/>
      <c r="M4" s="393" t="s">
        <v>44</v>
      </c>
      <c r="N4" s="394"/>
      <c r="O4" s="394"/>
      <c r="P4" s="395"/>
      <c r="Q4" s="394" t="s">
        <v>45</v>
      </c>
      <c r="R4" s="394"/>
      <c r="S4" s="394"/>
      <c r="T4" s="395"/>
    </row>
    <row r="5" spans="1:20" ht="15" customHeight="1" x14ac:dyDescent="0.25">
      <c r="A5" s="396"/>
      <c r="B5" s="397"/>
      <c r="C5" s="398"/>
      <c r="D5" s="399"/>
      <c r="E5" s="400" t="s">
        <v>61</v>
      </c>
      <c r="F5" s="401" t="s">
        <v>27</v>
      </c>
      <c r="G5" s="401" t="s">
        <v>264</v>
      </c>
      <c r="H5" s="402" t="s">
        <v>265</v>
      </c>
      <c r="I5" s="400" t="s">
        <v>61</v>
      </c>
      <c r="J5" s="401" t="s">
        <v>27</v>
      </c>
      <c r="K5" s="401" t="s">
        <v>264</v>
      </c>
      <c r="L5" s="402" t="s">
        <v>265</v>
      </c>
      <c r="M5" s="400" t="s">
        <v>61</v>
      </c>
      <c r="N5" s="401" t="s">
        <v>27</v>
      </c>
      <c r="O5" s="401" t="s">
        <v>264</v>
      </c>
      <c r="P5" s="402" t="s">
        <v>265</v>
      </c>
      <c r="Q5" s="403" t="s">
        <v>61</v>
      </c>
      <c r="R5" s="401" t="s">
        <v>27</v>
      </c>
      <c r="S5" s="401" t="s">
        <v>264</v>
      </c>
      <c r="T5" s="402" t="s">
        <v>265</v>
      </c>
    </row>
    <row r="6" spans="1:20" ht="45" customHeight="1" x14ac:dyDescent="0.25">
      <c r="A6" s="404" t="s">
        <v>61</v>
      </c>
      <c r="B6" s="405" t="s">
        <v>60</v>
      </c>
      <c r="C6" s="406" t="s">
        <v>169</v>
      </c>
      <c r="D6" s="407"/>
      <c r="E6" s="408"/>
      <c r="F6" s="409"/>
      <c r="G6" s="409"/>
      <c r="H6" s="410"/>
      <c r="I6" s="408"/>
      <c r="J6" s="409"/>
      <c r="K6" s="409"/>
      <c r="L6" s="410"/>
      <c r="M6" s="408"/>
      <c r="N6" s="409"/>
      <c r="O6" s="409"/>
      <c r="P6" s="410"/>
      <c r="Q6" s="411"/>
      <c r="R6" s="409"/>
      <c r="S6" s="409"/>
      <c r="T6" s="410"/>
    </row>
    <row r="7" spans="1:20" ht="45" customHeight="1" x14ac:dyDescent="0.25">
      <c r="A7" s="412" t="s">
        <v>22</v>
      </c>
      <c r="B7" s="413" t="s">
        <v>23</v>
      </c>
      <c r="C7" s="414" t="s">
        <v>266</v>
      </c>
      <c r="D7" s="415">
        <v>45290</v>
      </c>
      <c r="E7" s="416"/>
      <c r="F7" s="417"/>
      <c r="G7" s="418"/>
      <c r="H7" s="419"/>
      <c r="I7" s="420"/>
      <c r="J7" s="421"/>
      <c r="K7" s="421"/>
      <c r="L7" s="422"/>
      <c r="M7" s="408"/>
      <c r="N7" s="409"/>
      <c r="O7" s="409"/>
      <c r="P7" s="410"/>
      <c r="Q7" s="411"/>
      <c r="R7" s="409"/>
      <c r="S7" s="409"/>
      <c r="T7" s="410"/>
    </row>
    <row r="8" spans="1:20" ht="45" customHeight="1" x14ac:dyDescent="0.25">
      <c r="A8" s="404" t="s">
        <v>27</v>
      </c>
      <c r="B8" s="405" t="s">
        <v>25</v>
      </c>
      <c r="C8" s="423"/>
      <c r="D8" s="407"/>
      <c r="E8" s="408"/>
      <c r="F8" s="421"/>
      <c r="G8" s="421"/>
      <c r="H8" s="422"/>
      <c r="I8" s="424"/>
      <c r="J8" s="421"/>
      <c r="K8" s="421"/>
      <c r="L8" s="422"/>
      <c r="M8" s="408"/>
      <c r="N8" s="409"/>
      <c r="O8" s="409"/>
      <c r="P8" s="410"/>
      <c r="Q8" s="411"/>
      <c r="R8" s="409"/>
      <c r="S8" s="409"/>
      <c r="T8" s="410"/>
    </row>
    <row r="9" spans="1:20" ht="45" customHeight="1" x14ac:dyDescent="0.25">
      <c r="A9" s="425" t="s">
        <v>267</v>
      </c>
      <c r="B9" s="426" t="s">
        <v>156</v>
      </c>
      <c r="C9" s="414" t="s">
        <v>266</v>
      </c>
      <c r="D9" s="415">
        <v>45408</v>
      </c>
      <c r="E9" s="427"/>
      <c r="F9" s="428"/>
      <c r="G9" s="429"/>
      <c r="H9" s="430"/>
      <c r="I9" s="431"/>
      <c r="J9" s="428"/>
      <c r="K9" s="428"/>
      <c r="L9" s="430"/>
      <c r="M9" s="432"/>
      <c r="N9" s="433"/>
      <c r="O9" s="433"/>
      <c r="P9" s="434"/>
      <c r="Q9" s="435"/>
      <c r="R9" s="433"/>
      <c r="S9" s="433"/>
      <c r="T9" s="434"/>
    </row>
    <row r="10" spans="1:20" ht="45" customHeight="1" x14ac:dyDescent="0.25">
      <c r="A10" s="425" t="s">
        <v>29</v>
      </c>
      <c r="B10" s="426" t="s">
        <v>268</v>
      </c>
      <c r="C10" s="414" t="s">
        <v>266</v>
      </c>
      <c r="D10" s="415">
        <v>45443</v>
      </c>
      <c r="E10" s="408"/>
      <c r="F10" s="417"/>
      <c r="G10" s="421"/>
      <c r="H10" s="436"/>
      <c r="I10" s="424"/>
      <c r="J10" s="421"/>
      <c r="K10" s="421"/>
      <c r="L10" s="422"/>
      <c r="M10" s="408"/>
      <c r="N10" s="409"/>
      <c r="O10" s="409"/>
      <c r="P10" s="410"/>
      <c r="Q10" s="411"/>
      <c r="R10" s="409"/>
      <c r="S10" s="409"/>
      <c r="T10" s="410"/>
    </row>
    <row r="11" spans="1:20" s="438" customFormat="1" ht="45" customHeight="1" x14ac:dyDescent="0.25">
      <c r="A11" s="425" t="s">
        <v>71</v>
      </c>
      <c r="B11" s="426" t="s">
        <v>269</v>
      </c>
      <c r="C11" s="414" t="s">
        <v>266</v>
      </c>
      <c r="D11" s="415">
        <v>45443</v>
      </c>
      <c r="E11" s="408"/>
      <c r="F11" s="417"/>
      <c r="G11" s="437"/>
      <c r="H11" s="422"/>
      <c r="I11" s="424"/>
      <c r="J11" s="421"/>
      <c r="K11" s="421"/>
      <c r="L11" s="422"/>
      <c r="M11" s="408"/>
      <c r="N11" s="409"/>
      <c r="O11" s="409"/>
      <c r="P11" s="410"/>
      <c r="Q11" s="411"/>
      <c r="R11" s="409"/>
      <c r="S11" s="409"/>
      <c r="T11" s="410"/>
    </row>
    <row r="12" spans="1:20" ht="45" customHeight="1" x14ac:dyDescent="0.25">
      <c r="A12" s="425" t="s">
        <v>67</v>
      </c>
      <c r="B12" s="426" t="s">
        <v>270</v>
      </c>
      <c r="C12" s="414">
        <v>45444</v>
      </c>
      <c r="D12" s="415">
        <v>45520</v>
      </c>
      <c r="E12" s="416"/>
      <c r="F12" s="421"/>
      <c r="G12" s="417"/>
      <c r="H12" s="436"/>
      <c r="I12" s="439"/>
      <c r="J12" s="437"/>
      <c r="K12" s="437"/>
      <c r="L12" s="436"/>
      <c r="M12" s="439"/>
      <c r="N12" s="437"/>
      <c r="O12" s="437"/>
      <c r="P12" s="422"/>
      <c r="Q12" s="440"/>
      <c r="R12" s="421"/>
      <c r="S12" s="409"/>
      <c r="T12" s="441"/>
    </row>
    <row r="13" spans="1:20" ht="45" customHeight="1" thickBot="1" x14ac:dyDescent="0.3">
      <c r="A13" s="425" t="s">
        <v>70</v>
      </c>
      <c r="B13" s="426" t="s">
        <v>271</v>
      </c>
      <c r="C13" s="415">
        <v>45505</v>
      </c>
      <c r="D13" s="415">
        <v>45534</v>
      </c>
      <c r="E13" s="416"/>
      <c r="F13" s="417"/>
      <c r="G13" s="409"/>
      <c r="H13" s="410"/>
      <c r="I13" s="408"/>
      <c r="J13" s="421"/>
      <c r="K13" s="421"/>
      <c r="L13" s="422"/>
      <c r="M13" s="424"/>
      <c r="N13" s="421"/>
      <c r="O13" s="437"/>
      <c r="P13" s="436"/>
      <c r="Q13" s="440"/>
      <c r="R13" s="421"/>
      <c r="S13" s="409"/>
      <c r="T13" s="441"/>
    </row>
    <row r="14" spans="1:20" s="438" customFormat="1" ht="45" customHeight="1" thickBot="1" x14ac:dyDescent="0.3">
      <c r="A14" s="442" t="s">
        <v>264</v>
      </c>
      <c r="B14" s="443" t="s">
        <v>272</v>
      </c>
      <c r="C14" s="444"/>
      <c r="D14" s="445">
        <v>45563</v>
      </c>
      <c r="E14" s="446"/>
      <c r="F14" s="447"/>
      <c r="G14" s="448"/>
      <c r="H14" s="449"/>
      <c r="I14" s="448"/>
      <c r="J14" s="450"/>
      <c r="K14" s="451"/>
      <c r="L14" s="449"/>
      <c r="M14" s="448"/>
      <c r="N14" s="450"/>
      <c r="O14" s="450"/>
      <c r="P14" s="452"/>
      <c r="Q14" s="453"/>
      <c r="R14" s="454"/>
      <c r="S14" s="455"/>
      <c r="T14" s="447"/>
    </row>
    <row r="16" spans="1:20" x14ac:dyDescent="0.25">
      <c r="B16" s="380" t="s">
        <v>273</v>
      </c>
    </row>
  </sheetData>
  <mergeCells count="11">
    <mergeCell ref="Q4:T4"/>
    <mergeCell ref="A1:D1"/>
    <mergeCell ref="A2:T2"/>
    <mergeCell ref="A3:A5"/>
    <mergeCell ref="B3:B5"/>
    <mergeCell ref="C3:C5"/>
    <mergeCell ref="D3:D5"/>
    <mergeCell ref="E3:T3"/>
    <mergeCell ref="E4:H4"/>
    <mergeCell ref="I4:L4"/>
    <mergeCell ref="M4:P4"/>
  </mergeCells>
  <printOptions horizontalCentered="1"/>
  <pageMargins left="0.59055118110236227" right="0.59055118110236227" top="0.74803149606299213" bottom="0.74803149606299213" header="0.31496062992125984" footer="0.31496062992125984"/>
  <pageSetup paperSize="9"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9"/>
  <sheetViews>
    <sheetView topLeftCell="A6" workbookViewId="0">
      <selection activeCell="B23" sqref="B23"/>
    </sheetView>
  </sheetViews>
  <sheetFormatPr defaultRowHeight="15.75" x14ac:dyDescent="0.25"/>
  <cols>
    <col min="1" max="1" width="22" style="100" customWidth="1"/>
    <col min="2" max="2" width="52.42578125" style="100" customWidth="1"/>
    <col min="3" max="3" width="32.5703125" style="100" customWidth="1"/>
    <col min="4" max="16384" width="9.140625" style="100"/>
  </cols>
  <sheetData>
    <row r="1" spans="1:3" x14ac:dyDescent="0.25">
      <c r="A1" s="277" t="s">
        <v>127</v>
      </c>
      <c r="B1" s="277"/>
      <c r="C1" s="277"/>
    </row>
    <row r="2" spans="1:3" x14ac:dyDescent="0.25">
      <c r="A2" s="277" t="s">
        <v>128</v>
      </c>
      <c r="B2" s="277"/>
      <c r="C2" s="277"/>
    </row>
    <row r="3" spans="1:3" x14ac:dyDescent="0.25">
      <c r="A3" s="278" t="s">
        <v>92</v>
      </c>
      <c r="B3" s="279"/>
      <c r="C3" s="279"/>
    </row>
    <row r="4" spans="1:3" ht="32.25" customHeight="1" x14ac:dyDescent="0.25">
      <c r="A4" s="280" t="s">
        <v>236</v>
      </c>
      <c r="B4" s="280"/>
      <c r="C4" s="280"/>
    </row>
    <row r="5" spans="1:3" ht="54.75" customHeight="1" x14ac:dyDescent="0.25">
      <c r="A5" s="281" t="s">
        <v>257</v>
      </c>
      <c r="B5" s="281"/>
      <c r="C5" s="281"/>
    </row>
    <row r="6" spans="1:3" ht="30" customHeight="1" x14ac:dyDescent="0.25">
      <c r="A6" s="276" t="s">
        <v>129</v>
      </c>
      <c r="B6" s="276"/>
      <c r="C6" s="276"/>
    </row>
    <row r="7" spans="1:3" ht="73.5" customHeight="1" x14ac:dyDescent="0.25">
      <c r="A7" s="284" t="s">
        <v>258</v>
      </c>
      <c r="B7" s="284"/>
      <c r="C7" s="284"/>
    </row>
    <row r="8" spans="1:3" x14ac:dyDescent="0.25">
      <c r="A8" s="285" t="s">
        <v>130</v>
      </c>
      <c r="B8" s="285"/>
      <c r="C8" s="285"/>
    </row>
    <row r="9" spans="1:3" ht="71.25" customHeight="1" x14ac:dyDescent="0.25">
      <c r="A9" s="286" t="s">
        <v>259</v>
      </c>
      <c r="B9" s="286"/>
      <c r="C9" s="286"/>
    </row>
    <row r="10" spans="1:3" ht="23.25" customHeight="1" x14ac:dyDescent="0.25">
      <c r="A10" s="282" t="s">
        <v>131</v>
      </c>
      <c r="B10" s="282"/>
      <c r="C10" s="282"/>
    </row>
    <row r="11" spans="1:3" ht="49.5" customHeight="1" x14ac:dyDescent="0.25">
      <c r="A11" s="287" t="s">
        <v>260</v>
      </c>
      <c r="B11" s="287"/>
      <c r="C11" s="287"/>
    </row>
    <row r="12" spans="1:3" ht="33" customHeight="1" x14ac:dyDescent="0.25">
      <c r="A12" s="281" t="s">
        <v>132</v>
      </c>
      <c r="B12" s="281"/>
      <c r="C12" s="281"/>
    </row>
    <row r="13" spans="1:3" x14ac:dyDescent="0.25">
      <c r="A13" s="281" t="s">
        <v>133</v>
      </c>
      <c r="B13" s="281"/>
      <c r="C13" s="281"/>
    </row>
    <row r="14" spans="1:3" x14ac:dyDescent="0.25">
      <c r="A14" s="148"/>
      <c r="B14" s="148"/>
      <c r="C14" s="148"/>
    </row>
    <row r="15" spans="1:3" x14ac:dyDescent="0.25">
      <c r="A15" s="149" t="s">
        <v>134</v>
      </c>
      <c r="B15" s="150"/>
      <c r="C15" s="149"/>
    </row>
    <row r="16" spans="1:3" x14ac:dyDescent="0.25">
      <c r="A16" s="282"/>
      <c r="B16" s="282"/>
      <c r="C16" s="282"/>
    </row>
    <row r="17" spans="1:7" x14ac:dyDescent="0.25">
      <c r="A17" s="149"/>
      <c r="B17" s="150">
        <f>НМЦ!E20</f>
        <v>11557314.560000001</v>
      </c>
      <c r="C17" s="149" t="s">
        <v>135</v>
      </c>
    </row>
    <row r="19" spans="1:7" ht="56.25" customHeight="1" x14ac:dyDescent="0.25">
      <c r="A19" s="283" t="s">
        <v>85</v>
      </c>
      <c r="B19" s="283"/>
      <c r="C19" s="74" t="s">
        <v>86</v>
      </c>
      <c r="D19" s="151"/>
      <c r="E19" s="151"/>
      <c r="F19" s="151"/>
      <c r="G19" s="144"/>
    </row>
  </sheetData>
  <mergeCells count="15">
    <mergeCell ref="A13:C13"/>
    <mergeCell ref="A16:C16"/>
    <mergeCell ref="A19:B19"/>
    <mergeCell ref="A7:C7"/>
    <mergeCell ref="A8:C8"/>
    <mergeCell ref="A9:C9"/>
    <mergeCell ref="A10:C10"/>
    <mergeCell ref="A11:C11"/>
    <mergeCell ref="A12:C12"/>
    <mergeCell ref="A6:C6"/>
    <mergeCell ref="A1:C1"/>
    <mergeCell ref="A2:C2"/>
    <mergeCell ref="A3:C3"/>
    <mergeCell ref="A4:C4"/>
    <mergeCell ref="A5:C5"/>
  </mergeCells>
  <pageMargins left="0.7" right="0.7" top="0.75" bottom="0.75" header="0.3" footer="0.3"/>
  <pageSetup paperSize="9" scale="81" fitToHeight="0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2"/>
  <sheetViews>
    <sheetView topLeftCell="A5" workbookViewId="0">
      <selection activeCell="F18" sqref="F18"/>
    </sheetView>
  </sheetViews>
  <sheetFormatPr defaultRowHeight="15.75" x14ac:dyDescent="0.25"/>
  <cols>
    <col min="1" max="2" width="9.140625" style="127"/>
    <col min="3" max="3" width="17.140625" style="127" customWidth="1"/>
    <col min="4" max="4" width="21.42578125" style="127" customWidth="1"/>
    <col min="5" max="6" width="9.140625" style="127"/>
    <col min="7" max="7" width="18.5703125" style="127" customWidth="1"/>
    <col min="8" max="16384" width="9.140625" style="127"/>
  </cols>
  <sheetData>
    <row r="1" spans="1:16" x14ac:dyDescent="0.25">
      <c r="A1" s="289" t="s">
        <v>107</v>
      </c>
      <c r="B1" s="289"/>
      <c r="C1" s="289"/>
      <c r="D1" s="289"/>
      <c r="E1" s="289"/>
      <c r="F1" s="289"/>
      <c r="G1" s="289"/>
      <c r="H1" s="289"/>
      <c r="I1" s="289"/>
      <c r="J1" s="289"/>
      <c r="K1" s="125"/>
      <c r="L1" s="125"/>
      <c r="M1" s="125"/>
      <c r="N1" s="125"/>
      <c r="O1" s="125"/>
      <c r="P1" s="126"/>
    </row>
    <row r="2" spans="1:16" x14ac:dyDescent="0.25">
      <c r="A2" s="289" t="s">
        <v>108</v>
      </c>
      <c r="B2" s="289"/>
      <c r="C2" s="289"/>
      <c r="D2" s="289"/>
      <c r="E2" s="289"/>
      <c r="F2" s="289"/>
      <c r="G2" s="289"/>
      <c r="H2" s="289"/>
      <c r="I2" s="289"/>
      <c r="J2" s="289"/>
      <c r="K2" s="125"/>
      <c r="L2" s="125"/>
      <c r="M2" s="125"/>
      <c r="N2" s="125"/>
      <c r="O2" s="125"/>
      <c r="P2" s="126"/>
    </row>
    <row r="3" spans="1:16" x14ac:dyDescent="0.25">
      <c r="A3" s="126"/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</row>
    <row r="4" spans="1:16" ht="36.75" customHeight="1" x14ac:dyDescent="0.25">
      <c r="A4" s="128" t="s">
        <v>109</v>
      </c>
      <c r="B4" s="126"/>
      <c r="C4" s="290" t="s">
        <v>236</v>
      </c>
      <c r="D4" s="290"/>
      <c r="E4" s="290"/>
      <c r="F4" s="290"/>
      <c r="G4" s="290"/>
      <c r="H4" s="290"/>
      <c r="I4" s="290"/>
      <c r="J4" s="290"/>
      <c r="K4" s="290"/>
      <c r="L4" s="126"/>
      <c r="M4" s="126"/>
      <c r="N4" s="126"/>
      <c r="O4" s="126"/>
      <c r="P4" s="126"/>
    </row>
    <row r="5" spans="1:16" x14ac:dyDescent="0.25">
      <c r="A5" s="126"/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</row>
    <row r="6" spans="1:16" x14ac:dyDescent="0.25">
      <c r="A6" s="291" t="s">
        <v>110</v>
      </c>
      <c r="B6" s="291"/>
      <c r="C6" s="291"/>
      <c r="D6" s="291"/>
      <c r="E6" s="291"/>
      <c r="F6" s="291"/>
      <c r="G6" s="129">
        <f>НМЦ!E20</f>
        <v>11557314.560000001</v>
      </c>
      <c r="H6" s="130"/>
      <c r="I6" s="130"/>
      <c r="J6" s="130"/>
      <c r="K6" s="130"/>
      <c r="L6" s="131"/>
      <c r="M6" s="131"/>
      <c r="N6" s="131"/>
      <c r="O6" s="131"/>
      <c r="P6" s="126"/>
    </row>
    <row r="7" spans="1:16" ht="27.75" customHeight="1" x14ac:dyDescent="0.25">
      <c r="A7" s="474" t="str">
        <f>CONCATENATE("(",[1]!СуммаПрописью(G6),")")</f>
        <v>(Одинадцать миллионов пятьсот пятьдесят семь тысяч триста четырнадцать рублей 56 копеек)</v>
      </c>
      <c r="B7" s="474"/>
      <c r="C7" s="474"/>
      <c r="D7" s="474"/>
      <c r="E7" s="474"/>
      <c r="F7" s="474"/>
      <c r="G7" s="474"/>
      <c r="H7" s="474"/>
      <c r="I7" s="474"/>
      <c r="J7" s="474"/>
      <c r="K7" s="474"/>
      <c r="L7" s="132"/>
      <c r="M7" s="132"/>
      <c r="N7" s="132"/>
      <c r="O7" s="132"/>
      <c r="P7" s="126"/>
    </row>
    <row r="8" spans="1:16" x14ac:dyDescent="0.25">
      <c r="A8" s="126" t="s">
        <v>111</v>
      </c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</row>
    <row r="9" spans="1:16" x14ac:dyDescent="0.25">
      <c r="A9" s="133" t="s">
        <v>112</v>
      </c>
      <c r="B9" s="133"/>
      <c r="C9" s="133"/>
      <c r="D9" s="133"/>
      <c r="E9" s="133"/>
      <c r="F9" s="133"/>
      <c r="G9" s="133"/>
      <c r="H9" s="126"/>
      <c r="I9" s="126"/>
      <c r="J9" s="126"/>
      <c r="K9" s="126"/>
      <c r="L9" s="126"/>
      <c r="M9" s="126"/>
      <c r="N9" s="126"/>
      <c r="O9" s="126"/>
      <c r="P9" s="126"/>
    </row>
    <row r="10" spans="1:16" x14ac:dyDescent="0.25">
      <c r="A10" s="133" t="s">
        <v>252</v>
      </c>
      <c r="B10" s="133"/>
      <c r="C10" s="133"/>
      <c r="D10" s="133"/>
      <c r="E10" s="133"/>
      <c r="F10" s="133"/>
      <c r="G10" s="133"/>
      <c r="H10" s="126"/>
      <c r="I10" s="126"/>
      <c r="J10" s="126"/>
      <c r="K10" s="126"/>
      <c r="L10" s="126"/>
      <c r="M10" s="126"/>
      <c r="N10" s="126"/>
      <c r="O10" s="126"/>
      <c r="P10" s="126"/>
    </row>
    <row r="11" spans="1:16" x14ac:dyDescent="0.25">
      <c r="A11" s="134" t="s">
        <v>126</v>
      </c>
      <c r="C11" s="133"/>
      <c r="D11" s="133"/>
      <c r="E11" s="133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</row>
    <row r="12" spans="1:16" s="136" customFormat="1" x14ac:dyDescent="0.25">
      <c r="A12" s="135" t="s">
        <v>113</v>
      </c>
      <c r="B12" s="135"/>
      <c r="C12" s="135"/>
      <c r="D12" s="135"/>
      <c r="E12" s="135"/>
      <c r="F12" s="135"/>
      <c r="G12" s="135"/>
      <c r="H12" s="135"/>
      <c r="I12" s="135"/>
    </row>
    <row r="13" spans="1:16" s="136" customFormat="1" x14ac:dyDescent="0.25">
      <c r="A13" s="135" t="s">
        <v>114</v>
      </c>
      <c r="B13" s="135"/>
      <c r="C13" s="135"/>
      <c r="D13" s="135"/>
      <c r="E13" s="135"/>
      <c r="F13" s="135"/>
      <c r="G13" s="135"/>
      <c r="H13" s="135"/>
      <c r="I13" s="135"/>
    </row>
    <row r="14" spans="1:16" s="136" customFormat="1" x14ac:dyDescent="0.25">
      <c r="A14" s="135" t="s">
        <v>115</v>
      </c>
      <c r="B14" s="135"/>
      <c r="C14" s="135"/>
      <c r="D14" s="135"/>
      <c r="E14" s="135"/>
      <c r="F14" s="135"/>
      <c r="G14" s="135"/>
      <c r="H14" s="135"/>
      <c r="I14" s="135"/>
    </row>
    <row r="15" spans="1:16" s="136" customFormat="1" x14ac:dyDescent="0.25">
      <c r="A15" s="135" t="s">
        <v>116</v>
      </c>
      <c r="B15" s="135"/>
      <c r="C15" s="135"/>
      <c r="D15" s="135"/>
      <c r="E15" s="135"/>
      <c r="F15" s="135"/>
      <c r="G15" s="135"/>
      <c r="H15" s="135"/>
      <c r="I15" s="135"/>
    </row>
    <row r="16" spans="1:16" s="136" customFormat="1" x14ac:dyDescent="0.25">
      <c r="A16" s="135" t="s">
        <v>117</v>
      </c>
      <c r="B16" s="135"/>
      <c r="C16" s="135"/>
      <c r="D16" s="135"/>
      <c r="E16" s="135"/>
      <c r="F16" s="135"/>
      <c r="G16" s="135"/>
      <c r="H16" s="135"/>
      <c r="I16" s="135"/>
    </row>
    <row r="17" spans="1:16" s="136" customFormat="1" x14ac:dyDescent="0.25">
      <c r="A17" s="135" t="s">
        <v>118</v>
      </c>
      <c r="B17" s="135"/>
      <c r="C17" s="135"/>
      <c r="D17" s="135"/>
      <c r="E17" s="135"/>
      <c r="F17" s="135"/>
      <c r="G17" s="135"/>
      <c r="H17" s="135"/>
      <c r="I17" s="135"/>
    </row>
    <row r="18" spans="1:16" s="136" customFormat="1" x14ac:dyDescent="0.25">
      <c r="A18" s="135" t="s">
        <v>119</v>
      </c>
      <c r="B18" s="135"/>
      <c r="C18" s="135"/>
      <c r="D18" s="135"/>
      <c r="E18" s="135"/>
      <c r="F18" s="135"/>
      <c r="G18" s="135"/>
      <c r="H18" s="135"/>
      <c r="I18" s="135"/>
    </row>
    <row r="19" spans="1:16" s="136" customFormat="1" ht="30" customHeight="1" x14ac:dyDescent="0.25">
      <c r="A19" s="288" t="s">
        <v>253</v>
      </c>
      <c r="B19" s="288"/>
      <c r="C19" s="288"/>
      <c r="D19" s="288"/>
      <c r="E19" s="288"/>
      <c r="F19" s="288"/>
      <c r="G19" s="288"/>
      <c r="H19" s="288"/>
      <c r="I19" s="288"/>
      <c r="J19" s="288"/>
      <c r="K19" s="288"/>
    </row>
    <row r="20" spans="1:16" s="136" customFormat="1" x14ac:dyDescent="0.25">
      <c r="A20" s="288" t="s">
        <v>254</v>
      </c>
      <c r="B20" s="288"/>
      <c r="C20" s="288"/>
      <c r="D20" s="288"/>
      <c r="E20" s="288"/>
      <c r="F20" s="288"/>
      <c r="G20" s="288"/>
      <c r="H20" s="288"/>
      <c r="I20" s="288"/>
      <c r="J20" s="288"/>
      <c r="K20" s="288"/>
    </row>
    <row r="21" spans="1:16" s="136" customFormat="1" x14ac:dyDescent="0.25">
      <c r="A21" s="137" t="s">
        <v>255</v>
      </c>
      <c r="B21" s="138"/>
      <c r="C21" s="138"/>
      <c r="D21" s="138"/>
      <c r="E21" s="138"/>
      <c r="F21" s="138"/>
      <c r="G21" s="138"/>
      <c r="H21" s="138"/>
      <c r="I21" s="138"/>
      <c r="J21" s="138"/>
      <c r="K21" s="138"/>
    </row>
    <row r="22" spans="1:16" s="136" customFormat="1" x14ac:dyDescent="0.25">
      <c r="A22" s="137" t="s">
        <v>256</v>
      </c>
      <c r="B22" s="138"/>
      <c r="C22" s="138"/>
      <c r="D22" s="138"/>
      <c r="E22" s="138"/>
      <c r="F22" s="138"/>
      <c r="G22" s="138"/>
      <c r="H22" s="138"/>
      <c r="I22" s="138"/>
      <c r="J22" s="138"/>
      <c r="K22" s="138"/>
    </row>
    <row r="23" spans="1:16" s="136" customFormat="1" x14ac:dyDescent="0.25">
      <c r="A23" s="135" t="s">
        <v>120</v>
      </c>
      <c r="B23" s="135"/>
      <c r="C23" s="135"/>
      <c r="D23" s="135"/>
      <c r="E23" s="135"/>
      <c r="F23" s="135"/>
      <c r="G23" s="135"/>
      <c r="H23" s="135"/>
      <c r="I23" s="135"/>
      <c r="J23" s="135"/>
      <c r="K23" s="135"/>
    </row>
    <row r="24" spans="1:16" s="140" customFormat="1" ht="29.25" customHeight="1" x14ac:dyDescent="0.25">
      <c r="A24" s="292" t="s">
        <v>121</v>
      </c>
      <c r="B24" s="292"/>
      <c r="C24" s="292"/>
      <c r="D24" s="292"/>
      <c r="E24" s="292"/>
      <c r="F24" s="292"/>
      <c r="G24" s="292"/>
      <c r="H24" s="292"/>
      <c r="I24" s="292"/>
      <c r="J24" s="292"/>
      <c r="K24" s="292"/>
      <c r="L24" s="139"/>
      <c r="M24" s="139"/>
      <c r="N24" s="139"/>
      <c r="O24" s="139"/>
    </row>
    <row r="25" spans="1:16" s="140" customFormat="1" ht="33.75" customHeight="1" x14ac:dyDescent="0.25">
      <c r="A25" s="292" t="s">
        <v>122</v>
      </c>
      <c r="B25" s="292"/>
      <c r="C25" s="292"/>
      <c r="D25" s="292"/>
      <c r="E25" s="292"/>
      <c r="F25" s="292"/>
      <c r="G25" s="292"/>
      <c r="H25" s="292"/>
      <c r="I25" s="292"/>
      <c r="J25" s="292"/>
      <c r="K25" s="292"/>
    </row>
    <row r="26" spans="1:16" s="140" customFormat="1" x14ac:dyDescent="0.25">
      <c r="A26" s="135" t="s">
        <v>123</v>
      </c>
      <c r="B26" s="141"/>
      <c r="C26" s="141"/>
      <c r="D26" s="141"/>
      <c r="E26" s="141"/>
      <c r="F26" s="141"/>
      <c r="G26" s="141"/>
      <c r="H26" s="141"/>
      <c r="I26" s="141"/>
      <c r="J26" s="141"/>
      <c r="K26" s="141"/>
    </row>
    <row r="27" spans="1:16" x14ac:dyDescent="0.25">
      <c r="A27" s="142"/>
      <c r="B27" s="143"/>
      <c r="C27" s="133"/>
      <c r="D27" s="133"/>
      <c r="E27" s="133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</row>
    <row r="28" spans="1:16" x14ac:dyDescent="0.25">
      <c r="A28" s="133" t="s">
        <v>124</v>
      </c>
      <c r="B28" s="133"/>
      <c r="C28" s="133"/>
      <c r="D28" s="133"/>
      <c r="E28" s="133"/>
      <c r="F28" s="133"/>
      <c r="G28" s="133"/>
      <c r="H28" s="133"/>
      <c r="I28" s="133"/>
      <c r="J28" s="133"/>
      <c r="K28" s="133"/>
      <c r="L28" s="126"/>
      <c r="M28" s="126"/>
      <c r="N28" s="126"/>
      <c r="O28" s="126"/>
      <c r="P28" s="126"/>
    </row>
    <row r="29" spans="1:16" x14ac:dyDescent="0.25">
      <c r="A29" s="133" t="s">
        <v>125</v>
      </c>
      <c r="B29" s="133"/>
      <c r="C29" s="133"/>
      <c r="D29" s="133"/>
      <c r="E29" s="133"/>
      <c r="F29" s="133"/>
      <c r="G29" s="133"/>
      <c r="H29" s="133"/>
      <c r="I29" s="133"/>
      <c r="J29" s="133"/>
      <c r="K29" s="133"/>
      <c r="L29" s="126"/>
      <c r="M29" s="126"/>
      <c r="N29" s="126"/>
      <c r="O29" s="126"/>
      <c r="P29" s="126"/>
    </row>
    <row r="30" spans="1:16" x14ac:dyDescent="0.25">
      <c r="A30" s="133"/>
      <c r="B30" s="133"/>
      <c r="C30" s="133"/>
      <c r="D30" s="133"/>
      <c r="E30" s="133"/>
      <c r="F30" s="133"/>
      <c r="G30" s="133"/>
      <c r="H30" s="133"/>
      <c r="I30" s="133"/>
      <c r="J30" s="133"/>
      <c r="K30" s="133"/>
      <c r="L30" s="126"/>
      <c r="M30" s="126"/>
      <c r="N30" s="126"/>
      <c r="O30" s="126"/>
      <c r="P30" s="126"/>
    </row>
    <row r="31" spans="1:16" ht="54" customHeight="1" x14ac:dyDescent="0.25">
      <c r="A31" s="283" t="s">
        <v>85</v>
      </c>
      <c r="B31" s="283"/>
      <c r="C31" s="283"/>
      <c r="D31" s="283"/>
      <c r="E31" s="283"/>
      <c r="F31" s="283"/>
      <c r="G31" s="144"/>
      <c r="H31" s="145"/>
      <c r="I31" s="74" t="s">
        <v>86</v>
      </c>
      <c r="J31" s="145"/>
      <c r="K31" s="144"/>
      <c r="L31" s="144"/>
      <c r="P31" s="126"/>
    </row>
    <row r="32" spans="1:16" x14ac:dyDescent="0.25">
      <c r="A32" s="146"/>
      <c r="B32" s="146"/>
      <c r="C32" s="146"/>
      <c r="D32" s="146"/>
      <c r="E32" s="146"/>
      <c r="F32" s="145"/>
      <c r="G32" s="293"/>
      <c r="H32" s="293"/>
      <c r="I32" s="293"/>
      <c r="J32" s="293"/>
      <c r="K32" s="147"/>
      <c r="L32" s="126"/>
      <c r="P32" s="126"/>
    </row>
  </sheetData>
  <mergeCells count="11">
    <mergeCell ref="A20:K20"/>
    <mergeCell ref="A24:K24"/>
    <mergeCell ref="A25:K25"/>
    <mergeCell ref="A31:F31"/>
    <mergeCell ref="G32:J32"/>
    <mergeCell ref="A19:K19"/>
    <mergeCell ref="A1:J1"/>
    <mergeCell ref="A2:J2"/>
    <mergeCell ref="C4:K4"/>
    <mergeCell ref="A6:F6"/>
    <mergeCell ref="A7:K7"/>
  </mergeCells>
  <pageMargins left="0.7" right="0.7" top="0.75" bottom="0.75" header="0.3" footer="0.3"/>
  <pageSetup paperSize="9" scale="67" fitToHeight="0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6"/>
  <sheetViews>
    <sheetView workbookViewId="0">
      <selection activeCell="G19" sqref="G19"/>
    </sheetView>
  </sheetViews>
  <sheetFormatPr defaultRowHeight="15" x14ac:dyDescent="0.25"/>
  <cols>
    <col min="2" max="2" width="47.28515625" customWidth="1"/>
    <col min="3" max="3" width="19.7109375" customWidth="1"/>
    <col min="4" max="4" width="17.28515625" customWidth="1"/>
    <col min="5" max="5" width="17.5703125" customWidth="1"/>
    <col min="7" max="7" width="30" customWidth="1"/>
  </cols>
  <sheetData>
    <row r="1" spans="1:5" ht="15.75" x14ac:dyDescent="0.25">
      <c r="A1" s="294" t="s">
        <v>91</v>
      </c>
      <c r="B1" s="294"/>
      <c r="C1" s="294"/>
      <c r="D1" s="294"/>
      <c r="E1" s="294"/>
    </row>
    <row r="2" spans="1:5" ht="15.75" x14ac:dyDescent="0.25">
      <c r="A2" s="295" t="s">
        <v>92</v>
      </c>
      <c r="B2" s="295"/>
      <c r="C2" s="295"/>
      <c r="D2" s="295"/>
      <c r="E2" s="295"/>
    </row>
    <row r="3" spans="1:5" ht="28.5" customHeight="1" x14ac:dyDescent="0.25">
      <c r="A3" s="295" t="s">
        <v>236</v>
      </c>
      <c r="B3" s="295"/>
      <c r="C3" s="295"/>
      <c r="D3" s="295"/>
      <c r="E3" s="295"/>
    </row>
    <row r="4" spans="1:5" ht="15.75" x14ac:dyDescent="0.25">
      <c r="A4" s="96"/>
      <c r="B4" s="96"/>
      <c r="C4" s="96"/>
      <c r="D4" s="96"/>
      <c r="E4" s="96"/>
    </row>
    <row r="5" spans="1:5" ht="15.75" x14ac:dyDescent="0.25">
      <c r="A5" s="97" t="s">
        <v>93</v>
      </c>
      <c r="B5" s="97"/>
      <c r="C5" s="98">
        <f>(C7-C6)/30.5</f>
        <v>10.3</v>
      </c>
      <c r="D5" s="99" t="s">
        <v>94</v>
      </c>
      <c r="E5" s="100"/>
    </row>
    <row r="6" spans="1:5" ht="15.75" x14ac:dyDescent="0.25">
      <c r="A6" s="97" t="s">
        <v>95</v>
      </c>
      <c r="B6" s="97"/>
      <c r="C6" s="101">
        <f>НМЦК!F70</f>
        <v>45219</v>
      </c>
      <c r="D6" s="99"/>
      <c r="E6" s="100"/>
    </row>
    <row r="7" spans="1:5" ht="15.75" x14ac:dyDescent="0.25">
      <c r="A7" s="97" t="s">
        <v>96</v>
      </c>
      <c r="B7" s="97"/>
      <c r="C7" s="101">
        <f>НМЦК!F81</f>
        <v>45534</v>
      </c>
      <c r="D7" s="99"/>
      <c r="E7" s="100"/>
    </row>
    <row r="8" spans="1:5" ht="15.75" x14ac:dyDescent="0.25">
      <c r="A8" s="97"/>
      <c r="B8" s="102"/>
      <c r="C8" s="102"/>
      <c r="D8" s="100"/>
      <c r="E8" s="100"/>
    </row>
    <row r="9" spans="1:5" ht="15.75" x14ac:dyDescent="0.25">
      <c r="A9" s="296" t="s">
        <v>97</v>
      </c>
      <c r="B9" s="297" t="s">
        <v>98</v>
      </c>
      <c r="C9" s="296" t="s">
        <v>99</v>
      </c>
      <c r="D9" s="296"/>
      <c r="E9" s="296"/>
    </row>
    <row r="10" spans="1:5" ht="15.75" x14ac:dyDescent="0.25">
      <c r="A10" s="296"/>
      <c r="B10" s="298"/>
      <c r="C10" s="103" t="s">
        <v>100</v>
      </c>
      <c r="D10" s="103" t="s">
        <v>101</v>
      </c>
      <c r="E10" s="103" t="s">
        <v>102</v>
      </c>
    </row>
    <row r="11" spans="1:5" ht="15.75" x14ac:dyDescent="0.25">
      <c r="A11" s="103">
        <v>1</v>
      </c>
      <c r="B11" s="103">
        <v>2</v>
      </c>
      <c r="C11" s="103">
        <v>3</v>
      </c>
      <c r="D11" s="104">
        <v>4</v>
      </c>
      <c r="E11" s="104">
        <v>5</v>
      </c>
    </row>
    <row r="12" spans="1:5" ht="15.75" x14ac:dyDescent="0.25">
      <c r="A12" s="105" t="s">
        <v>61</v>
      </c>
      <c r="B12" s="106" t="s">
        <v>103</v>
      </c>
      <c r="C12" s="107">
        <f>'Проект сметы контракта'!F8</f>
        <v>461426.22</v>
      </c>
      <c r="D12" s="108">
        <f>C12*0.2</f>
        <v>92285.24</v>
      </c>
      <c r="E12" s="108">
        <f>C12+D12</f>
        <v>553711.46</v>
      </c>
    </row>
    <row r="13" spans="1:5" ht="15.75" x14ac:dyDescent="0.25">
      <c r="A13" s="109"/>
      <c r="B13" s="110" t="s">
        <v>104</v>
      </c>
      <c r="C13" s="111"/>
      <c r="D13" s="112"/>
      <c r="E13" s="112"/>
    </row>
    <row r="14" spans="1:5" ht="15.75" x14ac:dyDescent="0.25">
      <c r="A14" s="109"/>
      <c r="B14" s="113" t="s">
        <v>10</v>
      </c>
      <c r="C14" s="111">
        <f>'Проект сметы контракта'!F10</f>
        <v>9047.57</v>
      </c>
      <c r="D14" s="112">
        <f>C14*0.2</f>
        <v>1809.51</v>
      </c>
      <c r="E14" s="112">
        <f>C14+D14</f>
        <v>10857.08</v>
      </c>
    </row>
    <row r="15" spans="1:5" ht="15.75" x14ac:dyDescent="0.25">
      <c r="A15" s="109"/>
      <c r="B15" s="113" t="s">
        <v>251</v>
      </c>
      <c r="C15" s="111">
        <f>НМЦК!M12-НМЦК!I12</f>
        <v>120403.5</v>
      </c>
      <c r="D15" s="112">
        <f>C15*0.2</f>
        <v>24080.7</v>
      </c>
      <c r="E15" s="112">
        <f>C15+D15</f>
        <v>144484.20000000001</v>
      </c>
    </row>
    <row r="16" spans="1:5" ht="31.5" x14ac:dyDescent="0.25">
      <c r="A16" s="114" t="s">
        <v>27</v>
      </c>
      <c r="B16" s="115" t="s">
        <v>105</v>
      </c>
      <c r="C16" s="107">
        <f>'Проект сметы контракта'!F11</f>
        <v>9169669.25</v>
      </c>
      <c r="D16" s="108">
        <f>C16*0.2</f>
        <v>1833933.85</v>
      </c>
      <c r="E16" s="108">
        <f>C16+D16</f>
        <v>11003603.1</v>
      </c>
    </row>
    <row r="17" spans="1:7" ht="15.75" x14ac:dyDescent="0.25">
      <c r="A17" s="116"/>
      <c r="B17" s="110" t="s">
        <v>104</v>
      </c>
      <c r="C17" s="111"/>
      <c r="D17" s="112"/>
      <c r="E17" s="112"/>
    </row>
    <row r="18" spans="1:7" ht="15.75" x14ac:dyDescent="0.25">
      <c r="A18" s="116"/>
      <c r="B18" s="113" t="s">
        <v>10</v>
      </c>
      <c r="C18" s="111">
        <f>'Проект сметы контракта'!F21</f>
        <v>184756.65</v>
      </c>
      <c r="D18" s="112">
        <f>C18*0.2</f>
        <v>36951.33</v>
      </c>
      <c r="E18" s="112">
        <f>C18+D18</f>
        <v>221707.98</v>
      </c>
    </row>
    <row r="19" spans="1:7" ht="15.75" x14ac:dyDescent="0.25">
      <c r="A19" s="116"/>
      <c r="B19" s="113" t="s">
        <v>251</v>
      </c>
      <c r="C19" s="111">
        <f>НМЦК!M15-НМЦК!I15</f>
        <v>2349011.81</v>
      </c>
      <c r="D19" s="112">
        <f>C19*0.2</f>
        <v>469802.36</v>
      </c>
      <c r="E19" s="112">
        <f>C19+D19</f>
        <v>2818814.17</v>
      </c>
    </row>
    <row r="20" spans="1:7" ht="15.75" x14ac:dyDescent="0.25">
      <c r="A20" s="117"/>
      <c r="B20" s="117" t="s">
        <v>106</v>
      </c>
      <c r="C20" s="118">
        <f>C12+C16</f>
        <v>9631095.4700000007</v>
      </c>
      <c r="D20" s="118">
        <f>D12+D16</f>
        <v>1926219.09</v>
      </c>
      <c r="E20" s="118">
        <f>E12+E16</f>
        <v>11557314.560000001</v>
      </c>
      <c r="G20" s="119"/>
    </row>
    <row r="21" spans="1:7" ht="15.75" x14ac:dyDescent="0.25">
      <c r="A21" s="110"/>
      <c r="B21" s="110" t="s">
        <v>104</v>
      </c>
      <c r="C21" s="120"/>
      <c r="D21" s="121"/>
      <c r="E21" s="121"/>
    </row>
    <row r="22" spans="1:7" ht="15.75" x14ac:dyDescent="0.25">
      <c r="A22" s="123"/>
      <c r="B22" s="113" t="s">
        <v>10</v>
      </c>
      <c r="C22" s="111">
        <f>C14+C18</f>
        <v>193804.22</v>
      </c>
      <c r="D22" s="122">
        <f>C22*0.2</f>
        <v>38760.839999999997</v>
      </c>
      <c r="E22" s="122">
        <f t="shared" ref="E22" si="0">C22+D22</f>
        <v>232565.06</v>
      </c>
    </row>
    <row r="23" spans="1:7" ht="15.75" x14ac:dyDescent="0.25">
      <c r="A23" s="124"/>
      <c r="B23" s="113" t="s">
        <v>251</v>
      </c>
      <c r="C23" s="111">
        <f>C15+C19</f>
        <v>2469415.31</v>
      </c>
      <c r="D23" s="122">
        <f>C23*0.2</f>
        <v>493883.06</v>
      </c>
      <c r="E23" s="122">
        <f>C23+D23</f>
        <v>2963298.37</v>
      </c>
    </row>
    <row r="26" spans="1:7" ht="64.5" customHeight="1" x14ac:dyDescent="0.25">
      <c r="A26" s="283" t="s">
        <v>85</v>
      </c>
      <c r="B26" s="283"/>
      <c r="C26" s="283"/>
      <c r="D26" s="73"/>
      <c r="E26" s="74" t="s">
        <v>86</v>
      </c>
    </row>
  </sheetData>
  <mergeCells count="7">
    <mergeCell ref="A26:C26"/>
    <mergeCell ref="A1:E1"/>
    <mergeCell ref="A2:E2"/>
    <mergeCell ref="A3:E3"/>
    <mergeCell ref="A9:A10"/>
    <mergeCell ref="B9:B10"/>
    <mergeCell ref="C9:E9"/>
  </mergeCells>
  <pageMargins left="0.7" right="0.7" top="0.75" bottom="0.75" header="0.3" footer="0.3"/>
  <pageSetup paperSize="9" scale="78" fitToHeight="0"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7"/>
  <sheetViews>
    <sheetView topLeftCell="A4" workbookViewId="0">
      <selection activeCell="F18" sqref="F18"/>
    </sheetView>
  </sheetViews>
  <sheetFormatPr defaultRowHeight="15" x14ac:dyDescent="0.25"/>
  <cols>
    <col min="2" max="2" width="45.42578125" customWidth="1"/>
    <col min="3" max="3" width="12" customWidth="1"/>
    <col min="4" max="4" width="12.5703125" customWidth="1"/>
    <col min="5" max="5" width="18.140625" customWidth="1"/>
    <col min="6" max="6" width="17.5703125" customWidth="1"/>
    <col min="7" max="7" width="15.28515625" customWidth="1"/>
    <col min="8" max="8" width="16" customWidth="1"/>
  </cols>
  <sheetData>
    <row r="1" spans="1:8" ht="15.75" x14ac:dyDescent="0.25">
      <c r="A1" s="299" t="s">
        <v>87</v>
      </c>
      <c r="B1" s="299"/>
      <c r="C1" s="299"/>
      <c r="D1" s="299"/>
      <c r="E1" s="299"/>
      <c r="F1" s="299"/>
      <c r="G1" s="299"/>
      <c r="H1" s="299"/>
    </row>
    <row r="2" spans="1:8" x14ac:dyDescent="0.25">
      <c r="A2" s="76"/>
      <c r="B2" s="77"/>
      <c r="C2" s="78"/>
      <c r="D2" s="78"/>
      <c r="E2" s="78"/>
      <c r="F2" s="78"/>
      <c r="G2" s="78"/>
      <c r="H2" s="78"/>
    </row>
    <row r="3" spans="1:8" ht="43.5" customHeight="1" x14ac:dyDescent="0.25">
      <c r="A3" s="79" t="s">
        <v>79</v>
      </c>
      <c r="B3" s="300" t="s">
        <v>236</v>
      </c>
      <c r="C3" s="300"/>
      <c r="D3" s="300"/>
      <c r="E3" s="300"/>
      <c r="F3" s="300"/>
      <c r="G3" s="300"/>
      <c r="H3" s="300"/>
    </row>
    <row r="4" spans="1:8" ht="15.75" x14ac:dyDescent="0.25">
      <c r="A4" s="80"/>
      <c r="B4" s="81"/>
      <c r="C4" s="82"/>
      <c r="D4" s="82"/>
      <c r="E4" s="82"/>
      <c r="F4" s="82"/>
      <c r="G4" s="82"/>
      <c r="H4" s="82"/>
    </row>
    <row r="5" spans="1:8" x14ac:dyDescent="0.25">
      <c r="A5" s="301" t="s">
        <v>3</v>
      </c>
      <c r="B5" s="301" t="s">
        <v>13</v>
      </c>
      <c r="C5" s="302" t="s">
        <v>82</v>
      </c>
      <c r="D5" s="302" t="s">
        <v>83</v>
      </c>
      <c r="E5" s="303" t="s">
        <v>88</v>
      </c>
      <c r="F5" s="303"/>
      <c r="G5" s="303" t="s">
        <v>89</v>
      </c>
      <c r="H5" s="303"/>
    </row>
    <row r="6" spans="1:8" ht="25.5" x14ac:dyDescent="0.25">
      <c r="A6" s="301"/>
      <c r="B6" s="301"/>
      <c r="C6" s="302"/>
      <c r="D6" s="302"/>
      <c r="E6" s="83" t="s">
        <v>90</v>
      </c>
      <c r="F6" s="84" t="s">
        <v>17</v>
      </c>
      <c r="G6" s="83" t="s">
        <v>90</v>
      </c>
      <c r="H6" s="84" t="s">
        <v>17</v>
      </c>
    </row>
    <row r="7" spans="1:8" ht="15.75" x14ac:dyDescent="0.25">
      <c r="A7" s="85">
        <v>1</v>
      </c>
      <c r="B7" s="85">
        <v>2</v>
      </c>
      <c r="C7" s="69">
        <v>3</v>
      </c>
      <c r="D7" s="69">
        <v>4</v>
      </c>
      <c r="E7" s="86">
        <v>5</v>
      </c>
      <c r="F7" s="86">
        <v>6</v>
      </c>
      <c r="G7" s="86">
        <v>7</v>
      </c>
      <c r="H7" s="86">
        <v>8</v>
      </c>
    </row>
    <row r="8" spans="1:8" ht="15.75" x14ac:dyDescent="0.25">
      <c r="A8" s="13" t="s">
        <v>61</v>
      </c>
      <c r="B8" s="13" t="s">
        <v>60</v>
      </c>
      <c r="C8" s="70" t="s">
        <v>84</v>
      </c>
      <c r="D8" s="70">
        <v>1</v>
      </c>
      <c r="E8" s="87">
        <f>E9+E10</f>
        <v>461426.22</v>
      </c>
      <c r="F8" s="87">
        <f>F9+F10</f>
        <v>461426.22</v>
      </c>
      <c r="G8" s="87"/>
      <c r="H8" s="87"/>
    </row>
    <row r="9" spans="1:8" ht="15.75" x14ac:dyDescent="0.25">
      <c r="A9" s="16" t="s">
        <v>22</v>
      </c>
      <c r="B9" s="16" t="s">
        <v>23</v>
      </c>
      <c r="C9" s="71" t="s">
        <v>84</v>
      </c>
      <c r="D9" s="71">
        <v>1</v>
      </c>
      <c r="E9" s="88">
        <f>НМЦК!M13</f>
        <v>452378.65</v>
      </c>
      <c r="F9" s="88">
        <f>E9</f>
        <v>452378.65</v>
      </c>
      <c r="G9" s="88"/>
      <c r="H9" s="88"/>
    </row>
    <row r="10" spans="1:8" ht="31.5" x14ac:dyDescent="0.25">
      <c r="A10" s="16" t="s">
        <v>24</v>
      </c>
      <c r="B10" s="53" t="s">
        <v>240</v>
      </c>
      <c r="C10" s="72" t="s">
        <v>84</v>
      </c>
      <c r="D10" s="72">
        <v>1</v>
      </c>
      <c r="E10" s="88">
        <f>НМЦК!M14</f>
        <v>9047.57</v>
      </c>
      <c r="F10" s="88">
        <f>E10</f>
        <v>9047.57</v>
      </c>
      <c r="G10" s="88"/>
      <c r="H10" s="88"/>
    </row>
    <row r="11" spans="1:8" ht="15.75" x14ac:dyDescent="0.25">
      <c r="A11" s="13" t="s">
        <v>27</v>
      </c>
      <c r="B11" s="13" t="s">
        <v>25</v>
      </c>
      <c r="C11" s="70" t="s">
        <v>84</v>
      </c>
      <c r="D11" s="70">
        <v>1</v>
      </c>
      <c r="E11" s="87">
        <f>E12+E13+E14+E15+E16+E17+E18+E19+E20+E21</f>
        <v>9169669.25</v>
      </c>
      <c r="F11" s="87">
        <f>F12+F13+F14+F15+F16+F17+F18+F19+F20+F21</f>
        <v>9169669.25</v>
      </c>
      <c r="G11" s="87"/>
      <c r="H11" s="87"/>
    </row>
    <row r="12" spans="1:8" ht="31.5" x14ac:dyDescent="0.25">
      <c r="A12" s="20" t="s">
        <v>28</v>
      </c>
      <c r="B12" s="256" t="s">
        <v>154</v>
      </c>
      <c r="C12" s="71" t="s">
        <v>84</v>
      </c>
      <c r="D12" s="71">
        <v>1</v>
      </c>
      <c r="E12" s="94">
        <f>НМЦК!M16</f>
        <v>2734.32</v>
      </c>
      <c r="F12" s="88">
        <f t="shared" ref="F12:F21" si="0">E12</f>
        <v>2734.32</v>
      </c>
      <c r="G12" s="93"/>
      <c r="H12" s="93"/>
    </row>
    <row r="13" spans="1:8" ht="15.75" x14ac:dyDescent="0.25">
      <c r="A13" s="23" t="s">
        <v>29</v>
      </c>
      <c r="B13" s="256" t="s">
        <v>156</v>
      </c>
      <c r="C13" s="72" t="s">
        <v>84</v>
      </c>
      <c r="D13" s="72">
        <v>1</v>
      </c>
      <c r="E13" s="94">
        <f>НМЦК!M17</f>
        <v>405474.28</v>
      </c>
      <c r="F13" s="88">
        <f t="shared" si="0"/>
        <v>405474.28</v>
      </c>
      <c r="G13" s="94"/>
      <c r="H13" s="94"/>
    </row>
    <row r="14" spans="1:8" ht="47.25" x14ac:dyDescent="0.25">
      <c r="A14" s="20" t="s">
        <v>71</v>
      </c>
      <c r="B14" s="256" t="s">
        <v>158</v>
      </c>
      <c r="C14" s="71" t="s">
        <v>84</v>
      </c>
      <c r="D14" s="71">
        <v>1</v>
      </c>
      <c r="E14" s="94">
        <f>НМЦК!M18</f>
        <v>144953.35999999999</v>
      </c>
      <c r="F14" s="88">
        <f t="shared" si="0"/>
        <v>144953.35999999999</v>
      </c>
      <c r="G14" s="94"/>
      <c r="H14" s="94"/>
    </row>
    <row r="15" spans="1:8" ht="15.75" x14ac:dyDescent="0.25">
      <c r="A15" s="20" t="s">
        <v>67</v>
      </c>
      <c r="B15" s="256" t="s">
        <v>160</v>
      </c>
      <c r="C15" s="72" t="s">
        <v>84</v>
      </c>
      <c r="D15" s="72">
        <v>1</v>
      </c>
      <c r="E15" s="270">
        <f>НМЦК!M19</f>
        <v>897593.1</v>
      </c>
      <c r="F15" s="88">
        <f t="shared" si="0"/>
        <v>897593.1</v>
      </c>
      <c r="G15" s="270"/>
      <c r="H15" s="270"/>
    </row>
    <row r="16" spans="1:8" ht="15.75" x14ac:dyDescent="0.25">
      <c r="A16" s="20" t="s">
        <v>70</v>
      </c>
      <c r="B16" s="257" t="s">
        <v>168</v>
      </c>
      <c r="C16" s="71" t="s">
        <v>84</v>
      </c>
      <c r="D16" s="71">
        <v>1</v>
      </c>
      <c r="E16" s="270">
        <f>НМЦК!M20</f>
        <v>6855119.6100000003</v>
      </c>
      <c r="F16" s="88">
        <f t="shared" si="0"/>
        <v>6855119.6100000003</v>
      </c>
      <c r="G16" s="270"/>
      <c r="H16" s="270"/>
    </row>
    <row r="17" spans="1:8" ht="15.75" x14ac:dyDescent="0.25">
      <c r="A17" s="20" t="s">
        <v>69</v>
      </c>
      <c r="B17" s="256" t="s">
        <v>243</v>
      </c>
      <c r="C17" s="72" t="s">
        <v>84</v>
      </c>
      <c r="D17" s="72">
        <v>1</v>
      </c>
      <c r="E17" s="270">
        <f>НМЦК!M21</f>
        <v>346.13</v>
      </c>
      <c r="F17" s="88">
        <f t="shared" si="0"/>
        <v>346.13</v>
      </c>
      <c r="G17" s="270"/>
      <c r="H17" s="270"/>
    </row>
    <row r="18" spans="1:8" ht="31.5" x14ac:dyDescent="0.25">
      <c r="A18" s="20" t="s">
        <v>68</v>
      </c>
      <c r="B18" s="256" t="s">
        <v>244</v>
      </c>
      <c r="C18" s="71" t="s">
        <v>84</v>
      </c>
      <c r="D18" s="71">
        <v>1</v>
      </c>
      <c r="E18" s="270">
        <f>НМЦК!M22</f>
        <v>2042.79</v>
      </c>
      <c r="F18" s="88">
        <f t="shared" si="0"/>
        <v>2042.79</v>
      </c>
      <c r="G18" s="270"/>
      <c r="H18" s="270"/>
    </row>
    <row r="19" spans="1:8" ht="47.25" x14ac:dyDescent="0.25">
      <c r="A19" s="20" t="s">
        <v>72</v>
      </c>
      <c r="B19" s="256" t="s">
        <v>246</v>
      </c>
      <c r="C19" s="72" t="s">
        <v>84</v>
      </c>
      <c r="D19" s="72">
        <v>1</v>
      </c>
      <c r="E19" s="270">
        <f>НМЦК!M23</f>
        <v>663000</v>
      </c>
      <c r="F19" s="88">
        <f t="shared" si="0"/>
        <v>663000</v>
      </c>
      <c r="G19" s="270"/>
      <c r="H19" s="270"/>
    </row>
    <row r="20" spans="1:8" ht="47.25" x14ac:dyDescent="0.25">
      <c r="A20" s="20" t="s">
        <v>73</v>
      </c>
      <c r="B20" s="256" t="s">
        <v>245</v>
      </c>
      <c r="C20" s="71" t="s">
        <v>84</v>
      </c>
      <c r="D20" s="71">
        <v>1</v>
      </c>
      <c r="E20" s="270">
        <f>НМЦК!M24</f>
        <v>13649.01</v>
      </c>
      <c r="F20" s="88">
        <f t="shared" si="0"/>
        <v>13649.01</v>
      </c>
      <c r="G20" s="270"/>
      <c r="H20" s="270"/>
    </row>
    <row r="21" spans="1:8" ht="31.5" x14ac:dyDescent="0.25">
      <c r="A21" s="16" t="s">
        <v>74</v>
      </c>
      <c r="B21" s="55" t="s">
        <v>247</v>
      </c>
      <c r="C21" s="72" t="s">
        <v>84</v>
      </c>
      <c r="D21" s="72">
        <v>1</v>
      </c>
      <c r="E21" s="270">
        <f>НМЦК!M25</f>
        <v>184756.65</v>
      </c>
      <c r="F21" s="88">
        <f t="shared" si="0"/>
        <v>184756.65</v>
      </c>
      <c r="G21" s="270"/>
      <c r="H21" s="270"/>
    </row>
    <row r="22" spans="1:8" ht="15.75" x14ac:dyDescent="0.25">
      <c r="A22" s="89"/>
      <c r="B22" s="90" t="s">
        <v>62</v>
      </c>
      <c r="C22" s="91"/>
      <c r="D22" s="91"/>
      <c r="E22" s="92">
        <f>E8+E11</f>
        <v>9631095.4700000007</v>
      </c>
      <c r="F22" s="92">
        <f>F8+F11</f>
        <v>9631095.4700000007</v>
      </c>
      <c r="G22" s="92">
        <f>G8+G11</f>
        <v>0</v>
      </c>
      <c r="H22" s="92">
        <f>H8+H11</f>
        <v>0</v>
      </c>
    </row>
    <row r="23" spans="1:8" ht="15.75" x14ac:dyDescent="0.25">
      <c r="A23" s="89"/>
      <c r="B23" s="90" t="s">
        <v>26</v>
      </c>
      <c r="C23" s="91"/>
      <c r="D23" s="91"/>
      <c r="E23" s="92">
        <f>E22*0.2</f>
        <v>1926219.09</v>
      </c>
      <c r="F23" s="92">
        <f>F22*0.2</f>
        <v>1926219.09</v>
      </c>
      <c r="G23" s="92">
        <f>G22*0.2</f>
        <v>0</v>
      </c>
      <c r="H23" s="92">
        <f>H22*0.2</f>
        <v>0</v>
      </c>
    </row>
    <row r="24" spans="1:8" ht="15.75" x14ac:dyDescent="0.25">
      <c r="A24" s="89"/>
      <c r="B24" s="90" t="s">
        <v>63</v>
      </c>
      <c r="C24" s="91"/>
      <c r="D24" s="91"/>
      <c r="E24" s="92">
        <f>E22+E23</f>
        <v>11557314.560000001</v>
      </c>
      <c r="F24" s="92">
        <f>F22+F23</f>
        <v>11557314.560000001</v>
      </c>
      <c r="G24" s="92">
        <f>G22+G23</f>
        <v>0</v>
      </c>
      <c r="H24" s="92">
        <f>H22+H23</f>
        <v>0</v>
      </c>
    </row>
    <row r="27" spans="1:8" ht="54" customHeight="1" x14ac:dyDescent="0.25">
      <c r="A27" s="283" t="s">
        <v>85</v>
      </c>
      <c r="B27" s="283"/>
      <c r="C27" s="283"/>
      <c r="D27" s="73"/>
      <c r="G27" s="74" t="s">
        <v>86</v>
      </c>
    </row>
  </sheetData>
  <mergeCells count="9">
    <mergeCell ref="A27:C27"/>
    <mergeCell ref="A1:H1"/>
    <mergeCell ref="B3:H3"/>
    <mergeCell ref="A5:A6"/>
    <mergeCell ref="B5:B6"/>
    <mergeCell ref="C5:C6"/>
    <mergeCell ref="D5:D6"/>
    <mergeCell ref="E5:F5"/>
    <mergeCell ref="G5:H5"/>
  </mergeCells>
  <pageMargins left="0.7" right="0.7" top="0.75" bottom="0.75" header="0.3" footer="0.3"/>
  <pageSetup paperSize="9" scale="59" fitToHeight="0"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5"/>
  <sheetViews>
    <sheetView workbookViewId="0">
      <selection activeCell="C9" sqref="C9:E22"/>
    </sheetView>
  </sheetViews>
  <sheetFormatPr defaultRowHeight="15" x14ac:dyDescent="0.25"/>
  <cols>
    <col min="2" max="2" width="28.5703125" customWidth="1"/>
    <col min="3" max="3" width="41.42578125" customWidth="1"/>
    <col min="4" max="4" width="24.7109375" customWidth="1"/>
    <col min="5" max="5" width="28.28515625" customWidth="1"/>
  </cols>
  <sheetData>
    <row r="1" spans="1:5" ht="15.75" x14ac:dyDescent="0.25">
      <c r="A1" s="304" t="s">
        <v>78</v>
      </c>
      <c r="B1" s="304"/>
      <c r="C1" s="304"/>
      <c r="D1" s="304"/>
      <c r="E1" s="304"/>
    </row>
    <row r="2" spans="1:5" ht="15.75" x14ac:dyDescent="0.25">
      <c r="A2" s="61"/>
      <c r="B2" s="62"/>
      <c r="C2" s="63"/>
      <c r="D2" s="26"/>
      <c r="E2" s="26"/>
    </row>
    <row r="3" spans="1:5" ht="45" customHeight="1" x14ac:dyDescent="0.25">
      <c r="A3" s="75" t="s">
        <v>79</v>
      </c>
      <c r="B3" s="305" t="s">
        <v>236</v>
      </c>
      <c r="C3" s="305"/>
      <c r="D3" s="305"/>
      <c r="E3" s="305"/>
    </row>
    <row r="4" spans="1:5" ht="15.75" x14ac:dyDescent="0.25">
      <c r="A4" s="64"/>
      <c r="B4" s="65"/>
      <c r="C4" s="66"/>
      <c r="D4" s="67"/>
      <c r="E4" s="67"/>
    </row>
    <row r="5" spans="1:5" x14ac:dyDescent="0.25">
      <c r="A5" s="306" t="s">
        <v>12</v>
      </c>
      <c r="B5" s="309" t="s">
        <v>80</v>
      </c>
      <c r="C5" s="309" t="s">
        <v>81</v>
      </c>
      <c r="D5" s="312" t="s">
        <v>82</v>
      </c>
      <c r="E5" s="312" t="s">
        <v>83</v>
      </c>
    </row>
    <row r="6" spans="1:5" x14ac:dyDescent="0.25">
      <c r="A6" s="307"/>
      <c r="B6" s="310"/>
      <c r="C6" s="310"/>
      <c r="D6" s="313"/>
      <c r="E6" s="313"/>
    </row>
    <row r="7" spans="1:5" ht="33" customHeight="1" x14ac:dyDescent="0.25">
      <c r="A7" s="308"/>
      <c r="B7" s="311"/>
      <c r="C7" s="311"/>
      <c r="D7" s="314"/>
      <c r="E7" s="314"/>
    </row>
    <row r="8" spans="1:5" ht="15.75" x14ac:dyDescent="0.25">
      <c r="A8" s="68">
        <v>1</v>
      </c>
      <c r="B8" s="68">
        <v>2</v>
      </c>
      <c r="C8" s="68">
        <v>3</v>
      </c>
      <c r="D8" s="69">
        <v>4</v>
      </c>
      <c r="E8" s="69">
        <v>5</v>
      </c>
    </row>
    <row r="9" spans="1:5" ht="15.75" x14ac:dyDescent="0.25">
      <c r="A9" s="13" t="s">
        <v>61</v>
      </c>
      <c r="B9" s="13"/>
      <c r="C9" s="13" t="s">
        <v>60</v>
      </c>
      <c r="D9" s="70" t="s">
        <v>84</v>
      </c>
      <c r="E9" s="70">
        <v>1</v>
      </c>
    </row>
    <row r="10" spans="1:5" ht="15.75" x14ac:dyDescent="0.25">
      <c r="A10" s="16" t="s">
        <v>22</v>
      </c>
      <c r="B10" s="52" t="s">
        <v>195</v>
      </c>
      <c r="C10" s="16" t="s">
        <v>23</v>
      </c>
      <c r="D10" s="71" t="s">
        <v>84</v>
      </c>
      <c r="E10" s="71">
        <v>1</v>
      </c>
    </row>
    <row r="11" spans="1:5" ht="31.5" x14ac:dyDescent="0.25">
      <c r="A11" s="16" t="s">
        <v>24</v>
      </c>
      <c r="B11" s="55" t="s">
        <v>205</v>
      </c>
      <c r="C11" s="53" t="s">
        <v>240</v>
      </c>
      <c r="D11" s="72" t="s">
        <v>84</v>
      </c>
      <c r="E11" s="72">
        <v>1</v>
      </c>
    </row>
    <row r="12" spans="1:5" ht="15.75" x14ac:dyDescent="0.25">
      <c r="A12" s="13" t="s">
        <v>27</v>
      </c>
      <c r="B12" s="13"/>
      <c r="C12" s="13" t="s">
        <v>25</v>
      </c>
      <c r="D12" s="70" t="s">
        <v>84</v>
      </c>
      <c r="E12" s="70">
        <v>1</v>
      </c>
    </row>
    <row r="13" spans="1:5" ht="31.5" x14ac:dyDescent="0.25">
      <c r="A13" s="20" t="s">
        <v>28</v>
      </c>
      <c r="B13" s="255" t="s">
        <v>153</v>
      </c>
      <c r="C13" s="256" t="s">
        <v>154</v>
      </c>
      <c r="D13" s="71" t="s">
        <v>84</v>
      </c>
      <c r="E13" s="71">
        <v>1</v>
      </c>
    </row>
    <row r="14" spans="1:5" ht="15.75" x14ac:dyDescent="0.25">
      <c r="A14" s="23" t="s">
        <v>29</v>
      </c>
      <c r="B14" s="255" t="s">
        <v>155</v>
      </c>
      <c r="C14" s="256" t="s">
        <v>156</v>
      </c>
      <c r="D14" s="72" t="s">
        <v>84</v>
      </c>
      <c r="E14" s="72">
        <v>1</v>
      </c>
    </row>
    <row r="15" spans="1:5" ht="47.25" x14ac:dyDescent="0.25">
      <c r="A15" s="20" t="s">
        <v>71</v>
      </c>
      <c r="B15" s="255" t="s">
        <v>157</v>
      </c>
      <c r="C15" s="256" t="s">
        <v>158</v>
      </c>
      <c r="D15" s="71" t="s">
        <v>84</v>
      </c>
      <c r="E15" s="71">
        <v>1</v>
      </c>
    </row>
    <row r="16" spans="1:5" ht="31.5" x14ac:dyDescent="0.25">
      <c r="A16" s="20" t="s">
        <v>67</v>
      </c>
      <c r="B16" s="255" t="s">
        <v>159</v>
      </c>
      <c r="C16" s="256" t="s">
        <v>160</v>
      </c>
      <c r="D16" s="72" t="s">
        <v>84</v>
      </c>
      <c r="E16" s="72">
        <v>1</v>
      </c>
    </row>
    <row r="17" spans="1:5" ht="15.75" x14ac:dyDescent="0.25">
      <c r="A17" s="20" t="s">
        <v>70</v>
      </c>
      <c r="B17" s="255" t="s">
        <v>77</v>
      </c>
      <c r="C17" s="257" t="s">
        <v>168</v>
      </c>
      <c r="D17" s="71" t="s">
        <v>84</v>
      </c>
      <c r="E17" s="71">
        <v>1</v>
      </c>
    </row>
    <row r="18" spans="1:5" ht="31.5" x14ac:dyDescent="0.25">
      <c r="A18" s="20" t="s">
        <v>69</v>
      </c>
      <c r="B18" s="255" t="s">
        <v>181</v>
      </c>
      <c r="C18" s="256" t="s">
        <v>243</v>
      </c>
      <c r="D18" s="72" t="s">
        <v>84</v>
      </c>
      <c r="E18" s="72">
        <v>1</v>
      </c>
    </row>
    <row r="19" spans="1:5" ht="31.5" x14ac:dyDescent="0.25">
      <c r="A19" s="20" t="s">
        <v>68</v>
      </c>
      <c r="B19" s="255" t="s">
        <v>183</v>
      </c>
      <c r="C19" s="256" t="s">
        <v>244</v>
      </c>
      <c r="D19" s="71" t="s">
        <v>84</v>
      </c>
      <c r="E19" s="71">
        <v>1</v>
      </c>
    </row>
    <row r="20" spans="1:5" ht="47.25" x14ac:dyDescent="0.25">
      <c r="A20" s="20" t="s">
        <v>72</v>
      </c>
      <c r="B20" s="255" t="s">
        <v>185</v>
      </c>
      <c r="C20" s="256" t="s">
        <v>246</v>
      </c>
      <c r="D20" s="72" t="s">
        <v>84</v>
      </c>
      <c r="E20" s="72">
        <v>1</v>
      </c>
    </row>
    <row r="21" spans="1:5" ht="47.25" x14ac:dyDescent="0.25">
      <c r="A21" s="20" t="s">
        <v>73</v>
      </c>
      <c r="B21" s="255" t="s">
        <v>185</v>
      </c>
      <c r="C21" s="256" t="s">
        <v>245</v>
      </c>
      <c r="D21" s="71" t="s">
        <v>84</v>
      </c>
      <c r="E21" s="71">
        <v>1</v>
      </c>
    </row>
    <row r="22" spans="1:5" ht="31.5" x14ac:dyDescent="0.25">
      <c r="A22" s="16" t="s">
        <v>74</v>
      </c>
      <c r="B22" s="55" t="s">
        <v>205</v>
      </c>
      <c r="C22" s="55" t="s">
        <v>247</v>
      </c>
      <c r="D22" s="72" t="s">
        <v>84</v>
      </c>
      <c r="E22" s="72">
        <v>1</v>
      </c>
    </row>
    <row r="25" spans="1:5" ht="53.25" customHeight="1" x14ac:dyDescent="0.25">
      <c r="A25" s="283" t="s">
        <v>85</v>
      </c>
      <c r="B25" s="283"/>
      <c r="C25" s="283"/>
      <c r="D25" s="73"/>
      <c r="E25" s="74" t="s">
        <v>86</v>
      </c>
    </row>
  </sheetData>
  <mergeCells count="8">
    <mergeCell ref="A25:C25"/>
    <mergeCell ref="A1:E1"/>
    <mergeCell ref="B3:E3"/>
    <mergeCell ref="A5:A7"/>
    <mergeCell ref="B5:B7"/>
    <mergeCell ref="C5:C7"/>
    <mergeCell ref="D5:D7"/>
    <mergeCell ref="E5:E7"/>
  </mergeCells>
  <pageMargins left="0.7" right="0.7" top="0.75" bottom="0.75" header="0.3" footer="0.3"/>
  <pageSetup paperSize="9" scale="66" fitToHeight="0" orientation="portrait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5"/>
  <sheetViews>
    <sheetView tabSelected="1" view="pageBreakPreview" topLeftCell="A3" zoomScaleNormal="100" zoomScaleSheetLayoutView="100" workbookViewId="0">
      <selection activeCell="G91" sqref="G91"/>
    </sheetView>
  </sheetViews>
  <sheetFormatPr defaultRowHeight="15" outlineLevelCol="1" x14ac:dyDescent="0.25"/>
  <cols>
    <col min="2" max="2" width="19.5703125" customWidth="1"/>
    <col min="3" max="3" width="55" customWidth="1"/>
    <col min="4" max="4" width="16.5703125" customWidth="1" outlineLevel="1"/>
    <col min="5" max="5" width="15.7109375" customWidth="1" outlineLevel="1"/>
    <col min="6" max="6" width="21.140625" customWidth="1" outlineLevel="1"/>
    <col min="7" max="7" width="17.5703125" customWidth="1" outlineLevel="1"/>
    <col min="8" max="8" width="17.42578125" customWidth="1" outlineLevel="1"/>
    <col min="9" max="9" width="17.140625" customWidth="1"/>
    <col min="10" max="10" width="19.28515625" customWidth="1"/>
    <col min="11" max="11" width="19.42578125" customWidth="1"/>
    <col min="12" max="12" width="17" customWidth="1"/>
    <col min="13" max="13" width="20.140625" customWidth="1"/>
    <col min="14" max="14" width="13.140625" customWidth="1"/>
    <col min="15" max="15" width="13.85546875" customWidth="1"/>
    <col min="16" max="16" width="16.42578125" customWidth="1"/>
    <col min="17" max="17" width="13.42578125" customWidth="1"/>
  </cols>
  <sheetData>
    <row r="1" spans="1:13" ht="15.75" hidden="1" x14ac:dyDescent="0.25">
      <c r="A1" s="316" t="s">
        <v>59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</row>
    <row r="2" spans="1:13" ht="15.75" hidden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32.25" customHeight="1" x14ac:dyDescent="0.25">
      <c r="A3" s="316" t="s">
        <v>59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</row>
    <row r="4" spans="1:13" ht="42" customHeight="1" x14ac:dyDescent="0.25">
      <c r="A4" s="316" t="s">
        <v>236</v>
      </c>
      <c r="B4" s="317"/>
      <c r="C4" s="317"/>
      <c r="D4" s="317"/>
      <c r="E4" s="317"/>
      <c r="F4" s="317"/>
      <c r="G4" s="317"/>
      <c r="H4" s="317"/>
      <c r="I4" s="317"/>
      <c r="J4" s="317"/>
      <c r="K4" s="317"/>
      <c r="L4" s="317"/>
      <c r="M4" s="317"/>
    </row>
    <row r="5" spans="1:13" ht="15.75" x14ac:dyDescent="0.25">
      <c r="A5" s="318" t="s">
        <v>237</v>
      </c>
      <c r="B5" s="318"/>
      <c r="C5" s="318"/>
      <c r="D5" s="318"/>
      <c r="E5" s="318"/>
      <c r="F5" s="318"/>
      <c r="G5" s="318"/>
      <c r="H5" s="318"/>
      <c r="I5" s="318"/>
      <c r="J5" s="318"/>
      <c r="K5" s="318"/>
      <c r="L5" s="318"/>
      <c r="M5" s="318"/>
    </row>
    <row r="6" spans="1:13" ht="15.75" x14ac:dyDescent="0.25">
      <c r="A6" s="2" t="s">
        <v>11</v>
      </c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customHeight="1" x14ac:dyDescent="0.25">
      <c r="A7" s="273" t="s">
        <v>261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ht="58.5" customHeight="1" x14ac:dyDescent="0.25">
      <c r="A8" s="319" t="s">
        <v>238</v>
      </c>
      <c r="B8" s="319"/>
      <c r="C8" s="319"/>
      <c r="D8" s="319"/>
      <c r="E8" s="319"/>
      <c r="F8" s="319"/>
      <c r="G8" s="319"/>
      <c r="H8" s="319"/>
      <c r="I8" s="319"/>
      <c r="J8" s="319"/>
      <c r="K8" s="319"/>
      <c r="L8" s="319"/>
      <c r="M8" s="319"/>
    </row>
    <row r="9" spans="1:13" ht="30" customHeight="1" x14ac:dyDescent="0.25">
      <c r="A9" s="320" t="s">
        <v>239</v>
      </c>
      <c r="B9" s="320"/>
      <c r="C9" s="320"/>
      <c r="D9" s="320"/>
      <c r="E9" s="320"/>
      <c r="F9" s="320"/>
      <c r="G9" s="320"/>
      <c r="H9" s="320"/>
      <c r="I9" s="320"/>
      <c r="J9" s="320"/>
      <c r="K9" s="320"/>
      <c r="L9" s="320"/>
      <c r="M9" s="320"/>
    </row>
    <row r="10" spans="1:13" ht="141.75" x14ac:dyDescent="0.25">
      <c r="A10" s="5" t="s">
        <v>12</v>
      </c>
      <c r="B10" s="5" t="s">
        <v>4</v>
      </c>
      <c r="C10" s="6" t="s">
        <v>13</v>
      </c>
      <c r="D10" s="7" t="s">
        <v>14</v>
      </c>
      <c r="E10" s="8" t="s">
        <v>15</v>
      </c>
      <c r="F10" s="7" t="s">
        <v>16</v>
      </c>
      <c r="G10" s="7" t="s">
        <v>17</v>
      </c>
      <c r="H10" s="9" t="s">
        <v>242</v>
      </c>
      <c r="I10" s="10" t="s">
        <v>241</v>
      </c>
      <c r="J10" s="10" t="s">
        <v>18</v>
      </c>
      <c r="K10" s="10" t="s">
        <v>19</v>
      </c>
      <c r="L10" s="10" t="s">
        <v>20</v>
      </c>
      <c r="M10" s="10" t="s">
        <v>21</v>
      </c>
    </row>
    <row r="11" spans="1:13" ht="15.75" x14ac:dyDescent="0.25">
      <c r="A11" s="5">
        <v>1</v>
      </c>
      <c r="B11" s="5"/>
      <c r="C11" s="5">
        <v>2</v>
      </c>
      <c r="D11" s="11"/>
      <c r="E11" s="11"/>
      <c r="F11" s="11"/>
      <c r="G11" s="11"/>
      <c r="H11" s="11"/>
      <c r="I11" s="12">
        <v>3</v>
      </c>
      <c r="J11" s="12">
        <v>4</v>
      </c>
      <c r="K11" s="12">
        <v>5</v>
      </c>
      <c r="L11" s="12">
        <v>6</v>
      </c>
      <c r="M11" s="12">
        <v>7</v>
      </c>
    </row>
    <row r="12" spans="1:13" ht="30.75" customHeight="1" x14ac:dyDescent="0.25">
      <c r="A12" s="13" t="s">
        <v>61</v>
      </c>
      <c r="B12" s="13"/>
      <c r="C12" s="13" t="s">
        <v>60</v>
      </c>
      <c r="D12" s="14"/>
      <c r="E12" s="14"/>
      <c r="F12" s="14"/>
      <c r="G12" s="14"/>
      <c r="H12" s="14"/>
      <c r="I12" s="15">
        <f>I13+I14</f>
        <v>341022.71999999997</v>
      </c>
      <c r="J12" s="15"/>
      <c r="K12" s="15">
        <f>K13+K14</f>
        <v>457038.65</v>
      </c>
      <c r="L12" s="15"/>
      <c r="M12" s="15">
        <f>M13+M14</f>
        <v>461426.22</v>
      </c>
    </row>
    <row r="13" spans="1:13" ht="30.75" customHeight="1" x14ac:dyDescent="0.25">
      <c r="A13" s="16" t="s">
        <v>22</v>
      </c>
      <c r="B13" s="52" t="s">
        <v>195</v>
      </c>
      <c r="C13" s="16" t="s">
        <v>23</v>
      </c>
      <c r="D13" s="11"/>
      <c r="E13" s="11"/>
      <c r="F13" s="11"/>
      <c r="G13" s="11"/>
      <c r="H13" s="11"/>
      <c r="I13" s="17">
        <v>334336</v>
      </c>
      <c r="J13" s="18">
        <f>$F$61</f>
        <v>1.3402000000000001</v>
      </c>
      <c r="K13" s="17">
        <f>I13*J13</f>
        <v>448077.11</v>
      </c>
      <c r="L13" s="18">
        <f>F75</f>
        <v>1.0096000000000001</v>
      </c>
      <c r="M13" s="17">
        <f>K13*L13</f>
        <v>452378.65</v>
      </c>
    </row>
    <row r="14" spans="1:13" ht="57" customHeight="1" x14ac:dyDescent="0.25">
      <c r="A14" s="16" t="s">
        <v>24</v>
      </c>
      <c r="B14" s="55" t="s">
        <v>205</v>
      </c>
      <c r="C14" s="53" t="s">
        <v>240</v>
      </c>
      <c r="D14" s="11"/>
      <c r="E14" s="11"/>
      <c r="F14" s="11"/>
      <c r="G14" s="11"/>
      <c r="H14" s="11"/>
      <c r="I14" s="58">
        <f>I13*0.02</f>
        <v>6686.72</v>
      </c>
      <c r="J14" s="18">
        <f>$F$61</f>
        <v>1.3402000000000001</v>
      </c>
      <c r="K14" s="17">
        <f>I14*J14</f>
        <v>8961.5400000000009</v>
      </c>
      <c r="L14" s="18">
        <f>F75</f>
        <v>1.0096000000000001</v>
      </c>
      <c r="M14" s="17">
        <f>K14*L14</f>
        <v>9047.57</v>
      </c>
    </row>
    <row r="15" spans="1:13" ht="30.75" customHeight="1" x14ac:dyDescent="0.25">
      <c r="A15" s="13" t="s">
        <v>27</v>
      </c>
      <c r="B15" s="13"/>
      <c r="C15" s="13" t="s">
        <v>25</v>
      </c>
      <c r="D15" s="14"/>
      <c r="E15" s="14"/>
      <c r="F15" s="14"/>
      <c r="G15" s="14"/>
      <c r="H15" s="14"/>
      <c r="I15" s="15">
        <f>I16+I17+I18+I19+I20+I21+I22+I23+I24+I25</f>
        <v>6820657.4400000004</v>
      </c>
      <c r="J15" s="19"/>
      <c r="K15" s="15">
        <f>K16+K17+K18+K19+K20+K21+K22+K23+K24+K25</f>
        <v>8915492.5099999998</v>
      </c>
      <c r="L15" s="19"/>
      <c r="M15" s="15">
        <f>M16+M17+M18+M19+M20+M21+M22+M23+M24+M25</f>
        <v>9169669.25</v>
      </c>
    </row>
    <row r="16" spans="1:13" ht="76.5" customHeight="1" x14ac:dyDescent="0.25">
      <c r="A16" s="20" t="s">
        <v>28</v>
      </c>
      <c r="B16" s="255" t="s">
        <v>153</v>
      </c>
      <c r="C16" s="256" t="s">
        <v>154</v>
      </c>
      <c r="D16" s="59">
        <f>215*9.09</f>
        <v>1954.35</v>
      </c>
      <c r="E16" s="59"/>
      <c r="F16" s="59"/>
      <c r="G16" s="59">
        <f t="shared" ref="G16:G24" si="0">F16+E16+D16</f>
        <v>1954.35</v>
      </c>
      <c r="H16" s="59">
        <f t="shared" ref="H16:H24" si="1">D16*1.015-D16*0.015*0.15+E16+F16</f>
        <v>1979.27</v>
      </c>
      <c r="I16" s="21">
        <f>H16</f>
        <v>1979.27</v>
      </c>
      <c r="J16" s="18">
        <f t="shared" ref="J16:J22" si="2">$F$61</f>
        <v>1.3402000000000001</v>
      </c>
      <c r="K16" s="17">
        <f>I16*J16</f>
        <v>2652.62</v>
      </c>
      <c r="L16" s="22">
        <f>$F$91</f>
        <v>1.0307999999999999</v>
      </c>
      <c r="M16" s="17">
        <f>K16*L16</f>
        <v>2734.32</v>
      </c>
    </row>
    <row r="17" spans="1:13" ht="27" customHeight="1" x14ac:dyDescent="0.25">
      <c r="A17" s="23" t="s">
        <v>29</v>
      </c>
      <c r="B17" s="255" t="s">
        <v>155</v>
      </c>
      <c r="C17" s="256" t="s">
        <v>156</v>
      </c>
      <c r="D17" s="59"/>
      <c r="E17" s="59"/>
      <c r="F17" s="59">
        <f>68416.68*4.29</f>
        <v>293507.56</v>
      </c>
      <c r="G17" s="59">
        <f t="shared" si="0"/>
        <v>293507.56</v>
      </c>
      <c r="H17" s="59">
        <f t="shared" si="1"/>
        <v>293507.56</v>
      </c>
      <c r="I17" s="21">
        <f>H17</f>
        <v>293507.56</v>
      </c>
      <c r="J17" s="18">
        <f t="shared" si="2"/>
        <v>1.3402000000000001</v>
      </c>
      <c r="K17" s="17">
        <f t="shared" ref="K17:K25" si="3">I17*J17</f>
        <v>393358.83</v>
      </c>
      <c r="L17" s="22">
        <f>$F$91</f>
        <v>1.0307999999999999</v>
      </c>
      <c r="M17" s="17">
        <f t="shared" ref="M17:M25" si="4">K17*L17</f>
        <v>405474.28</v>
      </c>
    </row>
    <row r="18" spans="1:13" ht="45.75" customHeight="1" x14ac:dyDescent="0.25">
      <c r="A18" s="20" t="s">
        <v>71</v>
      </c>
      <c r="B18" s="255" t="s">
        <v>157</v>
      </c>
      <c r="C18" s="256" t="s">
        <v>158</v>
      </c>
      <c r="D18" s="59"/>
      <c r="E18" s="59"/>
      <c r="F18" s="59">
        <f>24458.34*4.29</f>
        <v>104926.28</v>
      </c>
      <c r="G18" s="59">
        <f t="shared" si="0"/>
        <v>104926.28</v>
      </c>
      <c r="H18" s="59">
        <f t="shared" si="1"/>
        <v>104926.28</v>
      </c>
      <c r="I18" s="21">
        <f t="shared" ref="I18:I24" si="5">H18</f>
        <v>104926.28</v>
      </c>
      <c r="J18" s="18">
        <f t="shared" si="2"/>
        <v>1.3402000000000001</v>
      </c>
      <c r="K18" s="17">
        <f t="shared" si="3"/>
        <v>140622.20000000001</v>
      </c>
      <c r="L18" s="22">
        <f>$F$91</f>
        <v>1.0307999999999999</v>
      </c>
      <c r="M18" s="17">
        <f t="shared" si="4"/>
        <v>144953.35999999999</v>
      </c>
    </row>
    <row r="19" spans="1:13" ht="42.75" customHeight="1" x14ac:dyDescent="0.25">
      <c r="A19" s="20" t="s">
        <v>67</v>
      </c>
      <c r="B19" s="255" t="s">
        <v>159</v>
      </c>
      <c r="C19" s="256" t="s">
        <v>160</v>
      </c>
      <c r="D19" s="59">
        <f>70578*9.09</f>
        <v>641554.02</v>
      </c>
      <c r="E19" s="60"/>
      <c r="F19" s="59"/>
      <c r="G19" s="59">
        <f t="shared" si="0"/>
        <v>641554.02</v>
      </c>
      <c r="H19" s="59">
        <f t="shared" si="1"/>
        <v>649733.82999999996</v>
      </c>
      <c r="I19" s="21">
        <f t="shared" si="5"/>
        <v>649733.82999999996</v>
      </c>
      <c r="J19" s="18">
        <f t="shared" si="2"/>
        <v>1.3402000000000001</v>
      </c>
      <c r="K19" s="17">
        <f t="shared" si="3"/>
        <v>870773.28</v>
      </c>
      <c r="L19" s="22">
        <f>$F$91</f>
        <v>1.0307999999999999</v>
      </c>
      <c r="M19" s="17">
        <f t="shared" si="4"/>
        <v>897593.1</v>
      </c>
    </row>
    <row r="20" spans="1:13" ht="38.25" customHeight="1" x14ac:dyDescent="0.25">
      <c r="A20" s="20" t="s">
        <v>70</v>
      </c>
      <c r="B20" s="255" t="s">
        <v>77</v>
      </c>
      <c r="C20" s="257" t="s">
        <v>168</v>
      </c>
      <c r="D20" s="59">
        <f>539020*9.09</f>
        <v>4899691.8</v>
      </c>
      <c r="E20" s="59"/>
      <c r="F20" s="59"/>
      <c r="G20" s="59">
        <f t="shared" si="0"/>
        <v>4899691.8</v>
      </c>
      <c r="H20" s="59">
        <f t="shared" si="1"/>
        <v>4962162.87</v>
      </c>
      <c r="I20" s="21">
        <f t="shared" si="5"/>
        <v>4962162.87</v>
      </c>
      <c r="J20" s="18">
        <f t="shared" si="2"/>
        <v>1.3402000000000001</v>
      </c>
      <c r="K20" s="17">
        <f t="shared" si="3"/>
        <v>6650290.6799999997</v>
      </c>
      <c r="L20" s="22">
        <f>$F$91</f>
        <v>1.0307999999999999</v>
      </c>
      <c r="M20" s="17">
        <f>K20*L20-0.02</f>
        <v>6855119.6100000003</v>
      </c>
    </row>
    <row r="21" spans="1:13" ht="54.75" customHeight="1" x14ac:dyDescent="0.25">
      <c r="A21" s="20" t="s">
        <v>69</v>
      </c>
      <c r="B21" s="255" t="s">
        <v>181</v>
      </c>
      <c r="C21" s="256" t="s">
        <v>243</v>
      </c>
      <c r="D21" s="60"/>
      <c r="E21" s="60"/>
      <c r="F21" s="59">
        <v>250.55</v>
      </c>
      <c r="G21" s="59">
        <f t="shared" si="0"/>
        <v>250.55</v>
      </c>
      <c r="H21" s="59">
        <f t="shared" si="1"/>
        <v>250.55</v>
      </c>
      <c r="I21" s="21">
        <f t="shared" si="5"/>
        <v>250.55</v>
      </c>
      <c r="J21" s="18">
        <f t="shared" si="2"/>
        <v>1.3402000000000001</v>
      </c>
      <c r="K21" s="17">
        <f t="shared" si="3"/>
        <v>335.79</v>
      </c>
      <c r="L21" s="22">
        <f>$F$91</f>
        <v>1.0307999999999999</v>
      </c>
      <c r="M21" s="17">
        <f t="shared" si="4"/>
        <v>346.13</v>
      </c>
    </row>
    <row r="22" spans="1:13" ht="43.5" customHeight="1" x14ac:dyDescent="0.25">
      <c r="A22" s="20" t="s">
        <v>68</v>
      </c>
      <c r="B22" s="255" t="s">
        <v>183</v>
      </c>
      <c r="C22" s="256" t="s">
        <v>244</v>
      </c>
      <c r="D22" s="60"/>
      <c r="E22" s="60"/>
      <c r="F22" s="59">
        <v>1478.7</v>
      </c>
      <c r="G22" s="59">
        <f t="shared" si="0"/>
        <v>1478.7</v>
      </c>
      <c r="H22" s="59">
        <f t="shared" si="1"/>
        <v>1478.7</v>
      </c>
      <c r="I22" s="21">
        <f t="shared" si="5"/>
        <v>1478.7</v>
      </c>
      <c r="J22" s="18">
        <f t="shared" si="2"/>
        <v>1.3402000000000001</v>
      </c>
      <c r="K22" s="17">
        <f t="shared" si="3"/>
        <v>1981.75</v>
      </c>
      <c r="L22" s="22">
        <f>$F$91</f>
        <v>1.0307999999999999</v>
      </c>
      <c r="M22" s="17">
        <f t="shared" si="4"/>
        <v>2042.79</v>
      </c>
    </row>
    <row r="23" spans="1:13" ht="43.5" customHeight="1" x14ac:dyDescent="0.25">
      <c r="A23" s="20" t="s">
        <v>72</v>
      </c>
      <c r="B23" s="255" t="s">
        <v>185</v>
      </c>
      <c r="C23" s="256" t="s">
        <v>246</v>
      </c>
      <c r="D23" s="60"/>
      <c r="E23" s="60"/>
      <c r="F23" s="59">
        <v>663000</v>
      </c>
      <c r="G23" s="59">
        <f t="shared" si="0"/>
        <v>663000</v>
      </c>
      <c r="H23" s="59">
        <f t="shared" si="1"/>
        <v>663000</v>
      </c>
      <c r="I23" s="21">
        <f t="shared" si="5"/>
        <v>663000</v>
      </c>
      <c r="J23" s="271">
        <v>1</v>
      </c>
      <c r="K23" s="17">
        <f t="shared" si="3"/>
        <v>663000</v>
      </c>
      <c r="L23" s="272">
        <v>1</v>
      </c>
      <c r="M23" s="17">
        <f t="shared" si="4"/>
        <v>663000</v>
      </c>
    </row>
    <row r="24" spans="1:13" ht="48.75" customHeight="1" x14ac:dyDescent="0.25">
      <c r="A24" s="20" t="s">
        <v>73</v>
      </c>
      <c r="B24" s="255" t="s">
        <v>185</v>
      </c>
      <c r="C24" s="256" t="s">
        <v>245</v>
      </c>
      <c r="D24" s="60"/>
      <c r="E24" s="60"/>
      <c r="F24" s="59">
        <v>9880</v>
      </c>
      <c r="G24" s="59">
        <f t="shared" si="0"/>
        <v>9880</v>
      </c>
      <c r="H24" s="59">
        <f t="shared" si="1"/>
        <v>9880</v>
      </c>
      <c r="I24" s="21">
        <f t="shared" si="5"/>
        <v>9880</v>
      </c>
      <c r="J24" s="18">
        <f>$F$61</f>
        <v>1.3402000000000001</v>
      </c>
      <c r="K24" s="17">
        <f t="shared" si="3"/>
        <v>13241.18</v>
      </c>
      <c r="L24" s="22">
        <f>$F$91</f>
        <v>1.0307999999999999</v>
      </c>
      <c r="M24" s="17">
        <f t="shared" si="4"/>
        <v>13649.01</v>
      </c>
    </row>
    <row r="25" spans="1:13" ht="50.25" customHeight="1" x14ac:dyDescent="0.25">
      <c r="A25" s="16" t="s">
        <v>74</v>
      </c>
      <c r="B25" s="55" t="s">
        <v>205</v>
      </c>
      <c r="C25" s="55" t="s">
        <v>247</v>
      </c>
      <c r="D25" s="60"/>
      <c r="E25" s="60"/>
      <c r="F25" s="60"/>
      <c r="G25" s="60"/>
      <c r="H25" s="60"/>
      <c r="I25" s="21">
        <f>(I16+I17+I18+I19+I20+I21+I22+I23+I24)*0.02</f>
        <v>133738.38</v>
      </c>
      <c r="J25" s="18">
        <f>$F$61</f>
        <v>1.3402000000000001</v>
      </c>
      <c r="K25" s="17">
        <f t="shared" si="3"/>
        <v>179236.18</v>
      </c>
      <c r="L25" s="22">
        <f>$F$91</f>
        <v>1.0307999999999999</v>
      </c>
      <c r="M25" s="17">
        <f t="shared" si="4"/>
        <v>184756.65</v>
      </c>
    </row>
    <row r="26" spans="1:13" ht="19.5" customHeight="1" x14ac:dyDescent="0.25">
      <c r="A26" s="54"/>
      <c r="B26" s="56"/>
      <c r="C26" s="57" t="s">
        <v>62</v>
      </c>
      <c r="D26" s="24"/>
      <c r="E26" s="24"/>
      <c r="F26" s="24"/>
      <c r="G26" s="24"/>
      <c r="H26" s="24"/>
      <c r="I26" s="25">
        <f>I12+I15</f>
        <v>7161680.1600000001</v>
      </c>
      <c r="J26" s="25"/>
      <c r="K26" s="25">
        <f>K12+K15</f>
        <v>9372531.1600000001</v>
      </c>
      <c r="L26" s="25"/>
      <c r="M26" s="25">
        <f>M12+M15</f>
        <v>9631095.4700000007</v>
      </c>
    </row>
    <row r="27" spans="1:13" ht="15.75" x14ac:dyDescent="0.25">
      <c r="A27" s="54"/>
      <c r="B27" s="56"/>
      <c r="C27" s="57" t="s">
        <v>26</v>
      </c>
      <c r="D27" s="24"/>
      <c r="E27" s="24"/>
      <c r="F27" s="24"/>
      <c r="G27" s="24"/>
      <c r="H27" s="24"/>
      <c r="I27" s="25">
        <f>I26*0.2</f>
        <v>1432336.03</v>
      </c>
      <c r="J27" s="25"/>
      <c r="K27" s="25">
        <f>K26*0.2</f>
        <v>1874506.23</v>
      </c>
      <c r="L27" s="25"/>
      <c r="M27" s="25">
        <f>M26*0.2</f>
        <v>1926219.09</v>
      </c>
    </row>
    <row r="28" spans="1:13" ht="20.25" customHeight="1" x14ac:dyDescent="0.25">
      <c r="A28" s="54"/>
      <c r="B28" s="56"/>
      <c r="C28" s="57" t="s">
        <v>63</v>
      </c>
      <c r="D28" s="24"/>
      <c r="E28" s="24"/>
      <c r="F28" s="24"/>
      <c r="G28" s="24"/>
      <c r="H28" s="24"/>
      <c r="I28" s="25">
        <f>I26+I27</f>
        <v>8594016.1899999995</v>
      </c>
      <c r="J28" s="25"/>
      <c r="K28" s="25">
        <f>K26+K27</f>
        <v>11247037.390000001</v>
      </c>
      <c r="L28" s="25"/>
      <c r="M28" s="25">
        <f>M26+M27</f>
        <v>11557314.560000001</v>
      </c>
    </row>
    <row r="29" spans="1:13" ht="15.75" x14ac:dyDescent="0.25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</row>
    <row r="30" spans="1:13" ht="15.75" x14ac:dyDescent="0.25">
      <c r="A30" s="26"/>
      <c r="B30" s="26"/>
      <c r="C30" s="26"/>
      <c r="D30" s="26"/>
      <c r="E30" s="95"/>
      <c r="F30" s="26"/>
      <c r="G30" s="26"/>
      <c r="H30" s="26"/>
      <c r="I30" s="27"/>
      <c r="J30" s="26" t="s">
        <v>64</v>
      </c>
      <c r="K30" s="26"/>
      <c r="L30" s="26"/>
      <c r="M30" s="28">
        <f>F61*F75</f>
        <v>1.3531</v>
      </c>
    </row>
    <row r="31" spans="1:13" ht="15.75" x14ac:dyDescent="0.25">
      <c r="A31" s="26"/>
      <c r="B31" s="26"/>
      <c r="C31" s="26"/>
      <c r="D31" s="26"/>
      <c r="E31" s="26"/>
      <c r="F31" s="26"/>
      <c r="G31" s="26"/>
      <c r="H31" s="26"/>
      <c r="I31" s="26"/>
      <c r="J31" s="26" t="s">
        <v>65</v>
      </c>
      <c r="K31" s="26"/>
      <c r="L31" s="26"/>
      <c r="M31" s="28">
        <f>F61*F91</f>
        <v>1.3815</v>
      </c>
    </row>
    <row r="32" spans="1:13" ht="15.75" x14ac:dyDescent="0.25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8"/>
    </row>
    <row r="33" spans="1:16" ht="15.75" x14ac:dyDescent="0.25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8"/>
    </row>
    <row r="34" spans="1:16" ht="15.75" x14ac:dyDescent="0.25">
      <c r="A34" s="321" t="s">
        <v>30</v>
      </c>
      <c r="B34" s="321"/>
      <c r="C34" s="321"/>
      <c r="D34" s="321"/>
      <c r="E34" s="321"/>
      <c r="F34" s="321"/>
      <c r="G34" s="321"/>
      <c r="H34" s="321"/>
      <c r="I34" s="321"/>
      <c r="J34" s="321"/>
      <c r="K34" s="321"/>
      <c r="L34" s="321"/>
      <c r="M34" s="321"/>
    </row>
    <row r="35" spans="1:16" ht="15.75" x14ac:dyDescent="0.25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</row>
    <row r="36" spans="1:16" ht="51" customHeight="1" x14ac:dyDescent="0.25">
      <c r="A36" s="29"/>
      <c r="B36" s="322" t="s">
        <v>249</v>
      </c>
      <c r="C36" s="322"/>
      <c r="D36" s="322"/>
      <c r="E36" s="322"/>
      <c r="F36" s="323"/>
      <c r="G36" s="323"/>
      <c r="H36" s="323"/>
      <c r="I36" s="323"/>
      <c r="J36" s="323"/>
      <c r="K36" s="323"/>
      <c r="L36" s="323"/>
      <c r="M36" s="323"/>
    </row>
    <row r="37" spans="1:16" ht="15.75" x14ac:dyDescent="0.25">
      <c r="A37" s="29"/>
      <c r="B37" s="324" t="s">
        <v>31</v>
      </c>
      <c r="C37" s="324"/>
      <c r="D37" s="325"/>
      <c r="E37" s="325"/>
      <c r="F37" s="326"/>
      <c r="G37" s="326"/>
      <c r="H37" s="326"/>
      <c r="I37" s="326"/>
      <c r="J37" s="326"/>
      <c r="K37" s="326"/>
      <c r="L37" s="326"/>
      <c r="M37" s="326"/>
    </row>
    <row r="38" spans="1:16" ht="30" x14ac:dyDescent="0.25">
      <c r="A38" s="29"/>
      <c r="B38" s="327"/>
      <c r="C38" s="327" t="s">
        <v>32</v>
      </c>
      <c r="D38" s="329">
        <v>2019</v>
      </c>
      <c r="E38" s="329" t="s">
        <v>33</v>
      </c>
      <c r="F38" s="329" t="s">
        <v>33</v>
      </c>
      <c r="G38" s="329" t="s">
        <v>33</v>
      </c>
      <c r="H38" s="329" t="s">
        <v>33</v>
      </c>
      <c r="I38" s="329" t="s">
        <v>33</v>
      </c>
      <c r="J38" s="329" t="s">
        <v>33</v>
      </c>
      <c r="K38" s="329" t="s">
        <v>33</v>
      </c>
      <c r="L38" s="329" t="s">
        <v>33</v>
      </c>
      <c r="M38" s="329" t="s">
        <v>33</v>
      </c>
      <c r="N38" s="329" t="s">
        <v>33</v>
      </c>
      <c r="O38" s="330" t="s">
        <v>33</v>
      </c>
      <c r="P38" s="267" t="s">
        <v>250</v>
      </c>
    </row>
    <row r="39" spans="1:16" ht="15.75" x14ac:dyDescent="0.25">
      <c r="A39" s="29"/>
      <c r="B39" s="327"/>
      <c r="C39" s="327"/>
      <c r="D39" s="30" t="s">
        <v>34</v>
      </c>
      <c r="E39" s="30" t="s">
        <v>35</v>
      </c>
      <c r="F39" s="30" t="s">
        <v>36</v>
      </c>
      <c r="G39" s="30" t="s">
        <v>37</v>
      </c>
      <c r="H39" s="30" t="s">
        <v>38</v>
      </c>
      <c r="I39" s="30" t="s">
        <v>39</v>
      </c>
      <c r="J39" s="30" t="s">
        <v>40</v>
      </c>
      <c r="K39" s="30" t="s">
        <v>41</v>
      </c>
      <c r="L39" s="30" t="s">
        <v>42</v>
      </c>
      <c r="M39" s="30" t="s">
        <v>43</v>
      </c>
      <c r="N39" s="30" t="s">
        <v>44</v>
      </c>
      <c r="O39" s="264" t="s">
        <v>45</v>
      </c>
      <c r="P39" s="263"/>
    </row>
    <row r="40" spans="1:16" ht="15.75" x14ac:dyDescent="0.25">
      <c r="A40" s="26"/>
      <c r="B40" s="327"/>
      <c r="C40" s="328"/>
      <c r="D40" s="259"/>
      <c r="E40" s="259"/>
      <c r="F40" s="259"/>
      <c r="G40" s="259"/>
      <c r="H40" s="259"/>
      <c r="I40" s="259"/>
      <c r="J40" s="260"/>
      <c r="K40" s="259"/>
      <c r="L40" s="259"/>
      <c r="M40" s="259">
        <v>100.22</v>
      </c>
      <c r="N40" s="259">
        <v>100.25</v>
      </c>
      <c r="O40" s="265">
        <v>100.08</v>
      </c>
      <c r="P40" s="263"/>
    </row>
    <row r="41" spans="1:16" ht="15.75" x14ac:dyDescent="0.25">
      <c r="A41" s="26"/>
      <c r="B41" s="26"/>
      <c r="C41" s="31" t="s">
        <v>46</v>
      </c>
      <c r="D41" s="258">
        <f t="shared" ref="D41" si="6">D40/100</f>
        <v>0</v>
      </c>
      <c r="E41" s="258">
        <f t="shared" ref="E41:O41" si="7">E40/100</f>
        <v>0</v>
      </c>
      <c r="F41" s="258">
        <f t="shared" si="7"/>
        <v>0</v>
      </c>
      <c r="G41" s="258">
        <f t="shared" si="7"/>
        <v>0</v>
      </c>
      <c r="H41" s="258">
        <f t="shared" si="7"/>
        <v>0</v>
      </c>
      <c r="I41" s="258">
        <f t="shared" si="7"/>
        <v>0</v>
      </c>
      <c r="J41" s="258">
        <f t="shared" si="7"/>
        <v>0</v>
      </c>
      <c r="K41" s="258">
        <f t="shared" si="7"/>
        <v>0</v>
      </c>
      <c r="L41" s="258">
        <f t="shared" si="7"/>
        <v>0</v>
      </c>
      <c r="M41" s="258">
        <f t="shared" si="7"/>
        <v>1.0022</v>
      </c>
      <c r="N41" s="258">
        <f t="shared" si="7"/>
        <v>1.0024999999999999</v>
      </c>
      <c r="O41" s="266">
        <f t="shared" si="7"/>
        <v>1.0007999999999999</v>
      </c>
      <c r="P41" s="268">
        <f>M41*N41*O41</f>
        <v>1.0055000000000001</v>
      </c>
    </row>
    <row r="42" spans="1:16" ht="15.75" x14ac:dyDescent="0.25">
      <c r="A42" s="26"/>
      <c r="B42" s="327"/>
      <c r="C42" s="327" t="s">
        <v>32</v>
      </c>
      <c r="D42" s="329">
        <v>2020</v>
      </c>
      <c r="E42" s="329" t="s">
        <v>33</v>
      </c>
      <c r="F42" s="329" t="s">
        <v>33</v>
      </c>
      <c r="G42" s="329" t="s">
        <v>33</v>
      </c>
      <c r="H42" s="329" t="s">
        <v>33</v>
      </c>
      <c r="I42" s="329" t="s">
        <v>33</v>
      </c>
      <c r="J42" s="329" t="s">
        <v>33</v>
      </c>
      <c r="K42" s="329" t="s">
        <v>33</v>
      </c>
      <c r="L42" s="329" t="s">
        <v>33</v>
      </c>
      <c r="M42" s="329" t="s">
        <v>33</v>
      </c>
      <c r="N42" s="329" t="s">
        <v>33</v>
      </c>
      <c r="O42" s="330" t="s">
        <v>33</v>
      </c>
      <c r="P42" s="263"/>
    </row>
    <row r="43" spans="1:16" ht="15.75" x14ac:dyDescent="0.25">
      <c r="A43" s="26"/>
      <c r="B43" s="327"/>
      <c r="C43" s="327"/>
      <c r="D43" s="152" t="s">
        <v>34</v>
      </c>
      <c r="E43" s="152" t="s">
        <v>35</v>
      </c>
      <c r="F43" s="152" t="s">
        <v>36</v>
      </c>
      <c r="G43" s="152" t="s">
        <v>37</v>
      </c>
      <c r="H43" s="152" t="s">
        <v>38</v>
      </c>
      <c r="I43" s="152" t="s">
        <v>39</v>
      </c>
      <c r="J43" s="152" t="s">
        <v>40</v>
      </c>
      <c r="K43" s="152" t="s">
        <v>41</v>
      </c>
      <c r="L43" s="152" t="s">
        <v>42</v>
      </c>
      <c r="M43" s="152" t="s">
        <v>43</v>
      </c>
      <c r="N43" s="152" t="s">
        <v>44</v>
      </c>
      <c r="O43" s="264" t="s">
        <v>45</v>
      </c>
      <c r="P43" s="263"/>
    </row>
    <row r="44" spans="1:16" ht="15.75" x14ac:dyDescent="0.25">
      <c r="A44" s="26"/>
      <c r="B44" s="327"/>
      <c r="C44" s="327"/>
      <c r="D44" s="261">
        <v>100</v>
      </c>
      <c r="E44" s="262">
        <v>100.52</v>
      </c>
      <c r="F44" s="262">
        <v>101.68</v>
      </c>
      <c r="G44" s="262">
        <v>100.42</v>
      </c>
      <c r="H44" s="262">
        <v>99.97</v>
      </c>
      <c r="I44" s="262">
        <v>99.64</v>
      </c>
      <c r="J44" s="262">
        <v>100.47</v>
      </c>
      <c r="K44" s="262">
        <v>100.63</v>
      </c>
      <c r="L44" s="262">
        <v>100.52</v>
      </c>
      <c r="M44" s="262">
        <v>100.41</v>
      </c>
      <c r="N44" s="262">
        <v>100.09</v>
      </c>
      <c r="O44" s="262">
        <v>99.88</v>
      </c>
      <c r="P44" s="263"/>
    </row>
    <row r="45" spans="1:16" ht="15.75" x14ac:dyDescent="0.25">
      <c r="A45" s="26"/>
      <c r="B45" s="26"/>
      <c r="C45" s="31" t="s">
        <v>46</v>
      </c>
      <c r="D45" s="258">
        <f t="shared" ref="D45:O45" si="8">D44/100</f>
        <v>1</v>
      </c>
      <c r="E45" s="258">
        <f t="shared" si="8"/>
        <v>1.0052000000000001</v>
      </c>
      <c r="F45" s="258">
        <f t="shared" si="8"/>
        <v>1.0167999999999999</v>
      </c>
      <c r="G45" s="258">
        <f t="shared" si="8"/>
        <v>1.0042</v>
      </c>
      <c r="H45" s="258">
        <f t="shared" si="8"/>
        <v>0.99970000000000003</v>
      </c>
      <c r="I45" s="258">
        <f t="shared" si="8"/>
        <v>0.99639999999999995</v>
      </c>
      <c r="J45" s="258">
        <f t="shared" si="8"/>
        <v>1.0046999999999999</v>
      </c>
      <c r="K45" s="258">
        <f t="shared" si="8"/>
        <v>1.0063</v>
      </c>
      <c r="L45" s="258">
        <f t="shared" si="8"/>
        <v>1.0052000000000001</v>
      </c>
      <c r="M45" s="258">
        <f t="shared" si="8"/>
        <v>1.0041</v>
      </c>
      <c r="N45" s="258">
        <f t="shared" si="8"/>
        <v>1.0008999999999999</v>
      </c>
      <c r="O45" s="266">
        <f t="shared" si="8"/>
        <v>0.99880000000000002</v>
      </c>
      <c r="P45" s="269">
        <f>D45*E45*F45*G45*H45*I45*J45*K45*L45*M45*N45*O45</f>
        <v>1.0429999999999999</v>
      </c>
    </row>
    <row r="46" spans="1:16" ht="15.75" x14ac:dyDescent="0.25">
      <c r="A46" s="26"/>
      <c r="B46" s="327"/>
      <c r="C46" s="327" t="s">
        <v>32</v>
      </c>
      <c r="D46" s="329">
        <v>2021</v>
      </c>
      <c r="E46" s="329" t="s">
        <v>33</v>
      </c>
      <c r="F46" s="329" t="s">
        <v>33</v>
      </c>
      <c r="G46" s="329" t="s">
        <v>33</v>
      </c>
      <c r="H46" s="329" t="s">
        <v>33</v>
      </c>
      <c r="I46" s="329" t="s">
        <v>33</v>
      </c>
      <c r="J46" s="329" t="s">
        <v>33</v>
      </c>
      <c r="K46" s="329" t="s">
        <v>33</v>
      </c>
      <c r="L46" s="329" t="s">
        <v>33</v>
      </c>
      <c r="M46" s="329" t="s">
        <v>33</v>
      </c>
      <c r="N46" s="329" t="s">
        <v>33</v>
      </c>
      <c r="O46" s="330" t="s">
        <v>33</v>
      </c>
      <c r="P46" s="263"/>
    </row>
    <row r="47" spans="1:16" ht="15.75" x14ac:dyDescent="0.25">
      <c r="A47" s="26"/>
      <c r="B47" s="327"/>
      <c r="C47" s="327"/>
      <c r="D47" s="152" t="s">
        <v>34</v>
      </c>
      <c r="E47" s="152" t="s">
        <v>35</v>
      </c>
      <c r="F47" s="152" t="s">
        <v>36</v>
      </c>
      <c r="G47" s="152" t="s">
        <v>37</v>
      </c>
      <c r="H47" s="152" t="s">
        <v>38</v>
      </c>
      <c r="I47" s="152" t="s">
        <v>39</v>
      </c>
      <c r="J47" s="152" t="s">
        <v>40</v>
      </c>
      <c r="K47" s="152" t="s">
        <v>41</v>
      </c>
      <c r="L47" s="152" t="s">
        <v>42</v>
      </c>
      <c r="M47" s="152" t="s">
        <v>43</v>
      </c>
      <c r="N47" s="152" t="s">
        <v>44</v>
      </c>
      <c r="O47" s="264" t="s">
        <v>45</v>
      </c>
      <c r="P47" s="263"/>
    </row>
    <row r="48" spans="1:16" ht="15.75" x14ac:dyDescent="0.25">
      <c r="A48" s="26"/>
      <c r="B48" s="327"/>
      <c r="C48" s="327"/>
      <c r="D48" s="262">
        <v>100.43</v>
      </c>
      <c r="E48" s="262">
        <v>100.08</v>
      </c>
      <c r="F48" s="262">
        <v>101.06</v>
      </c>
      <c r="G48" s="262">
        <v>100.85</v>
      </c>
      <c r="H48" s="262">
        <v>101.61</v>
      </c>
      <c r="I48" s="262">
        <v>101.18</v>
      </c>
      <c r="J48" s="262">
        <v>101.23</v>
      </c>
      <c r="K48" s="262">
        <v>100.85</v>
      </c>
      <c r="L48" s="262">
        <v>100.58</v>
      </c>
      <c r="M48" s="262">
        <v>100.48</v>
      </c>
      <c r="N48" s="262">
        <v>100.65</v>
      </c>
      <c r="O48" s="262">
        <v>100.71</v>
      </c>
      <c r="P48" s="263"/>
    </row>
    <row r="49" spans="1:16" ht="15.75" x14ac:dyDescent="0.25">
      <c r="A49" s="26"/>
      <c r="B49" s="26"/>
      <c r="C49" s="31" t="s">
        <v>46</v>
      </c>
      <c r="D49" s="258">
        <f t="shared" ref="D49:O49" si="9">D48/100</f>
        <v>1.0043</v>
      </c>
      <c r="E49" s="258">
        <f t="shared" si="9"/>
        <v>1.0007999999999999</v>
      </c>
      <c r="F49" s="258">
        <f t="shared" si="9"/>
        <v>1.0105999999999999</v>
      </c>
      <c r="G49" s="258">
        <f t="shared" si="9"/>
        <v>1.0085</v>
      </c>
      <c r="H49" s="258">
        <f t="shared" si="9"/>
        <v>1.0161</v>
      </c>
      <c r="I49" s="258">
        <f t="shared" si="9"/>
        <v>1.0118</v>
      </c>
      <c r="J49" s="258">
        <f t="shared" si="9"/>
        <v>1.0123</v>
      </c>
      <c r="K49" s="258">
        <f t="shared" si="9"/>
        <v>1.0085</v>
      </c>
      <c r="L49" s="258">
        <f t="shared" si="9"/>
        <v>1.0058</v>
      </c>
      <c r="M49" s="258">
        <f t="shared" si="9"/>
        <v>1.0047999999999999</v>
      </c>
      <c r="N49" s="258">
        <f t="shared" si="9"/>
        <v>1.0065</v>
      </c>
      <c r="O49" s="266">
        <f t="shared" si="9"/>
        <v>1.0071000000000001</v>
      </c>
      <c r="P49" s="269">
        <f>D49*E49*F49*G49*H49*I49*J49*K49*L49*M49*N49*O49</f>
        <v>1.1013999999999999</v>
      </c>
    </row>
    <row r="50" spans="1:16" ht="15.75" x14ac:dyDescent="0.25">
      <c r="A50" s="26"/>
      <c r="B50" s="327"/>
      <c r="C50" s="327" t="s">
        <v>32</v>
      </c>
      <c r="D50" s="329">
        <v>2022</v>
      </c>
      <c r="E50" s="329" t="s">
        <v>33</v>
      </c>
      <c r="F50" s="329" t="s">
        <v>33</v>
      </c>
      <c r="G50" s="329" t="s">
        <v>33</v>
      </c>
      <c r="H50" s="329" t="s">
        <v>33</v>
      </c>
      <c r="I50" s="329" t="s">
        <v>33</v>
      </c>
      <c r="J50" s="329" t="s">
        <v>33</v>
      </c>
      <c r="K50" s="329" t="s">
        <v>33</v>
      </c>
      <c r="L50" s="329" t="s">
        <v>33</v>
      </c>
      <c r="M50" s="329" t="s">
        <v>33</v>
      </c>
      <c r="N50" s="329" t="s">
        <v>33</v>
      </c>
      <c r="O50" s="330" t="s">
        <v>33</v>
      </c>
      <c r="P50" s="263"/>
    </row>
    <row r="51" spans="1:16" ht="15.75" x14ac:dyDescent="0.25">
      <c r="A51" s="26"/>
      <c r="B51" s="327"/>
      <c r="C51" s="327"/>
      <c r="D51" s="152" t="s">
        <v>34</v>
      </c>
      <c r="E51" s="152" t="s">
        <v>35</v>
      </c>
      <c r="F51" s="152" t="s">
        <v>36</v>
      </c>
      <c r="G51" s="152" t="s">
        <v>37</v>
      </c>
      <c r="H51" s="152" t="s">
        <v>38</v>
      </c>
      <c r="I51" s="152" t="s">
        <v>39</v>
      </c>
      <c r="J51" s="152" t="s">
        <v>40</v>
      </c>
      <c r="K51" s="152" t="s">
        <v>41</v>
      </c>
      <c r="L51" s="152" t="s">
        <v>42</v>
      </c>
      <c r="M51" s="152" t="s">
        <v>43</v>
      </c>
      <c r="N51" s="152" t="s">
        <v>44</v>
      </c>
      <c r="O51" s="264" t="s">
        <v>45</v>
      </c>
      <c r="P51" s="263"/>
    </row>
    <row r="52" spans="1:16" ht="15.75" x14ac:dyDescent="0.25">
      <c r="A52" s="26"/>
      <c r="B52" s="327"/>
      <c r="C52" s="327"/>
      <c r="D52" s="262">
        <v>100.73</v>
      </c>
      <c r="E52" s="262">
        <v>100.74</v>
      </c>
      <c r="F52" s="262">
        <v>104.44</v>
      </c>
      <c r="G52" s="262">
        <v>101.05</v>
      </c>
      <c r="H52" s="262">
        <v>100.71</v>
      </c>
      <c r="I52" s="262">
        <v>100.51</v>
      </c>
      <c r="J52" s="261">
        <v>100</v>
      </c>
      <c r="K52" s="262">
        <v>100.37</v>
      </c>
      <c r="L52" s="262">
        <v>100.17</v>
      </c>
      <c r="M52" s="262">
        <v>100.32</v>
      </c>
      <c r="N52" s="262">
        <v>100.74</v>
      </c>
      <c r="O52" s="262">
        <v>100.13</v>
      </c>
      <c r="P52" s="263"/>
    </row>
    <row r="53" spans="1:16" ht="15.75" x14ac:dyDescent="0.25">
      <c r="A53" s="26"/>
      <c r="B53" s="26"/>
      <c r="C53" s="31" t="s">
        <v>46</v>
      </c>
      <c r="D53" s="258">
        <f t="shared" ref="D53:O53" si="10">D52/100</f>
        <v>1.0073000000000001</v>
      </c>
      <c r="E53" s="258">
        <f t="shared" si="10"/>
        <v>1.0074000000000001</v>
      </c>
      <c r="F53" s="258">
        <f t="shared" si="10"/>
        <v>1.0444</v>
      </c>
      <c r="G53" s="258">
        <f t="shared" si="10"/>
        <v>1.0105</v>
      </c>
      <c r="H53" s="258">
        <f t="shared" si="10"/>
        <v>1.0071000000000001</v>
      </c>
      <c r="I53" s="258">
        <f t="shared" si="10"/>
        <v>1.0051000000000001</v>
      </c>
      <c r="J53" s="258">
        <f t="shared" si="10"/>
        <v>1</v>
      </c>
      <c r="K53" s="258">
        <f t="shared" si="10"/>
        <v>1.0037</v>
      </c>
      <c r="L53" s="258">
        <f t="shared" si="10"/>
        <v>1.0017</v>
      </c>
      <c r="M53" s="258">
        <f t="shared" si="10"/>
        <v>1.0032000000000001</v>
      </c>
      <c r="N53" s="258">
        <f t="shared" si="10"/>
        <v>1.0074000000000001</v>
      </c>
      <c r="O53" s="266">
        <f t="shared" si="10"/>
        <v>1.0013000000000001</v>
      </c>
      <c r="P53" s="269">
        <f>D53*E53*F53*G53*H53*I53*J53*K53*L53*M53*N53*O53</f>
        <v>1.1029</v>
      </c>
    </row>
    <row r="54" spans="1:16" ht="15.75" x14ac:dyDescent="0.25">
      <c r="A54" s="26"/>
      <c r="B54" s="327"/>
      <c r="C54" s="327" t="s">
        <v>32</v>
      </c>
      <c r="D54" s="329">
        <v>2023</v>
      </c>
      <c r="E54" s="329" t="s">
        <v>33</v>
      </c>
      <c r="F54" s="329" t="s">
        <v>33</v>
      </c>
      <c r="G54" s="329" t="s">
        <v>33</v>
      </c>
      <c r="H54" s="329" t="s">
        <v>33</v>
      </c>
      <c r="I54" s="329" t="s">
        <v>33</v>
      </c>
      <c r="J54" s="329" t="s">
        <v>33</v>
      </c>
      <c r="K54" s="329" t="s">
        <v>33</v>
      </c>
      <c r="L54" s="329" t="s">
        <v>33</v>
      </c>
      <c r="M54" s="329" t="s">
        <v>33</v>
      </c>
      <c r="N54" s="329" t="s">
        <v>33</v>
      </c>
      <c r="O54" s="330" t="s">
        <v>33</v>
      </c>
      <c r="P54" s="263"/>
    </row>
    <row r="55" spans="1:16" ht="15.75" x14ac:dyDescent="0.25">
      <c r="A55" s="26"/>
      <c r="B55" s="327"/>
      <c r="C55" s="327"/>
      <c r="D55" s="152" t="s">
        <v>34</v>
      </c>
      <c r="E55" s="152" t="s">
        <v>35</v>
      </c>
      <c r="F55" s="152" t="s">
        <v>36</v>
      </c>
      <c r="G55" s="152" t="s">
        <v>37</v>
      </c>
      <c r="H55" s="152" t="s">
        <v>38</v>
      </c>
      <c r="I55" s="152" t="s">
        <v>39</v>
      </c>
      <c r="J55" s="152" t="s">
        <v>40</v>
      </c>
      <c r="K55" s="152" t="s">
        <v>41</v>
      </c>
      <c r="L55" s="152" t="s">
        <v>42</v>
      </c>
      <c r="M55" s="152" t="s">
        <v>43</v>
      </c>
      <c r="N55" s="152" t="s">
        <v>44</v>
      </c>
      <c r="O55" s="264" t="s">
        <v>45</v>
      </c>
      <c r="P55" s="263"/>
    </row>
    <row r="56" spans="1:16" ht="15.75" x14ac:dyDescent="0.25">
      <c r="A56" s="26"/>
      <c r="B56" s="327"/>
      <c r="C56" s="327"/>
      <c r="D56" s="262">
        <v>100.31</v>
      </c>
      <c r="E56" s="262">
        <v>100.9</v>
      </c>
      <c r="F56" s="262">
        <v>99.77</v>
      </c>
      <c r="G56" s="262">
        <v>100.8</v>
      </c>
      <c r="H56" s="262">
        <v>100.13</v>
      </c>
      <c r="I56" s="262">
        <v>101.12</v>
      </c>
      <c r="J56" s="274">
        <v>101.03</v>
      </c>
      <c r="K56" s="275">
        <f>J56</f>
        <v>101.03</v>
      </c>
      <c r="L56" s="262"/>
      <c r="M56" s="262"/>
      <c r="N56" s="262"/>
      <c r="O56" s="262"/>
      <c r="P56" s="263"/>
    </row>
    <row r="57" spans="1:16" ht="15.75" x14ac:dyDescent="0.25">
      <c r="A57" s="26"/>
      <c r="B57" s="26"/>
      <c r="C57" s="31" t="s">
        <v>46</v>
      </c>
      <c r="D57" s="258">
        <f t="shared" ref="D57:O57" si="11">D56/100</f>
        <v>1.0031000000000001</v>
      </c>
      <c r="E57" s="258">
        <f t="shared" si="11"/>
        <v>1.0089999999999999</v>
      </c>
      <c r="F57" s="258">
        <f t="shared" si="11"/>
        <v>0.99770000000000003</v>
      </c>
      <c r="G57" s="258">
        <f t="shared" si="11"/>
        <v>1.008</v>
      </c>
      <c r="H57" s="258">
        <f t="shared" si="11"/>
        <v>1.0013000000000001</v>
      </c>
      <c r="I57" s="258">
        <f t="shared" si="11"/>
        <v>1.0112000000000001</v>
      </c>
      <c r="J57" s="258">
        <f t="shared" si="11"/>
        <v>1.0103</v>
      </c>
      <c r="K57" s="258">
        <f t="shared" si="11"/>
        <v>1.0103</v>
      </c>
      <c r="L57" s="258">
        <f t="shared" si="11"/>
        <v>0</v>
      </c>
      <c r="M57" s="258">
        <f t="shared" si="11"/>
        <v>0</v>
      </c>
      <c r="N57" s="258">
        <f t="shared" si="11"/>
        <v>0</v>
      </c>
      <c r="O57" s="266">
        <f t="shared" si="11"/>
        <v>0</v>
      </c>
      <c r="P57" s="269">
        <f>D57*E57*F57*G57*H57*I57*J57*K57</f>
        <v>1.052</v>
      </c>
    </row>
    <row r="58" spans="1:16" ht="15.75" x14ac:dyDescent="0.25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</row>
    <row r="59" spans="1:16" ht="15.75" x14ac:dyDescent="0.25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</row>
    <row r="60" spans="1:16" ht="15.75" x14ac:dyDescent="0.25">
      <c r="A60" s="315" t="s">
        <v>47</v>
      </c>
      <c r="B60" s="315"/>
      <c r="C60" s="315"/>
      <c r="D60" s="315"/>
      <c r="E60" s="315"/>
      <c r="F60" s="32">
        <v>45170</v>
      </c>
      <c r="G60" s="33"/>
      <c r="H60" s="33"/>
      <c r="I60" s="34"/>
      <c r="J60" s="26"/>
      <c r="K60" s="26"/>
      <c r="L60" s="26"/>
      <c r="M60" s="26"/>
    </row>
    <row r="61" spans="1:16" ht="39" customHeight="1" x14ac:dyDescent="0.25">
      <c r="A61" s="331" t="s">
        <v>48</v>
      </c>
      <c r="B61" s="331"/>
      <c r="C61" s="331"/>
      <c r="D61" s="331"/>
      <c r="E61" s="331"/>
      <c r="F61" s="332">
        <f>P41*P45*P49*P53*P57</f>
        <v>1.3402000000000001</v>
      </c>
      <c r="G61" s="35"/>
      <c r="H61" s="35"/>
      <c r="J61" s="26"/>
      <c r="K61" s="26"/>
      <c r="L61" s="26"/>
      <c r="M61" s="26"/>
    </row>
    <row r="62" spans="1:16" x14ac:dyDescent="0.25">
      <c r="A62" s="333" t="str">
        <f>CONCATENATE(P41,"*",P45,"*",P49,"*",P53,"*",P57)</f>
        <v>1,0055*1,043*1,1014*1,1029*1,052</v>
      </c>
      <c r="B62" s="333"/>
      <c r="C62" s="333"/>
      <c r="D62" s="333"/>
      <c r="E62" s="333"/>
      <c r="F62" s="332"/>
      <c r="G62" s="35"/>
      <c r="H62" s="36"/>
    </row>
    <row r="63" spans="1:16" ht="42.75" customHeight="1" x14ac:dyDescent="0.25">
      <c r="A63" s="334"/>
      <c r="B63" s="334"/>
      <c r="C63" s="334"/>
      <c r="D63" s="334"/>
      <c r="E63" s="334"/>
      <c r="F63" s="334"/>
      <c r="G63" s="37"/>
      <c r="H63" s="37"/>
      <c r="I63" s="37"/>
    </row>
    <row r="64" spans="1:16" ht="27" customHeight="1" x14ac:dyDescent="0.25">
      <c r="A64" s="38"/>
      <c r="B64" s="38"/>
      <c r="C64" s="38"/>
      <c r="D64" s="38"/>
      <c r="E64" s="38"/>
      <c r="F64" s="38"/>
      <c r="G64" s="37"/>
      <c r="H64" s="37"/>
      <c r="I64" s="37"/>
    </row>
    <row r="65" spans="1:18" ht="24" customHeight="1" x14ac:dyDescent="0.25">
      <c r="A65" s="321" t="s">
        <v>66</v>
      </c>
      <c r="B65" s="321"/>
      <c r="C65" s="321"/>
      <c r="D65" s="321"/>
      <c r="E65" s="321"/>
      <c r="F65" s="321"/>
      <c r="G65" s="321"/>
      <c r="H65" s="321"/>
      <c r="I65" s="321"/>
      <c r="J65" s="321"/>
      <c r="K65" s="321"/>
      <c r="L65" s="321"/>
      <c r="M65" s="321"/>
    </row>
    <row r="66" spans="1:18" x14ac:dyDescent="0.25">
      <c r="A66" s="38"/>
      <c r="B66" s="38"/>
      <c r="C66" s="38"/>
      <c r="D66" s="38"/>
      <c r="E66" s="38"/>
      <c r="F66" s="38"/>
      <c r="G66" s="38"/>
      <c r="H66" s="38"/>
      <c r="I66" s="38"/>
    </row>
    <row r="67" spans="1:18" ht="15.75" x14ac:dyDescent="0.25">
      <c r="A67" s="335" t="s">
        <v>49</v>
      </c>
      <c r="B67" s="335"/>
      <c r="C67" s="335"/>
      <c r="D67" s="335"/>
      <c r="E67" s="335"/>
      <c r="F67" s="335"/>
      <c r="G67" s="335"/>
      <c r="H67" s="335"/>
      <c r="I67" s="335"/>
    </row>
    <row r="68" spans="1:18" x14ac:dyDescent="0.25">
      <c r="A68" s="39"/>
      <c r="B68" s="40"/>
      <c r="C68" s="40"/>
      <c r="D68" s="40"/>
      <c r="E68" s="40"/>
      <c r="F68" s="41"/>
      <c r="G68" s="33"/>
      <c r="H68" s="33"/>
      <c r="I68" s="41"/>
    </row>
    <row r="69" spans="1:18" x14ac:dyDescent="0.25">
      <c r="A69" s="315" t="s">
        <v>47</v>
      </c>
      <c r="B69" s="315"/>
      <c r="C69" s="315"/>
      <c r="D69" s="315"/>
      <c r="E69" s="315"/>
      <c r="F69" s="42">
        <v>45170</v>
      </c>
    </row>
    <row r="70" spans="1:18" ht="15.75" x14ac:dyDescent="0.25">
      <c r="A70" s="456" t="s">
        <v>50</v>
      </c>
      <c r="B70" s="336"/>
      <c r="C70" s="336"/>
      <c r="D70" s="336"/>
      <c r="E70" s="337"/>
      <c r="F70" s="42">
        <v>45219</v>
      </c>
      <c r="G70" s="470"/>
    </row>
    <row r="71" spans="1:18" ht="15.75" x14ac:dyDescent="0.25">
      <c r="A71" s="456" t="s">
        <v>51</v>
      </c>
      <c r="B71" s="336"/>
      <c r="C71" s="336"/>
      <c r="D71" s="336"/>
      <c r="E71" s="337"/>
      <c r="F71" s="42">
        <v>45290</v>
      </c>
      <c r="G71" s="471"/>
    </row>
    <row r="72" spans="1:18" ht="15.75" x14ac:dyDescent="0.25">
      <c r="A72" s="456" t="s">
        <v>248</v>
      </c>
      <c r="B72" s="336"/>
      <c r="C72" s="336"/>
      <c r="D72" s="336"/>
      <c r="E72" s="337"/>
      <c r="F72" s="43">
        <f>ROUNDUP((F71-F69)/30.5,1)</f>
        <v>4</v>
      </c>
    </row>
    <row r="73" spans="1:18" ht="35.25" customHeight="1" x14ac:dyDescent="0.25">
      <c r="A73" s="343" t="s">
        <v>52</v>
      </c>
      <c r="B73" s="343"/>
      <c r="C73" s="343"/>
      <c r="D73" s="343"/>
      <c r="E73" s="343"/>
      <c r="F73" s="44">
        <v>1.0589999999999999</v>
      </c>
      <c r="I73" s="471"/>
    </row>
    <row r="74" spans="1:18" ht="15.75" x14ac:dyDescent="0.25">
      <c r="A74" s="338" t="s">
        <v>53</v>
      </c>
      <c r="B74" s="338"/>
      <c r="C74" s="338"/>
      <c r="D74" s="461">
        <f>F73</f>
        <v>1.0589999999999999</v>
      </c>
      <c r="E74" s="45" t="s">
        <v>54</v>
      </c>
      <c r="F74" s="46">
        <f>F73^(1/12)</f>
        <v>1.0047885000000001</v>
      </c>
    </row>
    <row r="75" spans="1:18" ht="34.5" customHeight="1" x14ac:dyDescent="0.25">
      <c r="A75" s="468" t="s">
        <v>55</v>
      </c>
      <c r="B75" s="340"/>
      <c r="C75" s="472" t="str">
        <f>CONCATENATE("(",F74,"^",ROUNDUP((F71-F69)/30.5,1),"-1)/2+1")</f>
        <v>(1,0047885^4-1)/2+1</v>
      </c>
      <c r="D75" s="341"/>
      <c r="E75" s="342"/>
      <c r="F75" s="469">
        <f>(ROUND(((F74^ROUNDUP((F71-F69)/30.5,1)-1)/2)+1,4))</f>
        <v>1.0096000000000001</v>
      </c>
      <c r="H75" s="473"/>
      <c r="I75" s="473"/>
      <c r="J75" s="473"/>
    </row>
    <row r="76" spans="1:18" x14ac:dyDescent="0.25">
      <c r="A76" s="39"/>
      <c r="B76" s="40"/>
      <c r="C76" s="40"/>
      <c r="D76" s="40"/>
      <c r="E76" s="40"/>
      <c r="I76" s="48"/>
    </row>
    <row r="77" spans="1:18" ht="15.75" x14ac:dyDescent="0.25">
      <c r="A77" s="335" t="s">
        <v>56</v>
      </c>
      <c r="B77" s="335"/>
      <c r="C77" s="335"/>
      <c r="D77" s="335"/>
      <c r="E77" s="335"/>
      <c r="F77" s="335"/>
      <c r="G77" s="335"/>
      <c r="H77" s="335"/>
      <c r="I77" s="335"/>
    </row>
    <row r="78" spans="1:18" x14ac:dyDescent="0.25">
      <c r="A78" s="39"/>
      <c r="B78" s="40"/>
      <c r="C78" s="40"/>
      <c r="D78" s="40"/>
      <c r="E78" s="40"/>
      <c r="F78" s="41"/>
      <c r="I78" s="49"/>
    </row>
    <row r="79" spans="1:18" x14ac:dyDescent="0.25">
      <c r="A79" s="315" t="s">
        <v>47</v>
      </c>
      <c r="B79" s="315"/>
      <c r="C79" s="315"/>
      <c r="D79" s="315"/>
      <c r="E79" s="315"/>
      <c r="F79" s="42">
        <v>45170</v>
      </c>
    </row>
    <row r="80" spans="1:18" ht="15.75" x14ac:dyDescent="0.25">
      <c r="A80" s="456" t="s">
        <v>50</v>
      </c>
      <c r="B80" s="336"/>
      <c r="C80" s="336"/>
      <c r="D80" s="336"/>
      <c r="E80" s="337"/>
      <c r="F80" s="42">
        <v>45219</v>
      </c>
      <c r="G80" s="471"/>
      <c r="Q80" s="42">
        <v>45291</v>
      </c>
      <c r="R80" t="s">
        <v>274</v>
      </c>
    </row>
    <row r="81" spans="1:18" ht="15.75" x14ac:dyDescent="0.25">
      <c r="A81" s="456" t="s">
        <v>51</v>
      </c>
      <c r="B81" s="336"/>
      <c r="C81" s="336"/>
      <c r="D81" s="336"/>
      <c r="E81" s="337"/>
      <c r="F81" s="42">
        <v>45534</v>
      </c>
      <c r="Q81" s="42">
        <v>45292</v>
      </c>
      <c r="R81" t="s">
        <v>275</v>
      </c>
    </row>
    <row r="82" spans="1:18" ht="15.75" x14ac:dyDescent="0.25">
      <c r="A82" s="456" t="s">
        <v>276</v>
      </c>
      <c r="B82" s="336"/>
      <c r="C82" s="336"/>
      <c r="D82" s="336"/>
      <c r="E82" s="337"/>
      <c r="F82" s="43">
        <f>ROUND((F81-F80)/30.5,1)</f>
        <v>10.3</v>
      </c>
    </row>
    <row r="83" spans="1:18" ht="15.75" x14ac:dyDescent="0.25">
      <c r="A83" s="457" t="s">
        <v>277</v>
      </c>
      <c r="B83" s="457"/>
      <c r="C83" s="457"/>
      <c r="D83" s="457"/>
      <c r="E83" s="457"/>
      <c r="F83" s="458">
        <f>(Q80-F80)/30.5/F82</f>
        <v>0.23</v>
      </c>
    </row>
    <row r="84" spans="1:18" ht="15.75" x14ac:dyDescent="0.25">
      <c r="A84" s="459" t="s">
        <v>282</v>
      </c>
      <c r="B84" s="459"/>
      <c r="C84" s="459"/>
      <c r="D84" s="459"/>
      <c r="E84" s="459"/>
      <c r="F84" s="458">
        <f>1-F83</f>
        <v>0.77</v>
      </c>
    </row>
    <row r="85" spans="1:18" ht="35.25" customHeight="1" x14ac:dyDescent="0.25">
      <c r="A85" s="343" t="s">
        <v>52</v>
      </c>
      <c r="B85" s="343"/>
      <c r="C85" s="343"/>
      <c r="D85" s="343"/>
      <c r="E85" s="343"/>
      <c r="F85" s="460">
        <v>1.0589999999999999</v>
      </c>
    </row>
    <row r="86" spans="1:18" ht="15.75" x14ac:dyDescent="0.25">
      <c r="A86" s="338" t="s">
        <v>53</v>
      </c>
      <c r="B86" s="338"/>
      <c r="C86" s="338"/>
      <c r="D86" s="461">
        <f>F85</f>
        <v>1.0589999999999999</v>
      </c>
      <c r="E86" s="45" t="s">
        <v>54</v>
      </c>
      <c r="F86" s="46">
        <f>F85^(1/12)</f>
        <v>1.0047885000000001</v>
      </c>
    </row>
    <row r="87" spans="1:18" ht="33" customHeight="1" x14ac:dyDescent="0.25">
      <c r="A87" s="343" t="s">
        <v>278</v>
      </c>
      <c r="B87" s="343"/>
      <c r="C87" s="343"/>
      <c r="D87" s="343"/>
      <c r="E87" s="343"/>
      <c r="F87" s="44">
        <v>1.0529999999999999</v>
      </c>
    </row>
    <row r="88" spans="1:18" ht="15.75" x14ac:dyDescent="0.25">
      <c r="A88" s="338" t="s">
        <v>279</v>
      </c>
      <c r="B88" s="338"/>
      <c r="C88" s="338"/>
      <c r="D88" s="461">
        <f>F87</f>
        <v>1.0529999999999999</v>
      </c>
      <c r="E88" s="45" t="s">
        <v>54</v>
      </c>
      <c r="F88" s="46">
        <f>F87^(1/12)</f>
        <v>1.0043129</v>
      </c>
    </row>
    <row r="89" spans="1:18" ht="15.75" customHeight="1" x14ac:dyDescent="0.25">
      <c r="A89" s="462" t="s">
        <v>280</v>
      </c>
      <c r="B89" s="462"/>
      <c r="C89" s="463" t="str">
        <f>CONCATENATE("(",F86,"^",ROUNDUP((Q80-F79)/30.5,1),"-1)/2+1")</f>
        <v>(1,0047885^4-1)/2+1</v>
      </c>
      <c r="D89" s="464"/>
      <c r="E89" s="465"/>
      <c r="F89" s="466">
        <f>(F86^ROUNDUP((Q80-F79)/30.5,1)-1)/2+1</f>
        <v>1.009646</v>
      </c>
      <c r="H89" s="467"/>
    </row>
    <row r="90" spans="1:18" ht="40.5" customHeight="1" x14ac:dyDescent="0.25">
      <c r="A90" s="462" t="s">
        <v>281</v>
      </c>
      <c r="B90" s="462"/>
      <c r="C90" s="463" t="str">
        <f>CONCATENATE(F86,"^",ROUNDUP((Q80-F79)/30.5,1),"*((",F88,"^",ROUNDUP((F81-Q81)/30.5,1),"-1)/2+1)")</f>
        <v>1,0047885^4*((1,0043129^8-1)/2+1)</v>
      </c>
      <c r="D90" s="464"/>
      <c r="E90" s="465"/>
      <c r="F90" s="466">
        <f>F86^ROUNDUP((Q80-F79)/30.5,1)*((F88^ROUNDUP((F81-Q81)/30.5,1)-1)/2+1)</f>
        <v>1.0371442</v>
      </c>
      <c r="H90" s="467"/>
    </row>
    <row r="91" spans="1:18" ht="34.5" customHeight="1" x14ac:dyDescent="0.25">
      <c r="A91" s="468" t="s">
        <v>55</v>
      </c>
      <c r="B91" s="340"/>
      <c r="C91" s="463" t="str">
        <f>CONCATENATE(F83,"*",F89,"+",F84,"*",F90)</f>
        <v>0,23*1,009646+0,77*1,0371442</v>
      </c>
      <c r="D91" s="464"/>
      <c r="E91" s="465"/>
      <c r="F91" s="469">
        <f>F83*F89+F84*F90</f>
        <v>1.0307999999999999</v>
      </c>
      <c r="H91" s="47"/>
    </row>
    <row r="95" spans="1:18" ht="45.75" customHeight="1" x14ac:dyDescent="0.25">
      <c r="A95" s="339" t="s">
        <v>57</v>
      </c>
      <c r="B95" s="339"/>
      <c r="C95" s="339"/>
      <c r="D95" s="50"/>
      <c r="E95" s="51" t="s">
        <v>58</v>
      </c>
    </row>
  </sheetData>
  <mergeCells count="56">
    <mergeCell ref="H75:J75"/>
    <mergeCell ref="C89:E89"/>
    <mergeCell ref="C90:E90"/>
    <mergeCell ref="A91:B91"/>
    <mergeCell ref="C91:E91"/>
    <mergeCell ref="A69:E69"/>
    <mergeCell ref="A70:E70"/>
    <mergeCell ref="A71:E71"/>
    <mergeCell ref="A72:E72"/>
    <mergeCell ref="A73:E73"/>
    <mergeCell ref="A74:C74"/>
    <mergeCell ref="A75:B75"/>
    <mergeCell ref="C75:E75"/>
    <mergeCell ref="B46:B48"/>
    <mergeCell ref="C46:C48"/>
    <mergeCell ref="D46:O46"/>
    <mergeCell ref="B50:B52"/>
    <mergeCell ref="C50:C52"/>
    <mergeCell ref="D50:O50"/>
    <mergeCell ref="A95:C95"/>
    <mergeCell ref="B54:B56"/>
    <mergeCell ref="C54:C56"/>
    <mergeCell ref="D54:O54"/>
    <mergeCell ref="A77:I77"/>
    <mergeCell ref="A67:I67"/>
    <mergeCell ref="A79:E79"/>
    <mergeCell ref="A80:E80"/>
    <mergeCell ref="A81:E81"/>
    <mergeCell ref="A82:E82"/>
    <mergeCell ref="A83:E83"/>
    <mergeCell ref="A84:E84"/>
    <mergeCell ref="A85:E85"/>
    <mergeCell ref="A86:C86"/>
    <mergeCell ref="A87:E87"/>
    <mergeCell ref="A88:C88"/>
    <mergeCell ref="A61:E61"/>
    <mergeCell ref="F61:F62"/>
    <mergeCell ref="A62:E62"/>
    <mergeCell ref="A63:F63"/>
    <mergeCell ref="A65:M65"/>
    <mergeCell ref="A60:E60"/>
    <mergeCell ref="A1:M1"/>
    <mergeCell ref="A4:M4"/>
    <mergeCell ref="A5:M5"/>
    <mergeCell ref="A8:M8"/>
    <mergeCell ref="A9:M9"/>
    <mergeCell ref="A34:M34"/>
    <mergeCell ref="B36:M36"/>
    <mergeCell ref="B37:M37"/>
    <mergeCell ref="B38:B40"/>
    <mergeCell ref="C38:C40"/>
    <mergeCell ref="D38:O38"/>
    <mergeCell ref="A3:M3"/>
    <mergeCell ref="B42:B44"/>
    <mergeCell ref="C42:C44"/>
    <mergeCell ref="D42:O42"/>
  </mergeCells>
  <pageMargins left="0.7" right="0.7" top="0.75" bottom="0.75" header="0.3" footer="0.3"/>
  <pageSetup paperSize="9" scale="43" fitToHeight="0" orientation="landscape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3"/>
  <sheetViews>
    <sheetView topLeftCell="A80" workbookViewId="0">
      <selection activeCell="C63" sqref="C63"/>
    </sheetView>
  </sheetViews>
  <sheetFormatPr defaultRowHeight="12.75" x14ac:dyDescent="0.2"/>
  <cols>
    <col min="1" max="1" width="4.7109375" style="153" customWidth="1"/>
    <col min="2" max="2" width="34.7109375" style="153" customWidth="1"/>
    <col min="3" max="3" width="59.28515625" style="153" customWidth="1"/>
    <col min="4" max="4" width="17.85546875" style="153" customWidth="1"/>
    <col min="5" max="5" width="14.5703125" style="153" customWidth="1"/>
    <col min="6" max="6" width="18" style="153" customWidth="1"/>
    <col min="7" max="7" width="14.5703125" style="153" customWidth="1"/>
    <col min="8" max="8" width="17.140625" style="154" customWidth="1"/>
    <col min="9" max="247" width="9.140625" style="153"/>
    <col min="248" max="248" width="3.7109375" style="153" customWidth="1"/>
    <col min="249" max="249" width="34.7109375" style="153" customWidth="1"/>
    <col min="250" max="250" width="62.28515625" style="153" customWidth="1"/>
    <col min="251" max="251" width="17.85546875" style="153" customWidth="1"/>
    <col min="252" max="252" width="14.5703125" style="153" customWidth="1"/>
    <col min="253" max="253" width="14.42578125" style="153" customWidth="1"/>
    <col min="254" max="254" width="14.5703125" style="153" customWidth="1"/>
    <col min="255" max="255" width="17.140625" style="153" customWidth="1"/>
    <col min="256" max="256" width="9.140625" style="153"/>
    <col min="257" max="257" width="17.85546875" style="153" customWidth="1"/>
    <col min="258" max="258" width="16" style="153" bestFit="1" customWidth="1"/>
    <col min="259" max="259" width="47.28515625" style="153" customWidth="1"/>
    <col min="260" max="503" width="9.140625" style="153"/>
    <col min="504" max="504" width="3.7109375" style="153" customWidth="1"/>
    <col min="505" max="505" width="34.7109375" style="153" customWidth="1"/>
    <col min="506" max="506" width="62.28515625" style="153" customWidth="1"/>
    <col min="507" max="507" width="17.85546875" style="153" customWidth="1"/>
    <col min="508" max="508" width="14.5703125" style="153" customWidth="1"/>
    <col min="509" max="509" width="14.42578125" style="153" customWidth="1"/>
    <col min="510" max="510" width="14.5703125" style="153" customWidth="1"/>
    <col min="511" max="511" width="17.140625" style="153" customWidth="1"/>
    <col min="512" max="512" width="9.140625" style="153"/>
    <col min="513" max="513" width="17.85546875" style="153" customWidth="1"/>
    <col min="514" max="514" width="16" style="153" bestFit="1" customWidth="1"/>
    <col min="515" max="515" width="47.28515625" style="153" customWidth="1"/>
    <col min="516" max="759" width="9.140625" style="153"/>
    <col min="760" max="760" width="3.7109375" style="153" customWidth="1"/>
    <col min="761" max="761" width="34.7109375" style="153" customWidth="1"/>
    <col min="762" max="762" width="62.28515625" style="153" customWidth="1"/>
    <col min="763" max="763" width="17.85546875" style="153" customWidth="1"/>
    <col min="764" max="764" width="14.5703125" style="153" customWidth="1"/>
    <col min="765" max="765" width="14.42578125" style="153" customWidth="1"/>
    <col min="766" max="766" width="14.5703125" style="153" customWidth="1"/>
    <col min="767" max="767" width="17.140625" style="153" customWidth="1"/>
    <col min="768" max="768" width="9.140625" style="153"/>
    <col min="769" max="769" width="17.85546875" style="153" customWidth="1"/>
    <col min="770" max="770" width="16" style="153" bestFit="1" customWidth="1"/>
    <col min="771" max="771" width="47.28515625" style="153" customWidth="1"/>
    <col min="772" max="1015" width="9.140625" style="153"/>
    <col min="1016" max="1016" width="3.7109375" style="153" customWidth="1"/>
    <col min="1017" max="1017" width="34.7109375" style="153" customWidth="1"/>
    <col min="1018" max="1018" width="62.28515625" style="153" customWidth="1"/>
    <col min="1019" max="1019" width="17.85546875" style="153" customWidth="1"/>
    <col min="1020" max="1020" width="14.5703125" style="153" customWidth="1"/>
    <col min="1021" max="1021" width="14.42578125" style="153" customWidth="1"/>
    <col min="1022" max="1022" width="14.5703125" style="153" customWidth="1"/>
    <col min="1023" max="1023" width="17.140625" style="153" customWidth="1"/>
    <col min="1024" max="1024" width="9.140625" style="153"/>
    <col min="1025" max="1025" width="17.85546875" style="153" customWidth="1"/>
    <col min="1026" max="1026" width="16" style="153" bestFit="1" customWidth="1"/>
    <col min="1027" max="1027" width="47.28515625" style="153" customWidth="1"/>
    <col min="1028" max="1271" width="9.140625" style="153"/>
    <col min="1272" max="1272" width="3.7109375" style="153" customWidth="1"/>
    <col min="1273" max="1273" width="34.7109375" style="153" customWidth="1"/>
    <col min="1274" max="1274" width="62.28515625" style="153" customWidth="1"/>
    <col min="1275" max="1275" width="17.85546875" style="153" customWidth="1"/>
    <col min="1276" max="1276" width="14.5703125" style="153" customWidth="1"/>
    <col min="1277" max="1277" width="14.42578125" style="153" customWidth="1"/>
    <col min="1278" max="1278" width="14.5703125" style="153" customWidth="1"/>
    <col min="1279" max="1279" width="17.140625" style="153" customWidth="1"/>
    <col min="1280" max="1280" width="9.140625" style="153"/>
    <col min="1281" max="1281" width="17.85546875" style="153" customWidth="1"/>
    <col min="1282" max="1282" width="16" style="153" bestFit="1" customWidth="1"/>
    <col min="1283" max="1283" width="47.28515625" style="153" customWidth="1"/>
    <col min="1284" max="1527" width="9.140625" style="153"/>
    <col min="1528" max="1528" width="3.7109375" style="153" customWidth="1"/>
    <col min="1529" max="1529" width="34.7109375" style="153" customWidth="1"/>
    <col min="1530" max="1530" width="62.28515625" style="153" customWidth="1"/>
    <col min="1531" max="1531" width="17.85546875" style="153" customWidth="1"/>
    <col min="1532" max="1532" width="14.5703125" style="153" customWidth="1"/>
    <col min="1533" max="1533" width="14.42578125" style="153" customWidth="1"/>
    <col min="1534" max="1534" width="14.5703125" style="153" customWidth="1"/>
    <col min="1535" max="1535" width="17.140625" style="153" customWidth="1"/>
    <col min="1536" max="1536" width="9.140625" style="153"/>
    <col min="1537" max="1537" width="17.85546875" style="153" customWidth="1"/>
    <col min="1538" max="1538" width="16" style="153" bestFit="1" customWidth="1"/>
    <col min="1539" max="1539" width="47.28515625" style="153" customWidth="1"/>
    <col min="1540" max="1783" width="9.140625" style="153"/>
    <col min="1784" max="1784" width="3.7109375" style="153" customWidth="1"/>
    <col min="1785" max="1785" width="34.7109375" style="153" customWidth="1"/>
    <col min="1786" max="1786" width="62.28515625" style="153" customWidth="1"/>
    <col min="1787" max="1787" width="17.85546875" style="153" customWidth="1"/>
    <col min="1788" max="1788" width="14.5703125" style="153" customWidth="1"/>
    <col min="1789" max="1789" width="14.42578125" style="153" customWidth="1"/>
    <col min="1790" max="1790" width="14.5703125" style="153" customWidth="1"/>
    <col min="1791" max="1791" width="17.140625" style="153" customWidth="1"/>
    <col min="1792" max="1792" width="9.140625" style="153"/>
    <col min="1793" max="1793" width="17.85546875" style="153" customWidth="1"/>
    <col min="1794" max="1794" width="16" style="153" bestFit="1" customWidth="1"/>
    <col min="1795" max="1795" width="47.28515625" style="153" customWidth="1"/>
    <col min="1796" max="2039" width="9.140625" style="153"/>
    <col min="2040" max="2040" width="3.7109375" style="153" customWidth="1"/>
    <col min="2041" max="2041" width="34.7109375" style="153" customWidth="1"/>
    <col min="2042" max="2042" width="62.28515625" style="153" customWidth="1"/>
    <col min="2043" max="2043" width="17.85546875" style="153" customWidth="1"/>
    <col min="2044" max="2044" width="14.5703125" style="153" customWidth="1"/>
    <col min="2045" max="2045" width="14.42578125" style="153" customWidth="1"/>
    <col min="2046" max="2046" width="14.5703125" style="153" customWidth="1"/>
    <col min="2047" max="2047" width="17.140625" style="153" customWidth="1"/>
    <col min="2048" max="2048" width="9.140625" style="153"/>
    <col min="2049" max="2049" width="17.85546875" style="153" customWidth="1"/>
    <col min="2050" max="2050" width="16" style="153" bestFit="1" customWidth="1"/>
    <col min="2051" max="2051" width="47.28515625" style="153" customWidth="1"/>
    <col min="2052" max="2295" width="9.140625" style="153"/>
    <col min="2296" max="2296" width="3.7109375" style="153" customWidth="1"/>
    <col min="2297" max="2297" width="34.7109375" style="153" customWidth="1"/>
    <col min="2298" max="2298" width="62.28515625" style="153" customWidth="1"/>
    <col min="2299" max="2299" width="17.85546875" style="153" customWidth="1"/>
    <col min="2300" max="2300" width="14.5703125" style="153" customWidth="1"/>
    <col min="2301" max="2301" width="14.42578125" style="153" customWidth="1"/>
    <col min="2302" max="2302" width="14.5703125" style="153" customWidth="1"/>
    <col min="2303" max="2303" width="17.140625" style="153" customWidth="1"/>
    <col min="2304" max="2304" width="9.140625" style="153"/>
    <col min="2305" max="2305" width="17.85546875" style="153" customWidth="1"/>
    <col min="2306" max="2306" width="16" style="153" bestFit="1" customWidth="1"/>
    <col min="2307" max="2307" width="47.28515625" style="153" customWidth="1"/>
    <col min="2308" max="2551" width="9.140625" style="153"/>
    <col min="2552" max="2552" width="3.7109375" style="153" customWidth="1"/>
    <col min="2553" max="2553" width="34.7109375" style="153" customWidth="1"/>
    <col min="2554" max="2554" width="62.28515625" style="153" customWidth="1"/>
    <col min="2555" max="2555" width="17.85546875" style="153" customWidth="1"/>
    <col min="2556" max="2556" width="14.5703125" style="153" customWidth="1"/>
    <col min="2557" max="2557" width="14.42578125" style="153" customWidth="1"/>
    <col min="2558" max="2558" width="14.5703125" style="153" customWidth="1"/>
    <col min="2559" max="2559" width="17.140625" style="153" customWidth="1"/>
    <col min="2560" max="2560" width="9.140625" style="153"/>
    <col min="2561" max="2561" width="17.85546875" style="153" customWidth="1"/>
    <col min="2562" max="2562" width="16" style="153" bestFit="1" customWidth="1"/>
    <col min="2563" max="2563" width="47.28515625" style="153" customWidth="1"/>
    <col min="2564" max="2807" width="9.140625" style="153"/>
    <col min="2808" max="2808" width="3.7109375" style="153" customWidth="1"/>
    <col min="2809" max="2809" width="34.7109375" style="153" customWidth="1"/>
    <col min="2810" max="2810" width="62.28515625" style="153" customWidth="1"/>
    <col min="2811" max="2811" width="17.85546875" style="153" customWidth="1"/>
    <col min="2812" max="2812" width="14.5703125" style="153" customWidth="1"/>
    <col min="2813" max="2813" width="14.42578125" style="153" customWidth="1"/>
    <col min="2814" max="2814" width="14.5703125" style="153" customWidth="1"/>
    <col min="2815" max="2815" width="17.140625" style="153" customWidth="1"/>
    <col min="2816" max="2816" width="9.140625" style="153"/>
    <col min="2817" max="2817" width="17.85546875" style="153" customWidth="1"/>
    <col min="2818" max="2818" width="16" style="153" bestFit="1" customWidth="1"/>
    <col min="2819" max="2819" width="47.28515625" style="153" customWidth="1"/>
    <col min="2820" max="3063" width="9.140625" style="153"/>
    <col min="3064" max="3064" width="3.7109375" style="153" customWidth="1"/>
    <col min="3065" max="3065" width="34.7109375" style="153" customWidth="1"/>
    <col min="3066" max="3066" width="62.28515625" style="153" customWidth="1"/>
    <col min="3067" max="3067" width="17.85546875" style="153" customWidth="1"/>
    <col min="3068" max="3068" width="14.5703125" style="153" customWidth="1"/>
    <col min="3069" max="3069" width="14.42578125" style="153" customWidth="1"/>
    <col min="3070" max="3070" width="14.5703125" style="153" customWidth="1"/>
    <col min="3071" max="3071" width="17.140625" style="153" customWidth="1"/>
    <col min="3072" max="3072" width="9.140625" style="153"/>
    <col min="3073" max="3073" width="17.85546875" style="153" customWidth="1"/>
    <col min="3074" max="3074" width="16" style="153" bestFit="1" customWidth="1"/>
    <col min="3075" max="3075" width="47.28515625" style="153" customWidth="1"/>
    <col min="3076" max="3319" width="9.140625" style="153"/>
    <col min="3320" max="3320" width="3.7109375" style="153" customWidth="1"/>
    <col min="3321" max="3321" width="34.7109375" style="153" customWidth="1"/>
    <col min="3322" max="3322" width="62.28515625" style="153" customWidth="1"/>
    <col min="3323" max="3323" width="17.85546875" style="153" customWidth="1"/>
    <col min="3324" max="3324" width="14.5703125" style="153" customWidth="1"/>
    <col min="3325" max="3325" width="14.42578125" style="153" customWidth="1"/>
    <col min="3326" max="3326" width="14.5703125" style="153" customWidth="1"/>
    <col min="3327" max="3327" width="17.140625" style="153" customWidth="1"/>
    <col min="3328" max="3328" width="9.140625" style="153"/>
    <col min="3329" max="3329" width="17.85546875" style="153" customWidth="1"/>
    <col min="3330" max="3330" width="16" style="153" bestFit="1" customWidth="1"/>
    <col min="3331" max="3331" width="47.28515625" style="153" customWidth="1"/>
    <col min="3332" max="3575" width="9.140625" style="153"/>
    <col min="3576" max="3576" width="3.7109375" style="153" customWidth="1"/>
    <col min="3577" max="3577" width="34.7109375" style="153" customWidth="1"/>
    <col min="3578" max="3578" width="62.28515625" style="153" customWidth="1"/>
    <col min="3579" max="3579" width="17.85546875" style="153" customWidth="1"/>
    <col min="3580" max="3580" width="14.5703125" style="153" customWidth="1"/>
    <col min="3581" max="3581" width="14.42578125" style="153" customWidth="1"/>
    <col min="3582" max="3582" width="14.5703125" style="153" customWidth="1"/>
    <col min="3583" max="3583" width="17.140625" style="153" customWidth="1"/>
    <col min="3584" max="3584" width="9.140625" style="153"/>
    <col min="3585" max="3585" width="17.85546875" style="153" customWidth="1"/>
    <col min="3586" max="3586" width="16" style="153" bestFit="1" customWidth="1"/>
    <col min="3587" max="3587" width="47.28515625" style="153" customWidth="1"/>
    <col min="3588" max="3831" width="9.140625" style="153"/>
    <col min="3832" max="3832" width="3.7109375" style="153" customWidth="1"/>
    <col min="3833" max="3833" width="34.7109375" style="153" customWidth="1"/>
    <col min="3834" max="3834" width="62.28515625" style="153" customWidth="1"/>
    <col min="3835" max="3835" width="17.85546875" style="153" customWidth="1"/>
    <col min="3836" max="3836" width="14.5703125" style="153" customWidth="1"/>
    <col min="3837" max="3837" width="14.42578125" style="153" customWidth="1"/>
    <col min="3838" max="3838" width="14.5703125" style="153" customWidth="1"/>
    <col min="3839" max="3839" width="17.140625" style="153" customWidth="1"/>
    <col min="3840" max="3840" width="9.140625" style="153"/>
    <col min="3841" max="3841" width="17.85546875" style="153" customWidth="1"/>
    <col min="3842" max="3842" width="16" style="153" bestFit="1" customWidth="1"/>
    <col min="3843" max="3843" width="47.28515625" style="153" customWidth="1"/>
    <col min="3844" max="4087" width="9.140625" style="153"/>
    <col min="4088" max="4088" width="3.7109375" style="153" customWidth="1"/>
    <col min="4089" max="4089" width="34.7109375" style="153" customWidth="1"/>
    <col min="4090" max="4090" width="62.28515625" style="153" customWidth="1"/>
    <col min="4091" max="4091" width="17.85546875" style="153" customWidth="1"/>
    <col min="4092" max="4092" width="14.5703125" style="153" customWidth="1"/>
    <col min="4093" max="4093" width="14.42578125" style="153" customWidth="1"/>
    <col min="4094" max="4094" width="14.5703125" style="153" customWidth="1"/>
    <col min="4095" max="4095" width="17.140625" style="153" customWidth="1"/>
    <col min="4096" max="4096" width="9.140625" style="153"/>
    <col min="4097" max="4097" width="17.85546875" style="153" customWidth="1"/>
    <col min="4098" max="4098" width="16" style="153" bestFit="1" customWidth="1"/>
    <col min="4099" max="4099" width="47.28515625" style="153" customWidth="1"/>
    <col min="4100" max="4343" width="9.140625" style="153"/>
    <col min="4344" max="4344" width="3.7109375" style="153" customWidth="1"/>
    <col min="4345" max="4345" width="34.7109375" style="153" customWidth="1"/>
    <col min="4346" max="4346" width="62.28515625" style="153" customWidth="1"/>
    <col min="4347" max="4347" width="17.85546875" style="153" customWidth="1"/>
    <col min="4348" max="4348" width="14.5703125" style="153" customWidth="1"/>
    <col min="4349" max="4349" width="14.42578125" style="153" customWidth="1"/>
    <col min="4350" max="4350" width="14.5703125" style="153" customWidth="1"/>
    <col min="4351" max="4351" width="17.140625" style="153" customWidth="1"/>
    <col min="4352" max="4352" width="9.140625" style="153"/>
    <col min="4353" max="4353" width="17.85546875" style="153" customWidth="1"/>
    <col min="4354" max="4354" width="16" style="153" bestFit="1" customWidth="1"/>
    <col min="4355" max="4355" width="47.28515625" style="153" customWidth="1"/>
    <col min="4356" max="4599" width="9.140625" style="153"/>
    <col min="4600" max="4600" width="3.7109375" style="153" customWidth="1"/>
    <col min="4601" max="4601" width="34.7109375" style="153" customWidth="1"/>
    <col min="4602" max="4602" width="62.28515625" style="153" customWidth="1"/>
    <col min="4603" max="4603" width="17.85546875" style="153" customWidth="1"/>
    <col min="4604" max="4604" width="14.5703125" style="153" customWidth="1"/>
    <col min="4605" max="4605" width="14.42578125" style="153" customWidth="1"/>
    <col min="4606" max="4606" width="14.5703125" style="153" customWidth="1"/>
    <col min="4607" max="4607" width="17.140625" style="153" customWidth="1"/>
    <col min="4608" max="4608" width="9.140625" style="153"/>
    <col min="4609" max="4609" width="17.85546875" style="153" customWidth="1"/>
    <col min="4610" max="4610" width="16" style="153" bestFit="1" customWidth="1"/>
    <col min="4611" max="4611" width="47.28515625" style="153" customWidth="1"/>
    <col min="4612" max="4855" width="9.140625" style="153"/>
    <col min="4856" max="4856" width="3.7109375" style="153" customWidth="1"/>
    <col min="4857" max="4857" width="34.7109375" style="153" customWidth="1"/>
    <col min="4858" max="4858" width="62.28515625" style="153" customWidth="1"/>
    <col min="4859" max="4859" width="17.85546875" style="153" customWidth="1"/>
    <col min="4860" max="4860" width="14.5703125" style="153" customWidth="1"/>
    <col min="4861" max="4861" width="14.42578125" style="153" customWidth="1"/>
    <col min="4862" max="4862" width="14.5703125" style="153" customWidth="1"/>
    <col min="4863" max="4863" width="17.140625" style="153" customWidth="1"/>
    <col min="4864" max="4864" width="9.140625" style="153"/>
    <col min="4865" max="4865" width="17.85546875" style="153" customWidth="1"/>
    <col min="4866" max="4866" width="16" style="153" bestFit="1" customWidth="1"/>
    <col min="4867" max="4867" width="47.28515625" style="153" customWidth="1"/>
    <col min="4868" max="5111" width="9.140625" style="153"/>
    <col min="5112" max="5112" width="3.7109375" style="153" customWidth="1"/>
    <col min="5113" max="5113" width="34.7109375" style="153" customWidth="1"/>
    <col min="5114" max="5114" width="62.28515625" style="153" customWidth="1"/>
    <col min="5115" max="5115" width="17.85546875" style="153" customWidth="1"/>
    <col min="5116" max="5116" width="14.5703125" style="153" customWidth="1"/>
    <col min="5117" max="5117" width="14.42578125" style="153" customWidth="1"/>
    <col min="5118" max="5118" width="14.5703125" style="153" customWidth="1"/>
    <col min="5119" max="5119" width="17.140625" style="153" customWidth="1"/>
    <col min="5120" max="5120" width="9.140625" style="153"/>
    <col min="5121" max="5121" width="17.85546875" style="153" customWidth="1"/>
    <col min="5122" max="5122" width="16" style="153" bestFit="1" customWidth="1"/>
    <col min="5123" max="5123" width="47.28515625" style="153" customWidth="1"/>
    <col min="5124" max="5367" width="9.140625" style="153"/>
    <col min="5368" max="5368" width="3.7109375" style="153" customWidth="1"/>
    <col min="5369" max="5369" width="34.7109375" style="153" customWidth="1"/>
    <col min="5370" max="5370" width="62.28515625" style="153" customWidth="1"/>
    <col min="5371" max="5371" width="17.85546875" style="153" customWidth="1"/>
    <col min="5372" max="5372" width="14.5703125" style="153" customWidth="1"/>
    <col min="5373" max="5373" width="14.42578125" style="153" customWidth="1"/>
    <col min="5374" max="5374" width="14.5703125" style="153" customWidth="1"/>
    <col min="5375" max="5375" width="17.140625" style="153" customWidth="1"/>
    <col min="5376" max="5376" width="9.140625" style="153"/>
    <col min="5377" max="5377" width="17.85546875" style="153" customWidth="1"/>
    <col min="5378" max="5378" width="16" style="153" bestFit="1" customWidth="1"/>
    <col min="5379" max="5379" width="47.28515625" style="153" customWidth="1"/>
    <col min="5380" max="5623" width="9.140625" style="153"/>
    <col min="5624" max="5624" width="3.7109375" style="153" customWidth="1"/>
    <col min="5625" max="5625" width="34.7109375" style="153" customWidth="1"/>
    <col min="5626" max="5626" width="62.28515625" style="153" customWidth="1"/>
    <col min="5627" max="5627" width="17.85546875" style="153" customWidth="1"/>
    <col min="5628" max="5628" width="14.5703125" style="153" customWidth="1"/>
    <col min="5629" max="5629" width="14.42578125" style="153" customWidth="1"/>
    <col min="5630" max="5630" width="14.5703125" style="153" customWidth="1"/>
    <col min="5631" max="5631" width="17.140625" style="153" customWidth="1"/>
    <col min="5632" max="5632" width="9.140625" style="153"/>
    <col min="5633" max="5633" width="17.85546875" style="153" customWidth="1"/>
    <col min="5634" max="5634" width="16" style="153" bestFit="1" customWidth="1"/>
    <col min="5635" max="5635" width="47.28515625" style="153" customWidth="1"/>
    <col min="5636" max="5879" width="9.140625" style="153"/>
    <col min="5880" max="5880" width="3.7109375" style="153" customWidth="1"/>
    <col min="5881" max="5881" width="34.7109375" style="153" customWidth="1"/>
    <col min="5882" max="5882" width="62.28515625" style="153" customWidth="1"/>
    <col min="5883" max="5883" width="17.85546875" style="153" customWidth="1"/>
    <col min="5884" max="5884" width="14.5703125" style="153" customWidth="1"/>
    <col min="5885" max="5885" width="14.42578125" style="153" customWidth="1"/>
    <col min="5886" max="5886" width="14.5703125" style="153" customWidth="1"/>
    <col min="5887" max="5887" width="17.140625" style="153" customWidth="1"/>
    <col min="5888" max="5888" width="9.140625" style="153"/>
    <col min="5889" max="5889" width="17.85546875" style="153" customWidth="1"/>
    <col min="5890" max="5890" width="16" style="153" bestFit="1" customWidth="1"/>
    <col min="5891" max="5891" width="47.28515625" style="153" customWidth="1"/>
    <col min="5892" max="6135" width="9.140625" style="153"/>
    <col min="6136" max="6136" width="3.7109375" style="153" customWidth="1"/>
    <col min="6137" max="6137" width="34.7109375" style="153" customWidth="1"/>
    <col min="6138" max="6138" width="62.28515625" style="153" customWidth="1"/>
    <col min="6139" max="6139" width="17.85546875" style="153" customWidth="1"/>
    <col min="6140" max="6140" width="14.5703125" style="153" customWidth="1"/>
    <col min="6141" max="6141" width="14.42578125" style="153" customWidth="1"/>
    <col min="6142" max="6142" width="14.5703125" style="153" customWidth="1"/>
    <col min="6143" max="6143" width="17.140625" style="153" customWidth="1"/>
    <col min="6144" max="6144" width="9.140625" style="153"/>
    <col min="6145" max="6145" width="17.85546875" style="153" customWidth="1"/>
    <col min="6146" max="6146" width="16" style="153" bestFit="1" customWidth="1"/>
    <col min="6147" max="6147" width="47.28515625" style="153" customWidth="1"/>
    <col min="6148" max="6391" width="9.140625" style="153"/>
    <col min="6392" max="6392" width="3.7109375" style="153" customWidth="1"/>
    <col min="6393" max="6393" width="34.7109375" style="153" customWidth="1"/>
    <col min="6394" max="6394" width="62.28515625" style="153" customWidth="1"/>
    <col min="6395" max="6395" width="17.85546875" style="153" customWidth="1"/>
    <col min="6396" max="6396" width="14.5703125" style="153" customWidth="1"/>
    <col min="6397" max="6397" width="14.42578125" style="153" customWidth="1"/>
    <col min="6398" max="6398" width="14.5703125" style="153" customWidth="1"/>
    <col min="6399" max="6399" width="17.140625" style="153" customWidth="1"/>
    <col min="6400" max="6400" width="9.140625" style="153"/>
    <col min="6401" max="6401" width="17.85546875" style="153" customWidth="1"/>
    <col min="6402" max="6402" width="16" style="153" bestFit="1" customWidth="1"/>
    <col min="6403" max="6403" width="47.28515625" style="153" customWidth="1"/>
    <col min="6404" max="6647" width="9.140625" style="153"/>
    <col min="6648" max="6648" width="3.7109375" style="153" customWidth="1"/>
    <col min="6649" max="6649" width="34.7109375" style="153" customWidth="1"/>
    <col min="6650" max="6650" width="62.28515625" style="153" customWidth="1"/>
    <col min="6651" max="6651" width="17.85546875" style="153" customWidth="1"/>
    <col min="6652" max="6652" width="14.5703125" style="153" customWidth="1"/>
    <col min="6653" max="6653" width="14.42578125" style="153" customWidth="1"/>
    <col min="6654" max="6654" width="14.5703125" style="153" customWidth="1"/>
    <col min="6655" max="6655" width="17.140625" style="153" customWidth="1"/>
    <col min="6656" max="6656" width="9.140625" style="153"/>
    <col min="6657" max="6657" width="17.85546875" style="153" customWidth="1"/>
    <col min="6658" max="6658" width="16" style="153" bestFit="1" customWidth="1"/>
    <col min="6659" max="6659" width="47.28515625" style="153" customWidth="1"/>
    <col min="6660" max="6903" width="9.140625" style="153"/>
    <col min="6904" max="6904" width="3.7109375" style="153" customWidth="1"/>
    <col min="6905" max="6905" width="34.7109375" style="153" customWidth="1"/>
    <col min="6906" max="6906" width="62.28515625" style="153" customWidth="1"/>
    <col min="6907" max="6907" width="17.85546875" style="153" customWidth="1"/>
    <col min="6908" max="6908" width="14.5703125" style="153" customWidth="1"/>
    <col min="6909" max="6909" width="14.42578125" style="153" customWidth="1"/>
    <col min="6910" max="6910" width="14.5703125" style="153" customWidth="1"/>
    <col min="6911" max="6911" width="17.140625" style="153" customWidth="1"/>
    <col min="6912" max="6912" width="9.140625" style="153"/>
    <col min="6913" max="6913" width="17.85546875" style="153" customWidth="1"/>
    <col min="6914" max="6914" width="16" style="153" bestFit="1" customWidth="1"/>
    <col min="6915" max="6915" width="47.28515625" style="153" customWidth="1"/>
    <col min="6916" max="7159" width="9.140625" style="153"/>
    <col min="7160" max="7160" width="3.7109375" style="153" customWidth="1"/>
    <col min="7161" max="7161" width="34.7109375" style="153" customWidth="1"/>
    <col min="7162" max="7162" width="62.28515625" style="153" customWidth="1"/>
    <col min="7163" max="7163" width="17.85546875" style="153" customWidth="1"/>
    <col min="7164" max="7164" width="14.5703125" style="153" customWidth="1"/>
    <col min="7165" max="7165" width="14.42578125" style="153" customWidth="1"/>
    <col min="7166" max="7166" width="14.5703125" style="153" customWidth="1"/>
    <col min="7167" max="7167" width="17.140625" style="153" customWidth="1"/>
    <col min="7168" max="7168" width="9.140625" style="153"/>
    <col min="7169" max="7169" width="17.85546875" style="153" customWidth="1"/>
    <col min="7170" max="7170" width="16" style="153" bestFit="1" customWidth="1"/>
    <col min="7171" max="7171" width="47.28515625" style="153" customWidth="1"/>
    <col min="7172" max="7415" width="9.140625" style="153"/>
    <col min="7416" max="7416" width="3.7109375" style="153" customWidth="1"/>
    <col min="7417" max="7417" width="34.7109375" style="153" customWidth="1"/>
    <col min="7418" max="7418" width="62.28515625" style="153" customWidth="1"/>
    <col min="7419" max="7419" width="17.85546875" style="153" customWidth="1"/>
    <col min="7420" max="7420" width="14.5703125" style="153" customWidth="1"/>
    <col min="7421" max="7421" width="14.42578125" style="153" customWidth="1"/>
    <col min="7422" max="7422" width="14.5703125" style="153" customWidth="1"/>
    <col min="7423" max="7423" width="17.140625" style="153" customWidth="1"/>
    <col min="7424" max="7424" width="9.140625" style="153"/>
    <col min="7425" max="7425" width="17.85546875" style="153" customWidth="1"/>
    <col min="7426" max="7426" width="16" style="153" bestFit="1" customWidth="1"/>
    <col min="7427" max="7427" width="47.28515625" style="153" customWidth="1"/>
    <col min="7428" max="7671" width="9.140625" style="153"/>
    <col min="7672" max="7672" width="3.7109375" style="153" customWidth="1"/>
    <col min="7673" max="7673" width="34.7109375" style="153" customWidth="1"/>
    <col min="7674" max="7674" width="62.28515625" style="153" customWidth="1"/>
    <col min="7675" max="7675" width="17.85546875" style="153" customWidth="1"/>
    <col min="7676" max="7676" width="14.5703125" style="153" customWidth="1"/>
    <col min="7677" max="7677" width="14.42578125" style="153" customWidth="1"/>
    <col min="7678" max="7678" width="14.5703125" style="153" customWidth="1"/>
    <col min="7679" max="7679" width="17.140625" style="153" customWidth="1"/>
    <col min="7680" max="7680" width="9.140625" style="153"/>
    <col min="7681" max="7681" width="17.85546875" style="153" customWidth="1"/>
    <col min="7682" max="7682" width="16" style="153" bestFit="1" customWidth="1"/>
    <col min="7683" max="7683" width="47.28515625" style="153" customWidth="1"/>
    <col min="7684" max="7927" width="9.140625" style="153"/>
    <col min="7928" max="7928" width="3.7109375" style="153" customWidth="1"/>
    <col min="7929" max="7929" width="34.7109375" style="153" customWidth="1"/>
    <col min="7930" max="7930" width="62.28515625" style="153" customWidth="1"/>
    <col min="7931" max="7931" width="17.85546875" style="153" customWidth="1"/>
    <col min="7932" max="7932" width="14.5703125" style="153" customWidth="1"/>
    <col min="7933" max="7933" width="14.42578125" style="153" customWidth="1"/>
    <col min="7934" max="7934" width="14.5703125" style="153" customWidth="1"/>
    <col min="7935" max="7935" width="17.140625" style="153" customWidth="1"/>
    <col min="7936" max="7936" width="9.140625" style="153"/>
    <col min="7937" max="7937" width="17.85546875" style="153" customWidth="1"/>
    <col min="7938" max="7938" width="16" style="153" bestFit="1" customWidth="1"/>
    <col min="7939" max="7939" width="47.28515625" style="153" customWidth="1"/>
    <col min="7940" max="8183" width="9.140625" style="153"/>
    <col min="8184" max="8184" width="3.7109375" style="153" customWidth="1"/>
    <col min="8185" max="8185" width="34.7109375" style="153" customWidth="1"/>
    <col min="8186" max="8186" width="62.28515625" style="153" customWidth="1"/>
    <col min="8187" max="8187" width="17.85546875" style="153" customWidth="1"/>
    <col min="8188" max="8188" width="14.5703125" style="153" customWidth="1"/>
    <col min="8189" max="8189" width="14.42578125" style="153" customWidth="1"/>
    <col min="8190" max="8190" width="14.5703125" style="153" customWidth="1"/>
    <col min="8191" max="8191" width="17.140625" style="153" customWidth="1"/>
    <col min="8192" max="8192" width="9.140625" style="153"/>
    <col min="8193" max="8193" width="17.85546875" style="153" customWidth="1"/>
    <col min="8194" max="8194" width="16" style="153" bestFit="1" customWidth="1"/>
    <col min="8195" max="8195" width="47.28515625" style="153" customWidth="1"/>
    <col min="8196" max="8439" width="9.140625" style="153"/>
    <col min="8440" max="8440" width="3.7109375" style="153" customWidth="1"/>
    <col min="8441" max="8441" width="34.7109375" style="153" customWidth="1"/>
    <col min="8442" max="8442" width="62.28515625" style="153" customWidth="1"/>
    <col min="8443" max="8443" width="17.85546875" style="153" customWidth="1"/>
    <col min="8444" max="8444" width="14.5703125" style="153" customWidth="1"/>
    <col min="8445" max="8445" width="14.42578125" style="153" customWidth="1"/>
    <col min="8446" max="8446" width="14.5703125" style="153" customWidth="1"/>
    <col min="8447" max="8447" width="17.140625" style="153" customWidth="1"/>
    <col min="8448" max="8448" width="9.140625" style="153"/>
    <col min="8449" max="8449" width="17.85546875" style="153" customWidth="1"/>
    <col min="8450" max="8450" width="16" style="153" bestFit="1" customWidth="1"/>
    <col min="8451" max="8451" width="47.28515625" style="153" customWidth="1"/>
    <col min="8452" max="8695" width="9.140625" style="153"/>
    <col min="8696" max="8696" width="3.7109375" style="153" customWidth="1"/>
    <col min="8697" max="8697" width="34.7109375" style="153" customWidth="1"/>
    <col min="8698" max="8698" width="62.28515625" style="153" customWidth="1"/>
    <col min="8699" max="8699" width="17.85546875" style="153" customWidth="1"/>
    <col min="8700" max="8700" width="14.5703125" style="153" customWidth="1"/>
    <col min="8701" max="8701" width="14.42578125" style="153" customWidth="1"/>
    <col min="8702" max="8702" width="14.5703125" style="153" customWidth="1"/>
    <col min="8703" max="8703" width="17.140625" style="153" customWidth="1"/>
    <col min="8704" max="8704" width="9.140625" style="153"/>
    <col min="8705" max="8705" width="17.85546875" style="153" customWidth="1"/>
    <col min="8706" max="8706" width="16" style="153" bestFit="1" customWidth="1"/>
    <col min="8707" max="8707" width="47.28515625" style="153" customWidth="1"/>
    <col min="8708" max="8951" width="9.140625" style="153"/>
    <col min="8952" max="8952" width="3.7109375" style="153" customWidth="1"/>
    <col min="8953" max="8953" width="34.7109375" style="153" customWidth="1"/>
    <col min="8954" max="8954" width="62.28515625" style="153" customWidth="1"/>
    <col min="8955" max="8955" width="17.85546875" style="153" customWidth="1"/>
    <col min="8956" max="8956" width="14.5703125" style="153" customWidth="1"/>
    <col min="8957" max="8957" width="14.42578125" style="153" customWidth="1"/>
    <col min="8958" max="8958" width="14.5703125" style="153" customWidth="1"/>
    <col min="8959" max="8959" width="17.140625" style="153" customWidth="1"/>
    <col min="8960" max="8960" width="9.140625" style="153"/>
    <col min="8961" max="8961" width="17.85546875" style="153" customWidth="1"/>
    <col min="8962" max="8962" width="16" style="153" bestFit="1" customWidth="1"/>
    <col min="8963" max="8963" width="47.28515625" style="153" customWidth="1"/>
    <col min="8964" max="9207" width="9.140625" style="153"/>
    <col min="9208" max="9208" width="3.7109375" style="153" customWidth="1"/>
    <col min="9209" max="9209" width="34.7109375" style="153" customWidth="1"/>
    <col min="9210" max="9210" width="62.28515625" style="153" customWidth="1"/>
    <col min="9211" max="9211" width="17.85546875" style="153" customWidth="1"/>
    <col min="9212" max="9212" width="14.5703125" style="153" customWidth="1"/>
    <col min="9213" max="9213" width="14.42578125" style="153" customWidth="1"/>
    <col min="9214" max="9214" width="14.5703125" style="153" customWidth="1"/>
    <col min="9215" max="9215" width="17.140625" style="153" customWidth="1"/>
    <col min="9216" max="9216" width="9.140625" style="153"/>
    <col min="9217" max="9217" width="17.85546875" style="153" customWidth="1"/>
    <col min="9218" max="9218" width="16" style="153" bestFit="1" customWidth="1"/>
    <col min="9219" max="9219" width="47.28515625" style="153" customWidth="1"/>
    <col min="9220" max="9463" width="9.140625" style="153"/>
    <col min="9464" max="9464" width="3.7109375" style="153" customWidth="1"/>
    <col min="9465" max="9465" width="34.7109375" style="153" customWidth="1"/>
    <col min="9466" max="9466" width="62.28515625" style="153" customWidth="1"/>
    <col min="9467" max="9467" width="17.85546875" style="153" customWidth="1"/>
    <col min="9468" max="9468" width="14.5703125" style="153" customWidth="1"/>
    <col min="9469" max="9469" width="14.42578125" style="153" customWidth="1"/>
    <col min="9470" max="9470" width="14.5703125" style="153" customWidth="1"/>
    <col min="9471" max="9471" width="17.140625" style="153" customWidth="1"/>
    <col min="9472" max="9472" width="9.140625" style="153"/>
    <col min="9473" max="9473" width="17.85546875" style="153" customWidth="1"/>
    <col min="9474" max="9474" width="16" style="153" bestFit="1" customWidth="1"/>
    <col min="9475" max="9475" width="47.28515625" style="153" customWidth="1"/>
    <col min="9476" max="9719" width="9.140625" style="153"/>
    <col min="9720" max="9720" width="3.7109375" style="153" customWidth="1"/>
    <col min="9721" max="9721" width="34.7109375" style="153" customWidth="1"/>
    <col min="9722" max="9722" width="62.28515625" style="153" customWidth="1"/>
    <col min="9723" max="9723" width="17.85546875" style="153" customWidth="1"/>
    <col min="9724" max="9724" width="14.5703125" style="153" customWidth="1"/>
    <col min="9725" max="9725" width="14.42578125" style="153" customWidth="1"/>
    <col min="9726" max="9726" width="14.5703125" style="153" customWidth="1"/>
    <col min="9727" max="9727" width="17.140625" style="153" customWidth="1"/>
    <col min="9728" max="9728" width="9.140625" style="153"/>
    <col min="9729" max="9729" width="17.85546875" style="153" customWidth="1"/>
    <col min="9730" max="9730" width="16" style="153" bestFit="1" customWidth="1"/>
    <col min="9731" max="9731" width="47.28515625" style="153" customWidth="1"/>
    <col min="9732" max="9975" width="9.140625" style="153"/>
    <col min="9976" max="9976" width="3.7109375" style="153" customWidth="1"/>
    <col min="9977" max="9977" width="34.7109375" style="153" customWidth="1"/>
    <col min="9978" max="9978" width="62.28515625" style="153" customWidth="1"/>
    <col min="9979" max="9979" width="17.85546875" style="153" customWidth="1"/>
    <col min="9980" max="9980" width="14.5703125" style="153" customWidth="1"/>
    <col min="9981" max="9981" width="14.42578125" style="153" customWidth="1"/>
    <col min="9982" max="9982" width="14.5703125" style="153" customWidth="1"/>
    <col min="9983" max="9983" width="17.140625" style="153" customWidth="1"/>
    <col min="9984" max="9984" width="9.140625" style="153"/>
    <col min="9985" max="9985" width="17.85546875" style="153" customWidth="1"/>
    <col min="9986" max="9986" width="16" style="153" bestFit="1" customWidth="1"/>
    <col min="9987" max="9987" width="47.28515625" style="153" customWidth="1"/>
    <col min="9988" max="10231" width="9.140625" style="153"/>
    <col min="10232" max="10232" width="3.7109375" style="153" customWidth="1"/>
    <col min="10233" max="10233" width="34.7109375" style="153" customWidth="1"/>
    <col min="10234" max="10234" width="62.28515625" style="153" customWidth="1"/>
    <col min="10235" max="10235" width="17.85546875" style="153" customWidth="1"/>
    <col min="10236" max="10236" width="14.5703125" style="153" customWidth="1"/>
    <col min="10237" max="10237" width="14.42578125" style="153" customWidth="1"/>
    <col min="10238" max="10238" width="14.5703125" style="153" customWidth="1"/>
    <col min="10239" max="10239" width="17.140625" style="153" customWidth="1"/>
    <col min="10240" max="10240" width="9.140625" style="153"/>
    <col min="10241" max="10241" width="17.85546875" style="153" customWidth="1"/>
    <col min="10242" max="10242" width="16" style="153" bestFit="1" customWidth="1"/>
    <col min="10243" max="10243" width="47.28515625" style="153" customWidth="1"/>
    <col min="10244" max="10487" width="9.140625" style="153"/>
    <col min="10488" max="10488" width="3.7109375" style="153" customWidth="1"/>
    <col min="10489" max="10489" width="34.7109375" style="153" customWidth="1"/>
    <col min="10490" max="10490" width="62.28515625" style="153" customWidth="1"/>
    <col min="10491" max="10491" width="17.85546875" style="153" customWidth="1"/>
    <col min="10492" max="10492" width="14.5703125" style="153" customWidth="1"/>
    <col min="10493" max="10493" width="14.42578125" style="153" customWidth="1"/>
    <col min="10494" max="10494" width="14.5703125" style="153" customWidth="1"/>
    <col min="10495" max="10495" width="17.140625" style="153" customWidth="1"/>
    <col min="10496" max="10496" width="9.140625" style="153"/>
    <col min="10497" max="10497" width="17.85546875" style="153" customWidth="1"/>
    <col min="10498" max="10498" width="16" style="153" bestFit="1" customWidth="1"/>
    <col min="10499" max="10499" width="47.28515625" style="153" customWidth="1"/>
    <col min="10500" max="10743" width="9.140625" style="153"/>
    <col min="10744" max="10744" width="3.7109375" style="153" customWidth="1"/>
    <col min="10745" max="10745" width="34.7109375" style="153" customWidth="1"/>
    <col min="10746" max="10746" width="62.28515625" style="153" customWidth="1"/>
    <col min="10747" max="10747" width="17.85546875" style="153" customWidth="1"/>
    <col min="10748" max="10748" width="14.5703125" style="153" customWidth="1"/>
    <col min="10749" max="10749" width="14.42578125" style="153" customWidth="1"/>
    <col min="10750" max="10750" width="14.5703125" style="153" customWidth="1"/>
    <col min="10751" max="10751" width="17.140625" style="153" customWidth="1"/>
    <col min="10752" max="10752" width="9.140625" style="153"/>
    <col min="10753" max="10753" width="17.85546875" style="153" customWidth="1"/>
    <col min="10754" max="10754" width="16" style="153" bestFit="1" customWidth="1"/>
    <col min="10755" max="10755" width="47.28515625" style="153" customWidth="1"/>
    <col min="10756" max="10999" width="9.140625" style="153"/>
    <col min="11000" max="11000" width="3.7109375" style="153" customWidth="1"/>
    <col min="11001" max="11001" width="34.7109375" style="153" customWidth="1"/>
    <col min="11002" max="11002" width="62.28515625" style="153" customWidth="1"/>
    <col min="11003" max="11003" width="17.85546875" style="153" customWidth="1"/>
    <col min="11004" max="11004" width="14.5703125" style="153" customWidth="1"/>
    <col min="11005" max="11005" width="14.42578125" style="153" customWidth="1"/>
    <col min="11006" max="11006" width="14.5703125" style="153" customWidth="1"/>
    <col min="11007" max="11007" width="17.140625" style="153" customWidth="1"/>
    <col min="11008" max="11008" width="9.140625" style="153"/>
    <col min="11009" max="11009" width="17.85546875" style="153" customWidth="1"/>
    <col min="11010" max="11010" width="16" style="153" bestFit="1" customWidth="1"/>
    <col min="11011" max="11011" width="47.28515625" style="153" customWidth="1"/>
    <col min="11012" max="11255" width="9.140625" style="153"/>
    <col min="11256" max="11256" width="3.7109375" style="153" customWidth="1"/>
    <col min="11257" max="11257" width="34.7109375" style="153" customWidth="1"/>
    <col min="11258" max="11258" width="62.28515625" style="153" customWidth="1"/>
    <col min="11259" max="11259" width="17.85546875" style="153" customWidth="1"/>
    <col min="11260" max="11260" width="14.5703125" style="153" customWidth="1"/>
    <col min="11261" max="11261" width="14.42578125" style="153" customWidth="1"/>
    <col min="11262" max="11262" width="14.5703125" style="153" customWidth="1"/>
    <col min="11263" max="11263" width="17.140625" style="153" customWidth="1"/>
    <col min="11264" max="11264" width="9.140625" style="153"/>
    <col min="11265" max="11265" width="17.85546875" style="153" customWidth="1"/>
    <col min="11266" max="11266" width="16" style="153" bestFit="1" customWidth="1"/>
    <col min="11267" max="11267" width="47.28515625" style="153" customWidth="1"/>
    <col min="11268" max="11511" width="9.140625" style="153"/>
    <col min="11512" max="11512" width="3.7109375" style="153" customWidth="1"/>
    <col min="11513" max="11513" width="34.7109375" style="153" customWidth="1"/>
    <col min="11514" max="11514" width="62.28515625" style="153" customWidth="1"/>
    <col min="11515" max="11515" width="17.85546875" style="153" customWidth="1"/>
    <col min="11516" max="11516" width="14.5703125" style="153" customWidth="1"/>
    <col min="11517" max="11517" width="14.42578125" style="153" customWidth="1"/>
    <col min="11518" max="11518" width="14.5703125" style="153" customWidth="1"/>
    <col min="11519" max="11519" width="17.140625" style="153" customWidth="1"/>
    <col min="11520" max="11520" width="9.140625" style="153"/>
    <col min="11521" max="11521" width="17.85546875" style="153" customWidth="1"/>
    <col min="11522" max="11522" width="16" style="153" bestFit="1" customWidth="1"/>
    <col min="11523" max="11523" width="47.28515625" style="153" customWidth="1"/>
    <col min="11524" max="11767" width="9.140625" style="153"/>
    <col min="11768" max="11768" width="3.7109375" style="153" customWidth="1"/>
    <col min="11769" max="11769" width="34.7109375" style="153" customWidth="1"/>
    <col min="11770" max="11770" width="62.28515625" style="153" customWidth="1"/>
    <col min="11771" max="11771" width="17.85546875" style="153" customWidth="1"/>
    <col min="11772" max="11772" width="14.5703125" style="153" customWidth="1"/>
    <col min="11773" max="11773" width="14.42578125" style="153" customWidth="1"/>
    <col min="11774" max="11774" width="14.5703125" style="153" customWidth="1"/>
    <col min="11775" max="11775" width="17.140625" style="153" customWidth="1"/>
    <col min="11776" max="11776" width="9.140625" style="153"/>
    <col min="11777" max="11777" width="17.85546875" style="153" customWidth="1"/>
    <col min="11778" max="11778" width="16" style="153" bestFit="1" customWidth="1"/>
    <col min="11779" max="11779" width="47.28515625" style="153" customWidth="1"/>
    <col min="11780" max="12023" width="9.140625" style="153"/>
    <col min="12024" max="12024" width="3.7109375" style="153" customWidth="1"/>
    <col min="12025" max="12025" width="34.7109375" style="153" customWidth="1"/>
    <col min="12026" max="12026" width="62.28515625" style="153" customWidth="1"/>
    <col min="12027" max="12027" width="17.85546875" style="153" customWidth="1"/>
    <col min="12028" max="12028" width="14.5703125" style="153" customWidth="1"/>
    <col min="12029" max="12029" width="14.42578125" style="153" customWidth="1"/>
    <col min="12030" max="12030" width="14.5703125" style="153" customWidth="1"/>
    <col min="12031" max="12031" width="17.140625" style="153" customWidth="1"/>
    <col min="12032" max="12032" width="9.140625" style="153"/>
    <col min="12033" max="12033" width="17.85546875" style="153" customWidth="1"/>
    <col min="12034" max="12034" width="16" style="153" bestFit="1" customWidth="1"/>
    <col min="12035" max="12035" width="47.28515625" style="153" customWidth="1"/>
    <col min="12036" max="12279" width="9.140625" style="153"/>
    <col min="12280" max="12280" width="3.7109375" style="153" customWidth="1"/>
    <col min="12281" max="12281" width="34.7109375" style="153" customWidth="1"/>
    <col min="12282" max="12282" width="62.28515625" style="153" customWidth="1"/>
    <col min="12283" max="12283" width="17.85546875" style="153" customWidth="1"/>
    <col min="12284" max="12284" width="14.5703125" style="153" customWidth="1"/>
    <col min="12285" max="12285" width="14.42578125" style="153" customWidth="1"/>
    <col min="12286" max="12286" width="14.5703125" style="153" customWidth="1"/>
    <col min="12287" max="12287" width="17.140625" style="153" customWidth="1"/>
    <col min="12288" max="12288" width="9.140625" style="153"/>
    <col min="12289" max="12289" width="17.85546875" style="153" customWidth="1"/>
    <col min="12290" max="12290" width="16" style="153" bestFit="1" customWidth="1"/>
    <col min="12291" max="12291" width="47.28515625" style="153" customWidth="1"/>
    <col min="12292" max="12535" width="9.140625" style="153"/>
    <col min="12536" max="12536" width="3.7109375" style="153" customWidth="1"/>
    <col min="12537" max="12537" width="34.7109375" style="153" customWidth="1"/>
    <col min="12538" max="12538" width="62.28515625" style="153" customWidth="1"/>
    <col min="12539" max="12539" width="17.85546875" style="153" customWidth="1"/>
    <col min="12540" max="12540" width="14.5703125" style="153" customWidth="1"/>
    <col min="12541" max="12541" width="14.42578125" style="153" customWidth="1"/>
    <col min="12542" max="12542" width="14.5703125" style="153" customWidth="1"/>
    <col min="12543" max="12543" width="17.140625" style="153" customWidth="1"/>
    <col min="12544" max="12544" width="9.140625" style="153"/>
    <col min="12545" max="12545" width="17.85546875" style="153" customWidth="1"/>
    <col min="12546" max="12546" width="16" style="153" bestFit="1" customWidth="1"/>
    <col min="12547" max="12547" width="47.28515625" style="153" customWidth="1"/>
    <col min="12548" max="12791" width="9.140625" style="153"/>
    <col min="12792" max="12792" width="3.7109375" style="153" customWidth="1"/>
    <col min="12793" max="12793" width="34.7109375" style="153" customWidth="1"/>
    <col min="12794" max="12794" width="62.28515625" style="153" customWidth="1"/>
    <col min="12795" max="12795" width="17.85546875" style="153" customWidth="1"/>
    <col min="12796" max="12796" width="14.5703125" style="153" customWidth="1"/>
    <col min="12797" max="12797" width="14.42578125" style="153" customWidth="1"/>
    <col min="12798" max="12798" width="14.5703125" style="153" customWidth="1"/>
    <col min="12799" max="12799" width="17.140625" style="153" customWidth="1"/>
    <col min="12800" max="12800" width="9.140625" style="153"/>
    <col min="12801" max="12801" width="17.85546875" style="153" customWidth="1"/>
    <col min="12802" max="12802" width="16" style="153" bestFit="1" customWidth="1"/>
    <col min="12803" max="12803" width="47.28515625" style="153" customWidth="1"/>
    <col min="12804" max="13047" width="9.140625" style="153"/>
    <col min="13048" max="13048" width="3.7109375" style="153" customWidth="1"/>
    <col min="13049" max="13049" width="34.7109375" style="153" customWidth="1"/>
    <col min="13050" max="13050" width="62.28515625" style="153" customWidth="1"/>
    <col min="13051" max="13051" width="17.85546875" style="153" customWidth="1"/>
    <col min="13052" max="13052" width="14.5703125" style="153" customWidth="1"/>
    <col min="13053" max="13053" width="14.42578125" style="153" customWidth="1"/>
    <col min="13054" max="13054" width="14.5703125" style="153" customWidth="1"/>
    <col min="13055" max="13055" width="17.140625" style="153" customWidth="1"/>
    <col min="13056" max="13056" width="9.140625" style="153"/>
    <col min="13057" max="13057" width="17.85546875" style="153" customWidth="1"/>
    <col min="13058" max="13058" width="16" style="153" bestFit="1" customWidth="1"/>
    <col min="13059" max="13059" width="47.28515625" style="153" customWidth="1"/>
    <col min="13060" max="13303" width="9.140625" style="153"/>
    <col min="13304" max="13304" width="3.7109375" style="153" customWidth="1"/>
    <col min="13305" max="13305" width="34.7109375" style="153" customWidth="1"/>
    <col min="13306" max="13306" width="62.28515625" style="153" customWidth="1"/>
    <col min="13307" max="13307" width="17.85546875" style="153" customWidth="1"/>
    <col min="13308" max="13308" width="14.5703125" style="153" customWidth="1"/>
    <col min="13309" max="13309" width="14.42578125" style="153" customWidth="1"/>
    <col min="13310" max="13310" width="14.5703125" style="153" customWidth="1"/>
    <col min="13311" max="13311" width="17.140625" style="153" customWidth="1"/>
    <col min="13312" max="13312" width="9.140625" style="153"/>
    <col min="13313" max="13313" width="17.85546875" style="153" customWidth="1"/>
    <col min="13314" max="13314" width="16" style="153" bestFit="1" customWidth="1"/>
    <col min="13315" max="13315" width="47.28515625" style="153" customWidth="1"/>
    <col min="13316" max="13559" width="9.140625" style="153"/>
    <col min="13560" max="13560" width="3.7109375" style="153" customWidth="1"/>
    <col min="13561" max="13561" width="34.7109375" style="153" customWidth="1"/>
    <col min="13562" max="13562" width="62.28515625" style="153" customWidth="1"/>
    <col min="13563" max="13563" width="17.85546875" style="153" customWidth="1"/>
    <col min="13564" max="13564" width="14.5703125" style="153" customWidth="1"/>
    <col min="13565" max="13565" width="14.42578125" style="153" customWidth="1"/>
    <col min="13566" max="13566" width="14.5703125" style="153" customWidth="1"/>
    <col min="13567" max="13567" width="17.140625" style="153" customWidth="1"/>
    <col min="13568" max="13568" width="9.140625" style="153"/>
    <col min="13569" max="13569" width="17.85546875" style="153" customWidth="1"/>
    <col min="13570" max="13570" width="16" style="153" bestFit="1" customWidth="1"/>
    <col min="13571" max="13571" width="47.28515625" style="153" customWidth="1"/>
    <col min="13572" max="13815" width="9.140625" style="153"/>
    <col min="13816" max="13816" width="3.7109375" style="153" customWidth="1"/>
    <col min="13817" max="13817" width="34.7109375" style="153" customWidth="1"/>
    <col min="13818" max="13818" width="62.28515625" style="153" customWidth="1"/>
    <col min="13819" max="13819" width="17.85546875" style="153" customWidth="1"/>
    <col min="13820" max="13820" width="14.5703125" style="153" customWidth="1"/>
    <col min="13821" max="13821" width="14.42578125" style="153" customWidth="1"/>
    <col min="13822" max="13822" width="14.5703125" style="153" customWidth="1"/>
    <col min="13823" max="13823" width="17.140625" style="153" customWidth="1"/>
    <col min="13824" max="13824" width="9.140625" style="153"/>
    <col min="13825" max="13825" width="17.85546875" style="153" customWidth="1"/>
    <col min="13826" max="13826" width="16" style="153" bestFit="1" customWidth="1"/>
    <col min="13827" max="13827" width="47.28515625" style="153" customWidth="1"/>
    <col min="13828" max="14071" width="9.140625" style="153"/>
    <col min="14072" max="14072" width="3.7109375" style="153" customWidth="1"/>
    <col min="14073" max="14073" width="34.7109375" style="153" customWidth="1"/>
    <col min="14074" max="14074" width="62.28515625" style="153" customWidth="1"/>
    <col min="14075" max="14075" width="17.85546875" style="153" customWidth="1"/>
    <col min="14076" max="14076" width="14.5703125" style="153" customWidth="1"/>
    <col min="14077" max="14077" width="14.42578125" style="153" customWidth="1"/>
    <col min="14078" max="14078" width="14.5703125" style="153" customWidth="1"/>
    <col min="14079" max="14079" width="17.140625" style="153" customWidth="1"/>
    <col min="14080" max="14080" width="9.140625" style="153"/>
    <col min="14081" max="14081" width="17.85546875" style="153" customWidth="1"/>
    <col min="14082" max="14082" width="16" style="153" bestFit="1" customWidth="1"/>
    <col min="14083" max="14083" width="47.28515625" style="153" customWidth="1"/>
    <col min="14084" max="14327" width="9.140625" style="153"/>
    <col min="14328" max="14328" width="3.7109375" style="153" customWidth="1"/>
    <col min="14329" max="14329" width="34.7109375" style="153" customWidth="1"/>
    <col min="14330" max="14330" width="62.28515625" style="153" customWidth="1"/>
    <col min="14331" max="14331" width="17.85546875" style="153" customWidth="1"/>
    <col min="14332" max="14332" width="14.5703125" style="153" customWidth="1"/>
    <col min="14333" max="14333" width="14.42578125" style="153" customWidth="1"/>
    <col min="14334" max="14334" width="14.5703125" style="153" customWidth="1"/>
    <col min="14335" max="14335" width="17.140625" style="153" customWidth="1"/>
    <col min="14336" max="14336" width="9.140625" style="153"/>
    <col min="14337" max="14337" width="17.85546875" style="153" customWidth="1"/>
    <col min="14338" max="14338" width="16" style="153" bestFit="1" customWidth="1"/>
    <col min="14339" max="14339" width="47.28515625" style="153" customWidth="1"/>
    <col min="14340" max="14583" width="9.140625" style="153"/>
    <col min="14584" max="14584" width="3.7109375" style="153" customWidth="1"/>
    <col min="14585" max="14585" width="34.7109375" style="153" customWidth="1"/>
    <col min="14586" max="14586" width="62.28515625" style="153" customWidth="1"/>
    <col min="14587" max="14587" width="17.85546875" style="153" customWidth="1"/>
    <col min="14588" max="14588" width="14.5703125" style="153" customWidth="1"/>
    <col min="14589" max="14589" width="14.42578125" style="153" customWidth="1"/>
    <col min="14590" max="14590" width="14.5703125" style="153" customWidth="1"/>
    <col min="14591" max="14591" width="17.140625" style="153" customWidth="1"/>
    <col min="14592" max="14592" width="9.140625" style="153"/>
    <col min="14593" max="14593" width="17.85546875" style="153" customWidth="1"/>
    <col min="14594" max="14594" width="16" style="153" bestFit="1" customWidth="1"/>
    <col min="14595" max="14595" width="47.28515625" style="153" customWidth="1"/>
    <col min="14596" max="14839" width="9.140625" style="153"/>
    <col min="14840" max="14840" width="3.7109375" style="153" customWidth="1"/>
    <col min="14841" max="14841" width="34.7109375" style="153" customWidth="1"/>
    <col min="14842" max="14842" width="62.28515625" style="153" customWidth="1"/>
    <col min="14843" max="14843" width="17.85546875" style="153" customWidth="1"/>
    <col min="14844" max="14844" width="14.5703125" style="153" customWidth="1"/>
    <col min="14845" max="14845" width="14.42578125" style="153" customWidth="1"/>
    <col min="14846" max="14846" width="14.5703125" style="153" customWidth="1"/>
    <col min="14847" max="14847" width="17.140625" style="153" customWidth="1"/>
    <col min="14848" max="14848" width="9.140625" style="153"/>
    <col min="14849" max="14849" width="17.85546875" style="153" customWidth="1"/>
    <col min="14850" max="14850" width="16" style="153" bestFit="1" customWidth="1"/>
    <col min="14851" max="14851" width="47.28515625" style="153" customWidth="1"/>
    <col min="14852" max="15095" width="9.140625" style="153"/>
    <col min="15096" max="15096" width="3.7109375" style="153" customWidth="1"/>
    <col min="15097" max="15097" width="34.7109375" style="153" customWidth="1"/>
    <col min="15098" max="15098" width="62.28515625" style="153" customWidth="1"/>
    <col min="15099" max="15099" width="17.85546875" style="153" customWidth="1"/>
    <col min="15100" max="15100" width="14.5703125" style="153" customWidth="1"/>
    <col min="15101" max="15101" width="14.42578125" style="153" customWidth="1"/>
    <col min="15102" max="15102" width="14.5703125" style="153" customWidth="1"/>
    <col min="15103" max="15103" width="17.140625" style="153" customWidth="1"/>
    <col min="15104" max="15104" width="9.140625" style="153"/>
    <col min="15105" max="15105" width="17.85546875" style="153" customWidth="1"/>
    <col min="15106" max="15106" width="16" style="153" bestFit="1" customWidth="1"/>
    <col min="15107" max="15107" width="47.28515625" style="153" customWidth="1"/>
    <col min="15108" max="15351" width="9.140625" style="153"/>
    <col min="15352" max="15352" width="3.7109375" style="153" customWidth="1"/>
    <col min="15353" max="15353" width="34.7109375" style="153" customWidth="1"/>
    <col min="15354" max="15354" width="62.28515625" style="153" customWidth="1"/>
    <col min="15355" max="15355" width="17.85546875" style="153" customWidth="1"/>
    <col min="15356" max="15356" width="14.5703125" style="153" customWidth="1"/>
    <col min="15357" max="15357" width="14.42578125" style="153" customWidth="1"/>
    <col min="15358" max="15358" width="14.5703125" style="153" customWidth="1"/>
    <col min="15359" max="15359" width="17.140625" style="153" customWidth="1"/>
    <col min="15360" max="15360" width="9.140625" style="153"/>
    <col min="15361" max="15361" width="17.85546875" style="153" customWidth="1"/>
    <col min="15362" max="15362" width="16" style="153" bestFit="1" customWidth="1"/>
    <col min="15363" max="15363" width="47.28515625" style="153" customWidth="1"/>
    <col min="15364" max="15607" width="9.140625" style="153"/>
    <col min="15608" max="15608" width="3.7109375" style="153" customWidth="1"/>
    <col min="15609" max="15609" width="34.7109375" style="153" customWidth="1"/>
    <col min="15610" max="15610" width="62.28515625" style="153" customWidth="1"/>
    <col min="15611" max="15611" width="17.85546875" style="153" customWidth="1"/>
    <col min="15612" max="15612" width="14.5703125" style="153" customWidth="1"/>
    <col min="15613" max="15613" width="14.42578125" style="153" customWidth="1"/>
    <col min="15614" max="15614" width="14.5703125" style="153" customWidth="1"/>
    <col min="15615" max="15615" width="17.140625" style="153" customWidth="1"/>
    <col min="15616" max="15616" width="9.140625" style="153"/>
    <col min="15617" max="15617" width="17.85546875" style="153" customWidth="1"/>
    <col min="15618" max="15618" width="16" style="153" bestFit="1" customWidth="1"/>
    <col min="15619" max="15619" width="47.28515625" style="153" customWidth="1"/>
    <col min="15620" max="15863" width="9.140625" style="153"/>
    <col min="15864" max="15864" width="3.7109375" style="153" customWidth="1"/>
    <col min="15865" max="15865" width="34.7109375" style="153" customWidth="1"/>
    <col min="15866" max="15866" width="62.28515625" style="153" customWidth="1"/>
    <col min="15867" max="15867" width="17.85546875" style="153" customWidth="1"/>
    <col min="15868" max="15868" width="14.5703125" style="153" customWidth="1"/>
    <col min="15869" max="15869" width="14.42578125" style="153" customWidth="1"/>
    <col min="15870" max="15870" width="14.5703125" style="153" customWidth="1"/>
    <col min="15871" max="15871" width="17.140625" style="153" customWidth="1"/>
    <col min="15872" max="15872" width="9.140625" style="153"/>
    <col min="15873" max="15873" width="17.85546875" style="153" customWidth="1"/>
    <col min="15874" max="15874" width="16" style="153" bestFit="1" customWidth="1"/>
    <col min="15875" max="15875" width="47.28515625" style="153" customWidth="1"/>
    <col min="15876" max="16119" width="9.140625" style="153"/>
    <col min="16120" max="16120" width="3.7109375" style="153" customWidth="1"/>
    <col min="16121" max="16121" width="34.7109375" style="153" customWidth="1"/>
    <col min="16122" max="16122" width="62.28515625" style="153" customWidth="1"/>
    <col min="16123" max="16123" width="17.85546875" style="153" customWidth="1"/>
    <col min="16124" max="16124" width="14.5703125" style="153" customWidth="1"/>
    <col min="16125" max="16125" width="14.42578125" style="153" customWidth="1"/>
    <col min="16126" max="16126" width="14.5703125" style="153" customWidth="1"/>
    <col min="16127" max="16127" width="17.140625" style="153" customWidth="1"/>
    <col min="16128" max="16128" width="9.140625" style="153"/>
    <col min="16129" max="16129" width="17.85546875" style="153" customWidth="1"/>
    <col min="16130" max="16130" width="16" style="153" bestFit="1" customWidth="1"/>
    <col min="16131" max="16131" width="47.28515625" style="153" customWidth="1"/>
    <col min="16132" max="16379" width="9.140625" style="153"/>
    <col min="16380" max="16384" width="9.140625" style="153" customWidth="1"/>
  </cols>
  <sheetData>
    <row r="1" spans="1:8" hidden="1" x14ac:dyDescent="0.2"/>
    <row r="2" spans="1:8" x14ac:dyDescent="0.2">
      <c r="D2" s="155"/>
      <c r="E2" s="155"/>
      <c r="F2" s="155"/>
      <c r="G2" s="155"/>
      <c r="H2" s="156" t="s">
        <v>136</v>
      </c>
    </row>
    <row r="3" spans="1:8" x14ac:dyDescent="0.2">
      <c r="B3" s="157" t="s">
        <v>137</v>
      </c>
      <c r="C3" s="365" t="s">
        <v>138</v>
      </c>
      <c r="D3" s="365"/>
      <c r="E3" s="365"/>
      <c r="F3" s="365"/>
      <c r="G3" s="365"/>
      <c r="H3" s="155"/>
    </row>
    <row r="4" spans="1:8" x14ac:dyDescent="0.2">
      <c r="D4" s="158" t="s">
        <v>0</v>
      </c>
      <c r="E4" s="159"/>
      <c r="F4" s="155"/>
      <c r="G4" s="155"/>
      <c r="H4" s="155"/>
    </row>
    <row r="5" spans="1:8" x14ac:dyDescent="0.2">
      <c r="B5" s="157" t="s">
        <v>139</v>
      </c>
      <c r="C5" s="160"/>
      <c r="D5" s="155"/>
      <c r="E5" s="158"/>
      <c r="F5" s="155"/>
      <c r="G5" s="155"/>
      <c r="H5" s="155"/>
    </row>
    <row r="6" spans="1:8" x14ac:dyDescent="0.2">
      <c r="D6" s="155"/>
      <c r="E6" s="158"/>
      <c r="F6" s="155"/>
      <c r="G6" s="155"/>
      <c r="H6" s="155"/>
    </row>
    <row r="7" spans="1:8" x14ac:dyDescent="0.2">
      <c r="B7" s="157" t="s">
        <v>140</v>
      </c>
      <c r="D7" s="155"/>
      <c r="E7" s="158"/>
      <c r="F7" s="155"/>
      <c r="G7" s="155"/>
      <c r="H7" s="155"/>
    </row>
    <row r="8" spans="1:8" x14ac:dyDescent="0.2">
      <c r="B8" s="157" t="s">
        <v>141</v>
      </c>
      <c r="D8" s="155"/>
      <c r="E8" s="155"/>
      <c r="F8" s="155"/>
      <c r="G8" s="155"/>
      <c r="H8" s="155"/>
    </row>
    <row r="9" spans="1:8" x14ac:dyDescent="0.2">
      <c r="C9" s="161"/>
      <c r="D9" s="162"/>
      <c r="E9" s="163"/>
      <c r="F9" s="162"/>
      <c r="G9" s="162"/>
      <c r="H9" s="155"/>
    </row>
    <row r="10" spans="1:8" x14ac:dyDescent="0.2">
      <c r="D10" s="158" t="s">
        <v>1</v>
      </c>
      <c r="E10" s="159"/>
      <c r="F10" s="155"/>
      <c r="G10" s="155"/>
      <c r="H10" s="155"/>
    </row>
    <row r="11" spans="1:8" x14ac:dyDescent="0.2">
      <c r="D11" s="155"/>
      <c r="E11" s="158"/>
      <c r="F11" s="155"/>
      <c r="G11" s="155"/>
      <c r="H11" s="155"/>
    </row>
    <row r="12" spans="1:8" x14ac:dyDescent="0.2">
      <c r="B12" s="157" t="s">
        <v>142</v>
      </c>
      <c r="D12" s="159"/>
      <c r="E12" s="159"/>
      <c r="F12" s="159"/>
      <c r="G12" s="159"/>
      <c r="H12" s="155"/>
    </row>
    <row r="13" spans="1:8" x14ac:dyDescent="0.2">
      <c r="D13" s="159"/>
      <c r="E13" s="159"/>
      <c r="F13" s="159"/>
      <c r="G13" s="155"/>
      <c r="H13" s="155"/>
    </row>
    <row r="14" spans="1:8" x14ac:dyDescent="0.2">
      <c r="A14" s="366" t="s">
        <v>143</v>
      </c>
      <c r="B14" s="366"/>
      <c r="C14" s="366"/>
      <c r="D14" s="366"/>
      <c r="E14" s="366"/>
      <c r="F14" s="366"/>
      <c r="G14" s="366"/>
      <c r="H14" s="366"/>
    </row>
    <row r="15" spans="1:8" x14ac:dyDescent="0.2">
      <c r="D15" s="164"/>
      <c r="E15" s="159"/>
      <c r="F15" s="155"/>
      <c r="G15" s="155"/>
      <c r="H15" s="155"/>
    </row>
    <row r="16" spans="1:8" x14ac:dyDescent="0.2">
      <c r="A16" s="367" t="s">
        <v>144</v>
      </c>
      <c r="B16" s="367"/>
      <c r="C16" s="367"/>
      <c r="D16" s="367"/>
      <c r="E16" s="367"/>
      <c r="F16" s="367"/>
      <c r="G16" s="367"/>
      <c r="H16" s="367"/>
    </row>
    <row r="17" spans="1:8" x14ac:dyDescent="0.2">
      <c r="A17" s="368" t="s">
        <v>2</v>
      </c>
      <c r="B17" s="368"/>
      <c r="C17" s="368"/>
      <c r="D17" s="368"/>
      <c r="E17" s="368"/>
      <c r="F17" s="368"/>
      <c r="G17" s="368"/>
      <c r="H17" s="368"/>
    </row>
    <row r="18" spans="1:8" x14ac:dyDescent="0.2">
      <c r="D18" s="159"/>
      <c r="E18" s="159"/>
      <c r="F18" s="159"/>
      <c r="G18" s="159"/>
      <c r="H18" s="165"/>
    </row>
    <row r="19" spans="1:8" x14ac:dyDescent="0.2">
      <c r="B19" s="157" t="s">
        <v>145</v>
      </c>
      <c r="D19" s="164"/>
      <c r="E19" s="155"/>
      <c r="F19" s="155"/>
      <c r="G19" s="155"/>
      <c r="H19" s="155"/>
    </row>
    <row r="20" spans="1:8" x14ac:dyDescent="0.2">
      <c r="B20" s="369"/>
      <c r="C20" s="369"/>
      <c r="D20" s="369"/>
      <c r="E20" s="369"/>
      <c r="F20" s="369"/>
      <c r="G20" s="369"/>
      <c r="H20" s="369"/>
    </row>
    <row r="21" spans="1:8" x14ac:dyDescent="0.2">
      <c r="A21" s="348" t="s">
        <v>12</v>
      </c>
      <c r="B21" s="361" t="s">
        <v>146</v>
      </c>
      <c r="C21" s="361" t="s">
        <v>147</v>
      </c>
      <c r="D21" s="347" t="s">
        <v>148</v>
      </c>
      <c r="E21" s="347"/>
      <c r="F21" s="347"/>
      <c r="G21" s="347"/>
      <c r="H21" s="348" t="s">
        <v>149</v>
      </c>
    </row>
    <row r="22" spans="1:8" x14ac:dyDescent="0.2">
      <c r="A22" s="348"/>
      <c r="B22" s="361"/>
      <c r="C22" s="361"/>
      <c r="D22" s="348" t="s">
        <v>150</v>
      </c>
      <c r="E22" s="348" t="s">
        <v>5</v>
      </c>
      <c r="F22" s="348" t="s">
        <v>151</v>
      </c>
      <c r="G22" s="348" t="s">
        <v>152</v>
      </c>
      <c r="H22" s="348"/>
    </row>
    <row r="23" spans="1:8" x14ac:dyDescent="0.2">
      <c r="A23" s="348"/>
      <c r="B23" s="361"/>
      <c r="C23" s="361"/>
      <c r="D23" s="348"/>
      <c r="E23" s="348"/>
      <c r="F23" s="348"/>
      <c r="G23" s="348"/>
      <c r="H23" s="348"/>
    </row>
    <row r="24" spans="1:8" s="166" customFormat="1" x14ac:dyDescent="0.2">
      <c r="A24" s="348"/>
      <c r="B24" s="361"/>
      <c r="C24" s="361"/>
      <c r="D24" s="348"/>
      <c r="E24" s="348"/>
      <c r="F24" s="348"/>
      <c r="G24" s="348"/>
      <c r="H24" s="348"/>
    </row>
    <row r="25" spans="1:8" s="166" customFormat="1" x14ac:dyDescent="0.2">
      <c r="A25" s="167">
        <v>1</v>
      </c>
      <c r="B25" s="167">
        <v>2</v>
      </c>
      <c r="C25" s="167">
        <v>3</v>
      </c>
      <c r="D25" s="167">
        <v>4</v>
      </c>
      <c r="E25" s="167">
        <v>5</v>
      </c>
      <c r="F25" s="167">
        <v>6</v>
      </c>
      <c r="G25" s="167">
        <v>7</v>
      </c>
      <c r="H25" s="167">
        <v>8</v>
      </c>
    </row>
    <row r="26" spans="1:8" s="166" customFormat="1" x14ac:dyDescent="0.2">
      <c r="A26" s="355" t="s">
        <v>6</v>
      </c>
      <c r="B26" s="356"/>
      <c r="C26" s="357"/>
      <c r="D26" s="344"/>
      <c r="E26" s="345"/>
      <c r="F26" s="345"/>
      <c r="G26" s="346"/>
      <c r="H26" s="168"/>
    </row>
    <row r="27" spans="1:8" s="166" customFormat="1" ht="32.25" customHeight="1" x14ac:dyDescent="0.2">
      <c r="A27" s="169">
        <v>1</v>
      </c>
      <c r="B27" s="170" t="s">
        <v>153</v>
      </c>
      <c r="C27" s="171" t="s">
        <v>154</v>
      </c>
      <c r="D27" s="172">
        <v>0.22</v>
      </c>
      <c r="E27" s="172"/>
      <c r="F27" s="172"/>
      <c r="G27" s="173"/>
      <c r="H27" s="174">
        <f>D27+E27+F27+G27</f>
        <v>0.22</v>
      </c>
    </row>
    <row r="28" spans="1:8" s="166" customFormat="1" ht="25.5" customHeight="1" x14ac:dyDescent="0.2">
      <c r="A28" s="169">
        <v>2</v>
      </c>
      <c r="B28" s="170" t="s">
        <v>155</v>
      </c>
      <c r="C28" s="171" t="s">
        <v>156</v>
      </c>
      <c r="D28" s="172"/>
      <c r="E28" s="172"/>
      <c r="F28" s="172"/>
      <c r="G28" s="173">
        <v>54.04</v>
      </c>
      <c r="H28" s="174">
        <f>D28+E28+F28+G28</f>
        <v>54.04</v>
      </c>
    </row>
    <row r="29" spans="1:8" s="166" customFormat="1" ht="29.25" customHeight="1" x14ac:dyDescent="0.2">
      <c r="A29" s="169">
        <v>3</v>
      </c>
      <c r="B29" s="170" t="s">
        <v>157</v>
      </c>
      <c r="C29" s="171" t="s">
        <v>158</v>
      </c>
      <c r="D29" s="168"/>
      <c r="E29" s="168"/>
      <c r="F29" s="168"/>
      <c r="G29" s="175">
        <v>19.32</v>
      </c>
      <c r="H29" s="174">
        <f>D29+E29+F29+G29</f>
        <v>19.32</v>
      </c>
    </row>
    <row r="30" spans="1:8" s="166" customFormat="1" ht="29.25" customHeight="1" x14ac:dyDescent="0.2">
      <c r="A30" s="169">
        <v>4</v>
      </c>
      <c r="B30" s="170" t="s">
        <v>159</v>
      </c>
      <c r="C30" s="171" t="s">
        <v>160</v>
      </c>
      <c r="D30" s="168">
        <v>70.58</v>
      </c>
      <c r="E30" s="168"/>
      <c r="F30" s="168"/>
      <c r="G30" s="175"/>
      <c r="H30" s="174">
        <f>D30+E30+F30+G30</f>
        <v>70.58</v>
      </c>
    </row>
    <row r="31" spans="1:8" ht="15.75" customHeight="1" x14ac:dyDescent="0.2">
      <c r="A31" s="176"/>
      <c r="B31" s="177"/>
      <c r="C31" s="178" t="s">
        <v>161</v>
      </c>
      <c r="D31" s="179">
        <f>SUM(D27:D30)</f>
        <v>70.8</v>
      </c>
      <c r="E31" s="179">
        <f>SUM(E27:E30)</f>
        <v>0</v>
      </c>
      <c r="F31" s="179">
        <f>SUM(F27:F30)</f>
        <v>0</v>
      </c>
      <c r="G31" s="179">
        <f>SUM(G27:G30)</f>
        <v>73.36</v>
      </c>
      <c r="H31" s="180">
        <f>D31+E31+F31+G31</f>
        <v>144.16</v>
      </c>
    </row>
    <row r="32" spans="1:8" x14ac:dyDescent="0.2">
      <c r="A32" s="355" t="s">
        <v>7</v>
      </c>
      <c r="B32" s="356"/>
      <c r="C32" s="357"/>
      <c r="D32" s="181"/>
      <c r="E32" s="182"/>
      <c r="F32" s="181"/>
      <c r="G32" s="181"/>
      <c r="H32" s="183"/>
    </row>
    <row r="33" spans="1:8" x14ac:dyDescent="0.2">
      <c r="A33" s="169"/>
      <c r="B33" s="184"/>
      <c r="C33" s="185" t="s">
        <v>162</v>
      </c>
      <c r="D33" s="186">
        <v>0</v>
      </c>
      <c r="E33" s="186">
        <v>0</v>
      </c>
      <c r="F33" s="186">
        <v>0</v>
      </c>
      <c r="G33" s="186">
        <v>0</v>
      </c>
      <c r="H33" s="187">
        <f>SUM(D33:G33)</f>
        <v>0</v>
      </c>
    </row>
    <row r="34" spans="1:8" x14ac:dyDescent="0.2">
      <c r="A34" s="355" t="s">
        <v>163</v>
      </c>
      <c r="B34" s="356"/>
      <c r="C34" s="356"/>
      <c r="D34" s="188"/>
      <c r="E34" s="188"/>
      <c r="F34" s="189"/>
      <c r="G34" s="190"/>
      <c r="H34" s="191"/>
    </row>
    <row r="35" spans="1:8" x14ac:dyDescent="0.2">
      <c r="A35" s="169"/>
      <c r="B35" s="184"/>
      <c r="C35" s="192" t="s">
        <v>164</v>
      </c>
      <c r="D35" s="186">
        <v>0</v>
      </c>
      <c r="E35" s="186">
        <v>0</v>
      </c>
      <c r="F35" s="186">
        <v>0</v>
      </c>
      <c r="G35" s="186">
        <v>0</v>
      </c>
      <c r="H35" s="187">
        <f>D35+E35+F35+G35</f>
        <v>0</v>
      </c>
    </row>
    <row r="36" spans="1:8" x14ac:dyDescent="0.2">
      <c r="A36" s="355" t="s">
        <v>75</v>
      </c>
      <c r="B36" s="356"/>
      <c r="C36" s="357"/>
      <c r="D36" s="370"/>
      <c r="E36" s="371"/>
      <c r="F36" s="371"/>
      <c r="G36" s="193"/>
      <c r="H36" s="194"/>
    </row>
    <row r="37" spans="1:8" x14ac:dyDescent="0.2">
      <c r="A37" s="169"/>
      <c r="B37" s="195"/>
      <c r="C37" s="196" t="s">
        <v>165</v>
      </c>
      <c r="D37" s="186">
        <v>0</v>
      </c>
      <c r="E37" s="186">
        <v>0</v>
      </c>
      <c r="F37" s="186">
        <v>0</v>
      </c>
      <c r="G37" s="186">
        <v>0</v>
      </c>
      <c r="H37" s="187">
        <f>SUM(D37:G37)</f>
        <v>0</v>
      </c>
    </row>
    <row r="38" spans="1:8" ht="15.75" customHeight="1" x14ac:dyDescent="0.2">
      <c r="A38" s="372" t="s">
        <v>76</v>
      </c>
      <c r="B38" s="373"/>
      <c r="C38" s="374"/>
      <c r="D38" s="186"/>
      <c r="E38" s="186"/>
      <c r="F38" s="186"/>
      <c r="G38" s="186"/>
      <c r="H38" s="187"/>
    </row>
    <row r="39" spans="1:8" ht="15.75" customHeight="1" x14ac:dyDescent="0.2">
      <c r="A39" s="169"/>
      <c r="B39" s="195"/>
      <c r="C39" s="196" t="s">
        <v>166</v>
      </c>
      <c r="D39" s="186">
        <v>0</v>
      </c>
      <c r="E39" s="186">
        <v>0</v>
      </c>
      <c r="F39" s="186">
        <v>0</v>
      </c>
      <c r="G39" s="186">
        <v>0</v>
      </c>
      <c r="H39" s="187">
        <f>SUM(D39:G39)</f>
        <v>0</v>
      </c>
    </row>
    <row r="40" spans="1:8" ht="24.75" customHeight="1" x14ac:dyDescent="0.2">
      <c r="A40" s="358" t="s">
        <v>167</v>
      </c>
      <c r="B40" s="359"/>
      <c r="C40" s="360"/>
      <c r="D40" s="186"/>
      <c r="E40" s="186"/>
      <c r="F40" s="186"/>
      <c r="G40" s="186"/>
      <c r="H40" s="187"/>
    </row>
    <row r="41" spans="1:8" ht="24.75" customHeight="1" x14ac:dyDescent="0.2">
      <c r="A41" s="169">
        <v>5</v>
      </c>
      <c r="B41" s="170" t="s">
        <v>77</v>
      </c>
      <c r="C41" s="197" t="s">
        <v>168</v>
      </c>
      <c r="D41" s="198">
        <v>539.02</v>
      </c>
      <c r="E41" s="198">
        <v>0</v>
      </c>
      <c r="F41" s="198">
        <v>0</v>
      </c>
      <c r="G41" s="198">
        <v>0</v>
      </c>
      <c r="H41" s="180">
        <f>D41+E41+F41+G41</f>
        <v>539.02</v>
      </c>
    </row>
    <row r="42" spans="1:8" ht="15.75" customHeight="1" x14ac:dyDescent="0.2">
      <c r="A42" s="169"/>
      <c r="B42" s="199" t="s">
        <v>169</v>
      </c>
      <c r="C42" s="196" t="s">
        <v>170</v>
      </c>
      <c r="D42" s="186">
        <f>D41</f>
        <v>539.02</v>
      </c>
      <c r="E42" s="186">
        <f>E40</f>
        <v>0</v>
      </c>
      <c r="F42" s="186">
        <f>F40</f>
        <v>0</v>
      </c>
      <c r="G42" s="186">
        <f>G40</f>
        <v>0</v>
      </c>
      <c r="H42" s="187">
        <f>H40</f>
        <v>0</v>
      </c>
    </row>
    <row r="43" spans="1:8" ht="15.75" customHeight="1" x14ac:dyDescent="0.2">
      <c r="A43" s="352" t="s">
        <v>171</v>
      </c>
      <c r="B43" s="353"/>
      <c r="C43" s="354"/>
      <c r="D43" s="186"/>
      <c r="E43" s="186"/>
      <c r="F43" s="186"/>
      <c r="G43" s="186"/>
      <c r="H43" s="187"/>
    </row>
    <row r="44" spans="1:8" ht="15" customHeight="1" x14ac:dyDescent="0.2">
      <c r="A44" s="169"/>
      <c r="B44" s="200"/>
      <c r="C44" s="196" t="s">
        <v>172</v>
      </c>
      <c r="D44" s="186">
        <f>D43</f>
        <v>0</v>
      </c>
      <c r="E44" s="186">
        <f>E43</f>
        <v>0</v>
      </c>
      <c r="F44" s="186">
        <f>F43</f>
        <v>0</v>
      </c>
      <c r="G44" s="186">
        <f>G43</f>
        <v>0</v>
      </c>
      <c r="H44" s="187">
        <f>H43</f>
        <v>0</v>
      </c>
    </row>
    <row r="45" spans="1:8" x14ac:dyDescent="0.2">
      <c r="A45" s="169"/>
      <c r="B45" s="200"/>
      <c r="C45" s="196" t="s">
        <v>173</v>
      </c>
      <c r="D45" s="186">
        <f>D37+D35+D33+D31+D39+D42+D44</f>
        <v>609.82000000000005</v>
      </c>
      <c r="E45" s="186">
        <f>E37+E35+E33+E31+E39+E42+E44</f>
        <v>0</v>
      </c>
      <c r="F45" s="186">
        <f>F37+F35+F33+F31+F39+F42+F44</f>
        <v>0</v>
      </c>
      <c r="G45" s="186">
        <f>G37+G35+G33+G31+G39+G42+G44</f>
        <v>73.36</v>
      </c>
      <c r="H45" s="187">
        <f>SUM(D45:G45)</f>
        <v>683.18</v>
      </c>
    </row>
    <row r="46" spans="1:8" ht="15" customHeight="1" x14ac:dyDescent="0.2">
      <c r="A46" s="355" t="s">
        <v>8</v>
      </c>
      <c r="B46" s="356"/>
      <c r="C46" s="357"/>
      <c r="D46" s="201"/>
      <c r="E46" s="202"/>
      <c r="F46" s="203"/>
      <c r="G46" s="203"/>
      <c r="H46" s="204"/>
    </row>
    <row r="47" spans="1:8" ht="27.75" customHeight="1" x14ac:dyDescent="0.2">
      <c r="A47" s="169">
        <v>6</v>
      </c>
      <c r="B47" s="170" t="s">
        <v>174</v>
      </c>
      <c r="C47" s="170" t="s">
        <v>175</v>
      </c>
      <c r="D47" s="175">
        <f>D45*1.5%</f>
        <v>9.15</v>
      </c>
      <c r="E47" s="175">
        <f>E45*1.5%</f>
        <v>0</v>
      </c>
      <c r="F47" s="175"/>
      <c r="G47" s="175"/>
      <c r="H47" s="175">
        <f>SUM(D47:G47)</f>
        <v>9.15</v>
      </c>
    </row>
    <row r="48" spans="1:8" s="210" customFormat="1" ht="30" customHeight="1" x14ac:dyDescent="0.2">
      <c r="A48" s="169">
        <v>7</v>
      </c>
      <c r="B48" s="205" t="s">
        <v>176</v>
      </c>
      <c r="C48" s="206" t="s">
        <v>177</v>
      </c>
      <c r="D48" s="207">
        <f>D47*15%</f>
        <v>1.37</v>
      </c>
      <c r="E48" s="207">
        <f>E47*15%</f>
        <v>0</v>
      </c>
      <c r="F48" s="208"/>
      <c r="G48" s="208"/>
      <c r="H48" s="209">
        <f>SUM(H47)*15%</f>
        <v>1.37</v>
      </c>
    </row>
    <row r="49" spans="1:8" x14ac:dyDescent="0.2">
      <c r="A49" s="169"/>
      <c r="B49" s="170"/>
      <c r="C49" s="185" t="s">
        <v>178</v>
      </c>
      <c r="D49" s="186">
        <f>D47</f>
        <v>9.15</v>
      </c>
      <c r="E49" s="186">
        <f>E47</f>
        <v>0</v>
      </c>
      <c r="F49" s="186"/>
      <c r="G49" s="186"/>
      <c r="H49" s="187">
        <f>SUM(D49:G49)</f>
        <v>9.15</v>
      </c>
    </row>
    <row r="50" spans="1:8" x14ac:dyDescent="0.2">
      <c r="A50" s="169"/>
      <c r="B50" s="170" t="s">
        <v>169</v>
      </c>
      <c r="C50" s="185" t="s">
        <v>179</v>
      </c>
      <c r="D50" s="186">
        <f>SUM(D45)+D49</f>
        <v>618.97</v>
      </c>
      <c r="E50" s="186">
        <f>SUM(E45)+E49</f>
        <v>0</v>
      </c>
      <c r="F50" s="186">
        <f>SUM(F45)+F49</f>
        <v>0</v>
      </c>
      <c r="G50" s="186">
        <f>SUM(G45)+G49</f>
        <v>73.36</v>
      </c>
      <c r="H50" s="187">
        <f>SUM(D50:G50)</f>
        <v>692.33</v>
      </c>
    </row>
    <row r="51" spans="1:8" x14ac:dyDescent="0.2">
      <c r="A51" s="355" t="s">
        <v>180</v>
      </c>
      <c r="B51" s="356"/>
      <c r="C51" s="357"/>
      <c r="D51" s="211"/>
      <c r="E51" s="212"/>
      <c r="F51" s="211"/>
      <c r="G51" s="212"/>
      <c r="H51" s="213"/>
    </row>
    <row r="52" spans="1:8" ht="36.75" customHeight="1" x14ac:dyDescent="0.2">
      <c r="A52" s="169">
        <v>8</v>
      </c>
      <c r="B52" s="170" t="s">
        <v>181</v>
      </c>
      <c r="C52" s="214" t="s">
        <v>182</v>
      </c>
      <c r="D52" s="186"/>
      <c r="E52" s="186"/>
      <c r="F52" s="186"/>
      <c r="G52" s="175">
        <v>0.02</v>
      </c>
      <c r="H52" s="187">
        <f>G52</f>
        <v>0.02</v>
      </c>
    </row>
    <row r="53" spans="1:8" ht="30.75" customHeight="1" x14ac:dyDescent="0.2">
      <c r="A53" s="169">
        <v>9</v>
      </c>
      <c r="B53" s="170" t="s">
        <v>183</v>
      </c>
      <c r="C53" s="214" t="s">
        <v>184</v>
      </c>
      <c r="D53" s="186"/>
      <c r="E53" s="186"/>
      <c r="F53" s="186"/>
      <c r="G53" s="175">
        <v>0.14000000000000001</v>
      </c>
      <c r="H53" s="187">
        <f>G53</f>
        <v>0.14000000000000001</v>
      </c>
    </row>
    <row r="54" spans="1:8" ht="45.75" customHeight="1" x14ac:dyDescent="0.2">
      <c r="A54" s="169">
        <v>10</v>
      </c>
      <c r="B54" s="170" t="s">
        <v>185</v>
      </c>
      <c r="C54" s="214" t="s">
        <v>186</v>
      </c>
      <c r="D54" s="186"/>
      <c r="E54" s="186"/>
      <c r="F54" s="186"/>
      <c r="G54" s="175">
        <v>62.31</v>
      </c>
      <c r="H54" s="187">
        <f>G54</f>
        <v>62.31</v>
      </c>
    </row>
    <row r="55" spans="1:8" ht="45.75" customHeight="1" x14ac:dyDescent="0.2">
      <c r="A55" s="169">
        <v>11</v>
      </c>
      <c r="B55" s="170" t="s">
        <v>185</v>
      </c>
      <c r="C55" s="214" t="s">
        <v>187</v>
      </c>
      <c r="D55" s="186"/>
      <c r="E55" s="186"/>
      <c r="F55" s="186"/>
      <c r="G55" s="175">
        <v>0.93</v>
      </c>
      <c r="H55" s="187">
        <f>G55</f>
        <v>0.93</v>
      </c>
    </row>
    <row r="56" spans="1:8" x14ac:dyDescent="0.2">
      <c r="A56" s="169"/>
      <c r="B56" s="170"/>
      <c r="C56" s="192" t="s">
        <v>188</v>
      </c>
      <c r="D56" s="186">
        <f>SUM(D52:D54)</f>
        <v>0</v>
      </c>
      <c r="E56" s="186">
        <f>SUM(E52:E54)</f>
        <v>0</v>
      </c>
      <c r="F56" s="186">
        <f>SUM(F52:F54)</f>
        <v>0</v>
      </c>
      <c r="G56" s="186">
        <f>SUM(G52:G55)</f>
        <v>63.4</v>
      </c>
      <c r="H56" s="187">
        <f>SUM(D56:G56)</f>
        <v>63.4</v>
      </c>
    </row>
    <row r="57" spans="1:8" x14ac:dyDescent="0.2">
      <c r="A57" s="169"/>
      <c r="B57" s="170"/>
      <c r="C57" s="185" t="s">
        <v>189</v>
      </c>
      <c r="D57" s="186">
        <f>SUM(D56+D50)</f>
        <v>618.97</v>
      </c>
      <c r="E57" s="186">
        <f>SUM(E56+E50)</f>
        <v>0</v>
      </c>
      <c r="F57" s="186">
        <f>SUM(F56+F50)</f>
        <v>0</v>
      </c>
      <c r="G57" s="186">
        <f>SUM(G56+G50)</f>
        <v>136.76</v>
      </c>
      <c r="H57" s="187">
        <f>SUM(D57:G57)</f>
        <v>755.73</v>
      </c>
    </row>
    <row r="58" spans="1:8" ht="22.5" customHeight="1" x14ac:dyDescent="0.2">
      <c r="A58" s="375" t="s">
        <v>190</v>
      </c>
      <c r="B58" s="376"/>
      <c r="C58" s="377"/>
      <c r="D58" s="201"/>
      <c r="E58" s="201"/>
      <c r="F58" s="201"/>
      <c r="G58" s="186"/>
      <c r="H58" s="213"/>
    </row>
    <row r="59" spans="1:8" ht="40.5" customHeight="1" x14ac:dyDescent="0.2">
      <c r="A59" s="169">
        <v>12</v>
      </c>
      <c r="B59" s="215" t="s">
        <v>191</v>
      </c>
      <c r="C59" s="216" t="s">
        <v>192</v>
      </c>
      <c r="D59" s="201"/>
      <c r="E59" s="201"/>
      <c r="F59" s="201"/>
      <c r="G59" s="175">
        <f>H57*2.14%</f>
        <v>16.170000000000002</v>
      </c>
      <c r="H59" s="175">
        <f>SUM(G59)</f>
        <v>16.170000000000002</v>
      </c>
    </row>
    <row r="60" spans="1:8" x14ac:dyDescent="0.2">
      <c r="A60" s="169"/>
      <c r="B60" s="177"/>
      <c r="C60" s="185" t="s">
        <v>193</v>
      </c>
      <c r="D60" s="201"/>
      <c r="E60" s="201"/>
      <c r="F60" s="201"/>
      <c r="G60" s="186">
        <f>SUM(G59:G59)</f>
        <v>16.170000000000002</v>
      </c>
      <c r="H60" s="187">
        <f>SUM(D60:G60)</f>
        <v>16.170000000000002</v>
      </c>
    </row>
    <row r="61" spans="1:8" x14ac:dyDescent="0.2">
      <c r="A61" s="169"/>
      <c r="B61" s="177"/>
      <c r="C61" s="185" t="s">
        <v>194</v>
      </c>
      <c r="D61" s="186">
        <f>D57+D60</f>
        <v>618.97</v>
      </c>
      <c r="E61" s="186">
        <f>E57+E60</f>
        <v>0</v>
      </c>
      <c r="F61" s="186">
        <f>F57+F60</f>
        <v>0</v>
      </c>
      <c r="G61" s="186">
        <f>G57+G60</f>
        <v>152.93</v>
      </c>
      <c r="H61" s="187">
        <f>SUM(D61:G61)</f>
        <v>771.9</v>
      </c>
    </row>
    <row r="62" spans="1:8" ht="54.75" customHeight="1" x14ac:dyDescent="0.2">
      <c r="A62" s="375" t="s">
        <v>9</v>
      </c>
      <c r="B62" s="376"/>
      <c r="C62" s="376"/>
      <c r="D62" s="376"/>
      <c r="E62" s="376"/>
      <c r="F62" s="376"/>
      <c r="G62" s="376"/>
      <c r="H62" s="377"/>
    </row>
    <row r="63" spans="1:8" ht="53.25" customHeight="1" x14ac:dyDescent="0.2">
      <c r="A63" s="169">
        <v>14</v>
      </c>
      <c r="B63" s="170" t="s">
        <v>195</v>
      </c>
      <c r="C63" s="170" t="s">
        <v>196</v>
      </c>
      <c r="D63" s="217"/>
      <c r="E63" s="218"/>
      <c r="F63" s="218"/>
      <c r="G63" s="175">
        <f>333490/1.19/4.21/1000</f>
        <v>66.569999999999993</v>
      </c>
      <c r="H63" s="175">
        <f>SUM(D63:G63)</f>
        <v>66.569999999999993</v>
      </c>
    </row>
    <row r="64" spans="1:8" ht="48.75" customHeight="1" x14ac:dyDescent="0.2">
      <c r="A64" s="169">
        <v>15</v>
      </c>
      <c r="B64" s="170" t="s">
        <v>195</v>
      </c>
      <c r="C64" s="170" t="s">
        <v>60</v>
      </c>
      <c r="D64" s="217"/>
      <c r="E64" s="218"/>
      <c r="F64" s="218"/>
      <c r="G64" s="175">
        <f>334336/1.19/4.21/1000</f>
        <v>66.739999999999995</v>
      </c>
      <c r="H64" s="175">
        <f>SUM(D64:G64)</f>
        <v>66.739999999999995</v>
      </c>
    </row>
    <row r="65" spans="1:8" ht="54" customHeight="1" x14ac:dyDescent="0.2">
      <c r="A65" s="169">
        <v>16</v>
      </c>
      <c r="B65" s="170" t="s">
        <v>195</v>
      </c>
      <c r="C65" s="170" t="s">
        <v>197</v>
      </c>
      <c r="D65" s="217"/>
      <c r="E65" s="218"/>
      <c r="F65" s="218"/>
      <c r="G65" s="175">
        <f>750260/4.29/1.266/1000</f>
        <v>138.13999999999999</v>
      </c>
      <c r="H65" s="175">
        <f>SUM(D65:G65)</f>
        <v>138.13999999999999</v>
      </c>
    </row>
    <row r="66" spans="1:8" ht="45.75" hidden="1" customHeight="1" x14ac:dyDescent="0.2">
      <c r="A66" s="169">
        <v>15</v>
      </c>
      <c r="B66" s="170" t="s">
        <v>198</v>
      </c>
      <c r="C66" s="170" t="s">
        <v>199</v>
      </c>
      <c r="D66" s="217"/>
      <c r="E66" s="218"/>
      <c r="F66" s="218"/>
      <c r="G66" s="175"/>
      <c r="H66" s="175">
        <f>SUM(D66:G66)</f>
        <v>0</v>
      </c>
    </row>
    <row r="67" spans="1:8" s="222" customFormat="1" ht="37.5" customHeight="1" x14ac:dyDescent="0.2">
      <c r="A67" s="169">
        <v>17</v>
      </c>
      <c r="B67" s="170" t="s">
        <v>200</v>
      </c>
      <c r="C67" s="215" t="s">
        <v>201</v>
      </c>
      <c r="D67" s="219"/>
      <c r="E67" s="220"/>
      <c r="F67" s="219"/>
      <c r="G67" s="221">
        <f>431671.03/6.16/1000</f>
        <v>70.08</v>
      </c>
      <c r="H67" s="221">
        <f>SUM(G67)</f>
        <v>70.08</v>
      </c>
    </row>
    <row r="68" spans="1:8" s="222" customFormat="1" ht="37.5" customHeight="1" x14ac:dyDescent="0.2">
      <c r="A68" s="169">
        <v>18</v>
      </c>
      <c r="B68" s="170" t="s">
        <v>198</v>
      </c>
      <c r="C68" s="215" t="s">
        <v>202</v>
      </c>
      <c r="D68" s="219"/>
      <c r="E68" s="220"/>
      <c r="F68" s="219"/>
      <c r="G68" s="221">
        <f>20/6.16/1.2</f>
        <v>2.71</v>
      </c>
      <c r="H68" s="221">
        <f>SUM(G68)</f>
        <v>2.71</v>
      </c>
    </row>
    <row r="69" spans="1:8" ht="14.25" customHeight="1" x14ac:dyDescent="0.2">
      <c r="A69" s="169"/>
      <c r="B69" s="223"/>
      <c r="C69" s="185" t="s">
        <v>203</v>
      </c>
      <c r="D69" s="224"/>
      <c r="E69" s="224"/>
      <c r="F69" s="224"/>
      <c r="G69" s="186">
        <f>SUM(G63:G68)</f>
        <v>344.24</v>
      </c>
      <c r="H69" s="187">
        <f>SUM(D69:G69)</f>
        <v>344.24</v>
      </c>
    </row>
    <row r="70" spans="1:8" x14ac:dyDescent="0.2">
      <c r="A70" s="169"/>
      <c r="B70" s="225"/>
      <c r="C70" s="185" t="s">
        <v>204</v>
      </c>
      <c r="D70" s="186">
        <f>D61+D69</f>
        <v>618.97</v>
      </c>
      <c r="E70" s="186">
        <f>E61+E69</f>
        <v>0</v>
      </c>
      <c r="F70" s="186">
        <f>F61+F69</f>
        <v>0</v>
      </c>
      <c r="G70" s="186">
        <f>G61+G69</f>
        <v>497.17</v>
      </c>
      <c r="H70" s="187">
        <f>SUM(D70:G70)</f>
        <v>1116.1400000000001</v>
      </c>
    </row>
    <row r="71" spans="1:8" x14ac:dyDescent="0.2">
      <c r="A71" s="169">
        <v>19</v>
      </c>
      <c r="B71" s="170" t="s">
        <v>205</v>
      </c>
      <c r="C71" s="226" t="s">
        <v>206</v>
      </c>
      <c r="D71" s="173">
        <f>D70*2%</f>
        <v>12.38</v>
      </c>
      <c r="E71" s="173">
        <f>E70*2%</f>
        <v>0</v>
      </c>
      <c r="F71" s="173">
        <f>F70*2%</f>
        <v>0</v>
      </c>
      <c r="G71" s="173">
        <f>G70*2%</f>
        <v>9.94</v>
      </c>
      <c r="H71" s="173">
        <f>SUM(D71:G71)</f>
        <v>22.32</v>
      </c>
    </row>
    <row r="72" spans="1:8" ht="15.75" customHeight="1" x14ac:dyDescent="0.2">
      <c r="A72" s="169"/>
      <c r="B72" s="227"/>
      <c r="C72" s="192" t="s">
        <v>207</v>
      </c>
      <c r="D72" s="186">
        <f>SUM(D70:D71)</f>
        <v>631.35</v>
      </c>
      <c r="E72" s="186">
        <f>SUM(E70:E71)</f>
        <v>0</v>
      </c>
      <c r="F72" s="186">
        <f>SUM(F70:F71)</f>
        <v>0</v>
      </c>
      <c r="G72" s="186">
        <f>SUM(G70:G71)</f>
        <v>507.11</v>
      </c>
      <c r="H72" s="187">
        <f>SUM(D72:G72)</f>
        <v>1138.46</v>
      </c>
    </row>
    <row r="73" spans="1:8" ht="12" customHeight="1" x14ac:dyDescent="0.2">
      <c r="A73" s="169"/>
      <c r="B73" s="228"/>
      <c r="C73" s="229"/>
      <c r="D73" s="230"/>
      <c r="E73" s="230"/>
      <c r="F73" s="230"/>
      <c r="G73" s="230"/>
      <c r="H73" s="187"/>
    </row>
    <row r="74" spans="1:8" ht="15" customHeight="1" x14ac:dyDescent="0.2">
      <c r="A74" s="362" t="s">
        <v>208</v>
      </c>
      <c r="B74" s="363"/>
      <c r="C74" s="364"/>
      <c r="D74" s="231"/>
      <c r="E74" s="231"/>
      <c r="F74" s="231"/>
      <c r="G74" s="231"/>
      <c r="H74" s="208"/>
    </row>
    <row r="75" spans="1:8" s="232" customFormat="1" ht="52.5" customHeight="1" x14ac:dyDescent="0.2">
      <c r="A75" s="169">
        <v>20</v>
      </c>
      <c r="B75" s="215" t="s">
        <v>209</v>
      </c>
      <c r="C75" s="215" t="s">
        <v>210</v>
      </c>
      <c r="D75" s="175">
        <f>ROUND(D72*9.09,2)</f>
        <v>5738.97</v>
      </c>
      <c r="E75" s="175"/>
      <c r="F75" s="175"/>
      <c r="G75" s="175"/>
      <c r="H75" s="175">
        <f t="shared" ref="H75:H82" si="0">SUM(D75:G75)</f>
        <v>5738.97</v>
      </c>
    </row>
    <row r="76" spans="1:8" s="232" customFormat="1" ht="52.5" customHeight="1" x14ac:dyDescent="0.2">
      <c r="A76" s="169">
        <v>21</v>
      </c>
      <c r="B76" s="215" t="s">
        <v>211</v>
      </c>
      <c r="C76" s="215" t="s">
        <v>212</v>
      </c>
      <c r="D76" s="175"/>
      <c r="E76" s="175"/>
      <c r="F76" s="175"/>
      <c r="G76" s="175">
        <f>ROUND((G59+G52+G53+G54+G55)*10.64*1.02,2)</f>
        <v>863.56</v>
      </c>
      <c r="H76" s="175">
        <f t="shared" si="0"/>
        <v>863.56</v>
      </c>
    </row>
    <row r="77" spans="1:8" s="232" customFormat="1" ht="81" customHeight="1" x14ac:dyDescent="0.2">
      <c r="A77" s="169">
        <v>22</v>
      </c>
      <c r="B77" s="215" t="s">
        <v>213</v>
      </c>
      <c r="C77" s="215" t="s">
        <v>214</v>
      </c>
      <c r="D77" s="175"/>
      <c r="E77" s="175"/>
      <c r="F77" s="175"/>
      <c r="G77" s="175">
        <f>ROUND((G28+G29)*1.266*4.29*1.02,2)</f>
        <v>406.4</v>
      </c>
      <c r="H77" s="175">
        <f t="shared" si="0"/>
        <v>406.4</v>
      </c>
    </row>
    <row r="78" spans="1:8" s="232" customFormat="1" ht="78" customHeight="1" x14ac:dyDescent="0.2">
      <c r="A78" s="169">
        <v>23</v>
      </c>
      <c r="B78" s="170" t="s">
        <v>195</v>
      </c>
      <c r="C78" s="170" t="s">
        <v>215</v>
      </c>
      <c r="D78" s="175"/>
      <c r="E78" s="175"/>
      <c r="F78" s="175"/>
      <c r="G78" s="175">
        <f>G63*1.19*4.21*1.02</f>
        <v>340.18</v>
      </c>
      <c r="H78" s="175">
        <f t="shared" si="0"/>
        <v>340.18</v>
      </c>
    </row>
    <row r="79" spans="1:8" s="232" customFormat="1" ht="79.5" customHeight="1" x14ac:dyDescent="0.2">
      <c r="A79" s="169">
        <v>24</v>
      </c>
      <c r="B79" s="170" t="s">
        <v>195</v>
      </c>
      <c r="C79" s="170" t="s">
        <v>216</v>
      </c>
      <c r="D79" s="175"/>
      <c r="E79" s="175"/>
      <c r="F79" s="175"/>
      <c r="G79" s="175">
        <f>G64*1.19*1.02*4.21</f>
        <v>341.05</v>
      </c>
      <c r="H79" s="175">
        <f t="shared" si="0"/>
        <v>341.05</v>
      </c>
    </row>
    <row r="80" spans="1:8" s="232" customFormat="1" ht="76.5" customHeight="1" x14ac:dyDescent="0.2">
      <c r="A80" s="169">
        <v>25</v>
      </c>
      <c r="B80" s="170" t="s">
        <v>195</v>
      </c>
      <c r="C80" s="170" t="s">
        <v>217</v>
      </c>
      <c r="D80" s="175"/>
      <c r="E80" s="175"/>
      <c r="F80" s="175"/>
      <c r="G80" s="175">
        <f>G65*1.266*4.29*1.02</f>
        <v>765.26</v>
      </c>
      <c r="H80" s="175">
        <f t="shared" si="0"/>
        <v>765.26</v>
      </c>
    </row>
    <row r="81" spans="1:8" s="232" customFormat="1" ht="39" customHeight="1" x14ac:dyDescent="0.2">
      <c r="A81" s="169">
        <v>26</v>
      </c>
      <c r="B81" s="170" t="s">
        <v>198</v>
      </c>
      <c r="C81" s="170" t="s">
        <v>218</v>
      </c>
      <c r="D81" s="175"/>
      <c r="E81" s="175"/>
      <c r="F81" s="175"/>
      <c r="G81" s="175">
        <f>G68*6.16*1.02</f>
        <v>17.03</v>
      </c>
      <c r="H81" s="175">
        <f t="shared" si="0"/>
        <v>17.03</v>
      </c>
    </row>
    <row r="82" spans="1:8" s="232" customFormat="1" ht="39.75" customHeight="1" x14ac:dyDescent="0.2">
      <c r="A82" s="169">
        <v>27</v>
      </c>
      <c r="B82" s="170" t="s">
        <v>200</v>
      </c>
      <c r="C82" s="215" t="s">
        <v>219</v>
      </c>
      <c r="D82" s="175"/>
      <c r="E82" s="175"/>
      <c r="F82" s="175"/>
      <c r="G82" s="175">
        <f>G67*6.16*1.02</f>
        <v>440.33</v>
      </c>
      <c r="H82" s="175">
        <f t="shared" si="0"/>
        <v>440.33</v>
      </c>
    </row>
    <row r="83" spans="1:8" s="154" customFormat="1" ht="15" customHeight="1" x14ac:dyDescent="0.25">
      <c r="A83" s="362" t="s">
        <v>220</v>
      </c>
      <c r="B83" s="363"/>
      <c r="C83" s="364"/>
      <c r="D83" s="187">
        <f>SUM(D75:D82)</f>
        <v>5738.97</v>
      </c>
      <c r="E83" s="187">
        <f>SUM(E75:E82)</f>
        <v>0</v>
      </c>
      <c r="F83" s="187">
        <f>SUM(F75:F82)</f>
        <v>0</v>
      </c>
      <c r="G83" s="187">
        <f>SUM(G75:G82)</f>
        <v>3173.81</v>
      </c>
      <c r="H83" s="187">
        <f>SUM(D83:G83)</f>
        <v>8912.7800000000007</v>
      </c>
    </row>
    <row r="84" spans="1:8" ht="78" customHeight="1" x14ac:dyDescent="0.2">
      <c r="A84" s="169">
        <v>28</v>
      </c>
      <c r="B84" s="215" t="s">
        <v>221</v>
      </c>
      <c r="C84" s="233" t="s">
        <v>222</v>
      </c>
      <c r="D84" s="175">
        <f>ROUND(D83*20%,2)</f>
        <v>1147.79</v>
      </c>
      <c r="E84" s="175">
        <f>ROUND(E83*20%,2)</f>
        <v>0</v>
      </c>
      <c r="F84" s="175">
        <f>ROUND(F83*20%,2)</f>
        <v>0</v>
      </c>
      <c r="G84" s="175">
        <f>(G83-G81-G82)*0.2</f>
        <v>543.29</v>
      </c>
      <c r="H84" s="175">
        <f>SUM(D84:G84)</f>
        <v>1691.08</v>
      </c>
    </row>
    <row r="85" spans="1:8" s="154" customFormat="1" ht="36.75" customHeight="1" x14ac:dyDescent="0.25">
      <c r="A85" s="349" t="s">
        <v>223</v>
      </c>
      <c r="B85" s="350"/>
      <c r="C85" s="351"/>
      <c r="D85" s="234">
        <f>SUM(D83:D84)</f>
        <v>6886.76</v>
      </c>
      <c r="E85" s="234">
        <f>SUM(E83:E84)</f>
        <v>0</v>
      </c>
      <c r="F85" s="234">
        <f>SUM(F83:F84)</f>
        <v>0</v>
      </c>
      <c r="G85" s="234">
        <f>SUM(G83:G84)</f>
        <v>3717.1</v>
      </c>
      <c r="H85" s="234">
        <f>SUM(D85:G85)</f>
        <v>10603.86</v>
      </c>
    </row>
    <row r="86" spans="1:8" s="154" customFormat="1" ht="21" customHeight="1" x14ac:dyDescent="0.25">
      <c r="A86" s="169">
        <v>29</v>
      </c>
      <c r="B86" s="205" t="s">
        <v>176</v>
      </c>
      <c r="C86" s="235" t="s">
        <v>224</v>
      </c>
      <c r="D86" s="236"/>
      <c r="E86" s="236"/>
      <c r="F86" s="236"/>
      <c r="G86" s="236"/>
      <c r="H86" s="173">
        <f>SUM((H48)*1.2)*9.09</f>
        <v>14.94</v>
      </c>
    </row>
    <row r="87" spans="1:8" x14ac:dyDescent="0.2">
      <c r="D87" s="237"/>
      <c r="E87" s="237"/>
    </row>
    <row r="88" spans="1:8" s="238" customFormat="1" x14ac:dyDescent="0.2">
      <c r="H88" s="239"/>
    </row>
    <row r="89" spans="1:8" s="238" customFormat="1" x14ac:dyDescent="0.2">
      <c r="H89" s="240"/>
    </row>
    <row r="90" spans="1:8" ht="15" x14ac:dyDescent="0.25">
      <c r="A90"/>
      <c r="B90" s="241"/>
      <c r="C90" s="242" t="s">
        <v>225</v>
      </c>
      <c r="D90" s="243"/>
      <c r="E90" s="243"/>
      <c r="F90" s="243"/>
      <c r="G90" s="244" t="s">
        <v>226</v>
      </c>
      <c r="H90" s="245"/>
    </row>
    <row r="91" spans="1:8" ht="15" x14ac:dyDescent="0.25">
      <c r="A91"/>
      <c r="B91" s="241"/>
      <c r="C91" s="246"/>
      <c r="D91" s="247" t="s">
        <v>227</v>
      </c>
      <c r="E91" s="248"/>
      <c r="F91" s="248"/>
      <c r="G91" s="248"/>
      <c r="H91" s="249"/>
    </row>
    <row r="92" spans="1:8" ht="15" x14ac:dyDescent="0.25">
      <c r="A92"/>
      <c r="B92" s="241"/>
      <c r="C92" s="246"/>
      <c r="D92" s="248"/>
      <c r="E92" s="248"/>
      <c r="F92" s="248"/>
      <c r="G92" s="248"/>
      <c r="H92" s="249"/>
    </row>
    <row r="93" spans="1:8" ht="15" x14ac:dyDescent="0.25">
      <c r="A93"/>
      <c r="B93" s="241"/>
      <c r="C93" s="250" t="s">
        <v>228</v>
      </c>
      <c r="D93" s="243"/>
      <c r="E93" s="243"/>
      <c r="F93" s="243"/>
      <c r="G93" s="251" t="s">
        <v>229</v>
      </c>
      <c r="H93" s="245"/>
    </row>
    <row r="94" spans="1:8" ht="15.75" x14ac:dyDescent="0.25">
      <c r="A94" s="252"/>
      <c r="B94" s="241"/>
      <c r="C94" s="246"/>
      <c r="D94" s="247" t="s">
        <v>227</v>
      </c>
      <c r="E94" s="248"/>
      <c r="F94" s="248"/>
      <c r="G94" s="248"/>
      <c r="H94" s="249"/>
    </row>
    <row r="95" spans="1:8" ht="15.75" x14ac:dyDescent="0.25">
      <c r="A95" s="252"/>
      <c r="B95" s="241"/>
      <c r="C95" s="246"/>
      <c r="D95" s="248"/>
      <c r="E95" s="248"/>
      <c r="F95" s="248"/>
      <c r="G95" s="248"/>
      <c r="H95" s="249"/>
    </row>
    <row r="96" spans="1:8" ht="15.75" x14ac:dyDescent="0.25">
      <c r="A96" s="252"/>
      <c r="B96" s="252"/>
      <c r="C96" s="250" t="s">
        <v>230</v>
      </c>
      <c r="D96" s="243"/>
      <c r="E96" s="243"/>
      <c r="F96" s="243"/>
      <c r="G96" s="251" t="s">
        <v>231</v>
      </c>
      <c r="H96" s="245"/>
    </row>
    <row r="97" spans="1:8" ht="15.75" x14ac:dyDescent="0.25">
      <c r="A97" s="252"/>
      <c r="B97" s="252"/>
      <c r="C97" s="246"/>
      <c r="D97" s="247" t="s">
        <v>227</v>
      </c>
      <c r="E97" s="248"/>
      <c r="F97" s="248"/>
      <c r="G97" s="251"/>
      <c r="H97" s="245"/>
    </row>
    <row r="98" spans="1:8" ht="7.5" customHeight="1" x14ac:dyDescent="0.25">
      <c r="A98" s="252"/>
      <c r="B98" s="252"/>
      <c r="C98" s="253"/>
      <c r="D98" s="248"/>
      <c r="E98" s="248"/>
      <c r="F98" s="248"/>
      <c r="G98" s="251"/>
      <c r="H98" s="245"/>
    </row>
    <row r="99" spans="1:8" ht="32.25" customHeight="1" x14ac:dyDescent="0.25">
      <c r="A99" s="252"/>
      <c r="B99" s="252"/>
      <c r="C99" s="246" t="s">
        <v>232</v>
      </c>
      <c r="D99" s="243"/>
      <c r="E99" s="243"/>
      <c r="F99" s="243"/>
      <c r="G99" s="244" t="s">
        <v>233</v>
      </c>
      <c r="H99" s="245"/>
    </row>
    <row r="100" spans="1:8" ht="15.75" x14ac:dyDescent="0.25">
      <c r="A100" s="254"/>
      <c r="B100" s="254"/>
      <c r="C100" s="246"/>
      <c r="D100" s="247" t="s">
        <v>227</v>
      </c>
      <c r="E100" s="248"/>
      <c r="F100" s="248"/>
      <c r="G100" s="244"/>
      <c r="H100" s="245"/>
    </row>
    <row r="101" spans="1:8" ht="15" x14ac:dyDescent="0.25">
      <c r="C101" s="246"/>
      <c r="D101" s="248"/>
      <c r="E101" s="248"/>
      <c r="F101" s="248"/>
      <c r="G101" s="244"/>
      <c r="H101" s="245"/>
    </row>
    <row r="102" spans="1:8" ht="30.75" customHeight="1" x14ac:dyDescent="0.25">
      <c r="C102" s="250" t="s">
        <v>234</v>
      </c>
      <c r="D102" s="243"/>
      <c r="E102" s="243"/>
      <c r="F102" s="243"/>
      <c r="G102" s="244" t="s">
        <v>235</v>
      </c>
      <c r="H102" s="245"/>
    </row>
    <row r="103" spans="1:8" ht="15" x14ac:dyDescent="0.25">
      <c r="D103" s="247" t="s">
        <v>227</v>
      </c>
      <c r="E103" s="248"/>
      <c r="F103" s="248"/>
    </row>
  </sheetData>
  <mergeCells count="30">
    <mergeCell ref="D36:F36"/>
    <mergeCell ref="A38:C38"/>
    <mergeCell ref="A51:C51"/>
    <mergeCell ref="A58:C58"/>
    <mergeCell ref="A62:H62"/>
    <mergeCell ref="C3:G3"/>
    <mergeCell ref="A14:H14"/>
    <mergeCell ref="A16:H16"/>
    <mergeCell ref="A17:H17"/>
    <mergeCell ref="B20:H20"/>
    <mergeCell ref="A85:C85"/>
    <mergeCell ref="A43:C43"/>
    <mergeCell ref="A46:C46"/>
    <mergeCell ref="A40:C40"/>
    <mergeCell ref="A21:A24"/>
    <mergeCell ref="B21:B24"/>
    <mergeCell ref="C21:C24"/>
    <mergeCell ref="A26:C26"/>
    <mergeCell ref="A32:C32"/>
    <mergeCell ref="A34:C34"/>
    <mergeCell ref="A36:C36"/>
    <mergeCell ref="A74:C74"/>
    <mergeCell ref="A83:C83"/>
    <mergeCell ref="D26:G26"/>
    <mergeCell ref="D21:G21"/>
    <mergeCell ref="H21:H24"/>
    <mergeCell ref="D22:D24"/>
    <mergeCell ref="E22:E24"/>
    <mergeCell ref="F22:F24"/>
    <mergeCell ref="G22:G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2</vt:i4>
      </vt:variant>
    </vt:vector>
  </HeadingPairs>
  <TitlesOfParts>
    <vt:vector size="10" baseType="lpstr">
      <vt:lpstr>График</vt:lpstr>
      <vt:lpstr>ПЗ</vt:lpstr>
      <vt:lpstr>Протокол</vt:lpstr>
      <vt:lpstr>НМЦ</vt:lpstr>
      <vt:lpstr>Проект сметы контракта</vt:lpstr>
      <vt:lpstr>ВОР</vt:lpstr>
      <vt:lpstr>НМЦК</vt:lpstr>
      <vt:lpstr>ССРСС 3 кв. 2019</vt:lpstr>
      <vt:lpstr>График!Область_печати</vt:lpstr>
      <vt:lpstr>НМЦК!Область_печати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2023-09-19T13:56:47Z</dcterms:modified>
</cp:coreProperties>
</file>