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ояснительная записка" sheetId="13" r:id="rId1"/>
    <sheet name="График посещения объектов" sheetId="11" r:id="rId2"/>
    <sheet name="НМЦ" sheetId="8" r:id="rId3"/>
    <sheet name="Расчет по форме 3П EL3" sheetId="12" r:id="rId4"/>
    <sheet name="Расчет по форме 3П EL6 " sheetId="9" r:id="rId5"/>
    <sheet name="Затраты на проезд" sheetId="10" r:id="rId6"/>
    <sheet name="Индексы квалификации" sheetId="6" r:id="rId7"/>
    <sheet name="НМЦК по %" sheetId="4" r:id="rId8"/>
  </sheets>
  <definedNames>
    <definedName name="_xlnm.Print_Area" localSheetId="1">'График посещения объектов'!$A$1:$M$21</definedName>
    <definedName name="_xlnm.Print_Area" localSheetId="5">'Затраты на проезд'!$A$1:$J$53</definedName>
    <definedName name="_xlnm.Print_Area" localSheetId="3">'Расчет по форме 3П EL3'!$A$1:$J$36</definedName>
    <definedName name="_xlnm.Print_Area" localSheetId="4">'Расчет по форме 3П EL6 '!$A$1:$J$36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3" l="1"/>
  <c r="H15" i="4"/>
  <c r="H12" i="4"/>
  <c r="G15" i="4"/>
  <c r="G12" i="4"/>
  <c r="F63" i="4"/>
  <c r="F45" i="4"/>
  <c r="F42" i="4"/>
  <c r="F12" i="4"/>
  <c r="F15" i="4"/>
  <c r="E15" i="4"/>
  <c r="E12" i="4"/>
  <c r="F34" i="4"/>
  <c r="C7" i="10"/>
  <c r="D7" i="10"/>
  <c r="M11" i="11"/>
  <c r="K11" i="11"/>
  <c r="H11" i="11"/>
  <c r="G11" i="11"/>
  <c r="F11" i="11"/>
  <c r="C11" i="11"/>
  <c r="J10" i="11"/>
  <c r="J11" i="11" s="1"/>
  <c r="D10" i="11"/>
  <c r="E10" i="11" s="1"/>
  <c r="L11" i="11"/>
  <c r="AE19" i="9"/>
  <c r="AE21" i="9"/>
  <c r="B29" i="12"/>
  <c r="C29" i="12" s="1"/>
  <c r="F29" i="12" s="1"/>
  <c r="AE28" i="12"/>
  <c r="AE27" i="12"/>
  <c r="AE26" i="12"/>
  <c r="AE24" i="12"/>
  <c r="AE21" i="12"/>
  <c r="AE19" i="12"/>
  <c r="E13" i="12"/>
  <c r="H29" i="12" s="1"/>
  <c r="N10" i="11" l="1"/>
  <c r="I11" i="11"/>
  <c r="E11" i="11"/>
  <c r="D11" i="11"/>
  <c r="D19" i="11"/>
  <c r="N9" i="11" l="1"/>
  <c r="N20" i="11"/>
  <c r="N19" i="11"/>
  <c r="N11" i="11" l="1"/>
  <c r="D13" i="9"/>
  <c r="G29" i="9" s="1"/>
  <c r="N21" i="11"/>
  <c r="D13" i="12" l="1"/>
  <c r="G7" i="10" l="1"/>
  <c r="I7" i="10" s="1"/>
  <c r="I8" i="10" s="1"/>
  <c r="G29" i="12"/>
  <c r="G12" i="12"/>
  <c r="G11" i="12"/>
  <c r="G13" i="12" l="1"/>
  <c r="I29" i="12" s="1"/>
  <c r="J29" i="12" s="1"/>
  <c r="C11" i="8" s="1"/>
  <c r="D11" i="8" s="1"/>
  <c r="E11" i="8" s="1"/>
  <c r="M21" i="11" l="1"/>
  <c r="L21" i="11"/>
  <c r="K21" i="11"/>
  <c r="J21" i="11"/>
  <c r="I21" i="11"/>
  <c r="H21" i="11"/>
  <c r="G21" i="11"/>
  <c r="F21" i="11"/>
  <c r="E21" i="11"/>
  <c r="D21" i="11"/>
  <c r="C21" i="11"/>
  <c r="D14" i="10"/>
  <c r="B29" i="9"/>
  <c r="C29" i="9" s="1"/>
  <c r="F29" i="9" s="1"/>
  <c r="AE28" i="9"/>
  <c r="AE27" i="9"/>
  <c r="AE26" i="9"/>
  <c r="AE24" i="9"/>
  <c r="E13" i="9"/>
  <c r="H29" i="9" s="1"/>
  <c r="C14" i="10" l="1"/>
  <c r="G14" i="10"/>
  <c r="G11" i="9" l="1"/>
  <c r="G12" i="9"/>
  <c r="I14" i="10" l="1"/>
  <c r="I15" i="10" s="1"/>
  <c r="G13" i="9"/>
  <c r="I29" i="9" s="1"/>
  <c r="J29" i="9" s="1"/>
  <c r="C12" i="8" l="1"/>
  <c r="C13" i="8" s="1"/>
  <c r="F62" i="4"/>
  <c r="D62" i="4"/>
  <c r="F60" i="4"/>
  <c r="D60" i="4"/>
  <c r="F58" i="4"/>
  <c r="F65" i="4" s="1"/>
  <c r="D58" i="4"/>
  <c r="F51" i="4"/>
  <c r="F41" i="4"/>
  <c r="D41" i="4"/>
  <c r="F39" i="4"/>
  <c r="D39" i="4"/>
  <c r="F37" i="4"/>
  <c r="D37" i="4"/>
  <c r="F30" i="4"/>
  <c r="J20" i="4"/>
  <c r="B17" i="4"/>
  <c r="D17" i="4" s="1"/>
  <c r="B15" i="4"/>
  <c r="B14" i="4"/>
  <c r="D14" i="4" s="1"/>
  <c r="B12" i="4"/>
  <c r="D12" i="4" s="1"/>
  <c r="F35" i="4" l="1"/>
  <c r="B13" i="4"/>
  <c r="D13" i="4" s="1"/>
  <c r="B18" i="4"/>
  <c r="F43" i="4"/>
  <c r="B16" i="4"/>
  <c r="D16" i="4" s="1"/>
  <c r="C43" i="4"/>
  <c r="C44" i="4"/>
  <c r="C64" i="4"/>
  <c r="F64" i="4"/>
  <c r="F44" i="4"/>
  <c r="D15" i="4"/>
  <c r="D18" i="4" s="1"/>
  <c r="C65" i="4"/>
  <c r="C66" i="4" l="1"/>
  <c r="F66" i="4"/>
  <c r="I12" i="4" l="1"/>
  <c r="J12" i="4" s="1"/>
  <c r="I15" i="4" l="1"/>
  <c r="J15" i="4" s="1"/>
  <c r="J18" i="4" s="1"/>
  <c r="H18" i="4"/>
  <c r="I18" i="4" l="1"/>
  <c r="D12" i="8"/>
  <c r="D13" i="8" s="1"/>
  <c r="E12" i="8" l="1"/>
  <c r="E13" i="8" s="1"/>
</calcChain>
</file>

<file path=xl/sharedStrings.xml><?xml version="1.0" encoding="utf-8"?>
<sst xmlns="http://schemas.openxmlformats.org/spreadsheetml/2006/main" count="282" uniqueCount="155">
  <si>
    <t>ССР EL 3</t>
  </si>
  <si>
    <t>CCР EL 6</t>
  </si>
  <si>
    <t>Объект</t>
  </si>
  <si>
    <t>Норматив, % (п. 4.91 МДС 81-35.2004; п. 173 Методики по приказу  Минстроя РФ от 04.08.2020 421/пр.)</t>
  </si>
  <si>
    <t>СМР, оборудование поставки подрядчика, прочие</t>
  </si>
  <si>
    <t>Оборудование поставки Заказчика</t>
  </si>
  <si>
    <t>ВСЕГО:</t>
  </si>
  <si>
    <t>НДС-20%, руб.</t>
  </si>
  <si>
    <t>Итого с учетом НДС, руб.</t>
  </si>
  <si>
    <t>Сумма затрат на авторский надзор в ценах  4 кв. 2019 г., руб.</t>
  </si>
  <si>
    <t xml:space="preserve">Итого в уровне цен выполнения работ, руб. </t>
  </si>
  <si>
    <t>Начало работ</t>
  </si>
  <si>
    <t>Окончание работ</t>
  </si>
  <si>
    <t xml:space="preserve">Индекс фактической инфляции* </t>
  </si>
  <si>
    <t xml:space="preserve">Стоимость работ в ценах на дату формирования начальной (максимальной) цены контракта  </t>
  </si>
  <si>
    <t>Дата формирования НМЦК</t>
  </si>
  <si>
    <t>Продолжительность выполнения работ, мес.</t>
  </si>
  <si>
    <t>Доля сметной стоимости, подлежащая выполнению подрядчиком в 2022 году</t>
  </si>
  <si>
    <t>Доля сметной стоимости, подлежащая выполнению подрядчиком в 2023 году</t>
  </si>
  <si>
    <t>Индекс Минэкономразвития РФ на 2021 г. (Письмо Минэкономразвития России от 05.10.2021 № 33918-ПК/Д03и)</t>
  </si>
  <si>
    <t>ежемесячный прогнозный индекс на 2021 год</t>
  </si>
  <si>
    <t>^(1/12)</t>
  </si>
  <si>
    <t>Индекс Минэкономразвития РФ на 2022 г. (Письмо Минэкономразвития России от 05.10.2021 № 33918-ПК/Д03и)</t>
  </si>
  <si>
    <t>ежемесячный прогнозный индекс на 2022 год</t>
  </si>
  <si>
    <t>Индекс Минэкономразвития РФ на 2023 г. (Письмо Минэкономразвития России от 05.10.2021 № 33918-ПК/Д03и)</t>
  </si>
  <si>
    <t>ежемесячный прогнозный индекс на 2023 год</t>
  </si>
  <si>
    <t>К на 2022 =</t>
  </si>
  <si>
    <t>К на 2023 =</t>
  </si>
  <si>
    <t>Индекс прогнозной инфляции</t>
  </si>
  <si>
    <t>Доля сметной стоимости, подлежащая выполнению подрядчиком в 2021 году</t>
  </si>
  <si>
    <t>Индекс за декабрь 2020 к декабрю 2019</t>
  </si>
  <si>
    <t>Цены утверждения сметной документации</t>
  </si>
  <si>
    <t>4 кв. 2019</t>
  </si>
  <si>
    <t>Индекс прогнозной инфляции на период выполнения работ**</t>
  </si>
  <si>
    <t>* * Индекс прогнозной инфляции для пересчета из уровня цен на дату определения НМЦК в уровень цен соответствующего периода реализации проекта определены по данным Минэкономразвития РФ.</t>
  </si>
  <si>
    <t>окончание первого года</t>
  </si>
  <si>
    <t>начало второго года</t>
  </si>
  <si>
    <t>окончание второго года</t>
  </si>
  <si>
    <t>начало третьего года</t>
  </si>
  <si>
    <t>К на 2021 =</t>
  </si>
  <si>
    <t>Пассажирская подвесная канатная дорога EL3</t>
  </si>
  <si>
    <t>Пассажирская подвесная канатная дорога EL6</t>
  </si>
  <si>
    <t>Итог по главам 1-9 ССР в текущем уровне цен без непредвиденных , руб.</t>
  </si>
  <si>
    <t>*Индекс фактической инфляции по данным Росстата ("Строительство ", Кабардино-Балкарская Республика) от цен утверждения сметной документации до даты формирования НМЦК</t>
  </si>
  <si>
    <t>( декабрь 2019 )</t>
  </si>
  <si>
    <t>по адресу:</t>
  </si>
  <si>
    <t>Кабардино-Балкарская Республика, всесезонный туристско-рекреационный комплекс «Эльбрус»</t>
  </si>
  <si>
    <t>Основания для расчета:</t>
  </si>
  <si>
    <t>Расчет начальной (максимальной) цены контракта при осуществлении закупок работ 
по проведению авторского надзора</t>
  </si>
  <si>
    <t>Объект 1:</t>
  </si>
  <si>
    <t>Объект 2:</t>
  </si>
  <si>
    <t>«Всесезонный туристско-рекреационный комплекс «Эльбрус», 
Кабардино-Балкарская Республика. Пассажирская подвесная канатная дорога EL3»</t>
  </si>
  <si>
    <t>«Всесезонный туристско-рекреационный комплекс «Эльбрус», 
Кабардино-Балкарская Республика. Пассажирская подвесная канатная дорога EL6»</t>
  </si>
  <si>
    <t xml:space="preserve">1. Приказ об утверждении проектной документации, включая сводный сметный расчет стоимости строительства от 30.03.2020 № Пр-20-059  (Объект 1) </t>
  </si>
  <si>
    <t xml:space="preserve">2. Приказ об утверждении проектной документации, включая сводный сметный расчет стоимости строительства от 30.03.2020 № Пр-20-060 (Объект 2) </t>
  </si>
  <si>
    <t xml:space="preserve">3. Заключение Федерального автономного учреждения "Главное управление государственной экспертизы" (ФАУ "ГЛАВГОСЭКСПЕРТИЗА РОССИИ") от 30.03.2020 № 07-1-1-3-009536-2020 (Объект 1) </t>
  </si>
  <si>
    <t xml:space="preserve">4. Заключение Федерального автономного учреждения "Главное управление государственной экспертизы" (ФАУ "ГЛАВГОСЭКСПЕРТИЗА РОССИИ") от 30.03.2020 № 07-1-1-3-009540-2020 (Объект 2) </t>
  </si>
  <si>
    <t>Расчет коэффициента, учитывающего степень участия исполнителей_x0002_проектировщиков различной квалификации в выполнении проектных работ (Ккв-уч)</t>
  </si>
  <si>
    <t>№ п\п</t>
  </si>
  <si>
    <t>Наименование должностей исполнителей</t>
  </si>
  <si>
    <t xml:space="preserve">Коэффициент квалификации (участия) 
специалистов одной 
квалификации, ∑ 
(гр.3 / итог гр.4 × 
гр.5 × гр.6) /∑ гр. 5
</t>
  </si>
  <si>
    <t>Примечание: * – графы для расчета коэффициента в таблице не заполняются</t>
  </si>
  <si>
    <t>*</t>
  </si>
  <si>
    <t>Расчет стоимости проектных работ в соответствии с калькуляцией затрат на проектирование</t>
  </si>
  <si>
    <t xml:space="preserve">Кол-во 
рабочих 
дней в 
месяце, 
дни
</t>
  </si>
  <si>
    <t xml:space="preserve">Среднедневная 
зарплата 
исполнителей 
[гр1/гр2] 
руб.
</t>
  </si>
  <si>
    <t>Удельный вес 
зарплаты в 
себестоимости 
работ -
Кз, %</t>
  </si>
  <si>
    <t xml:space="preserve">Рентабельность
, %
</t>
  </si>
  <si>
    <t xml:space="preserve">Смета на проектные работы в соответствии с калькуляцией затрат (форма 3п)
</t>
  </si>
  <si>
    <t>Наименование стройки</t>
  </si>
  <si>
    <t>Заказчик</t>
  </si>
  <si>
    <t>Проектная организация</t>
  </si>
  <si>
    <t xml:space="preserve">Составлена в уровне цен </t>
  </si>
  <si>
    <t>Пункт назначения</t>
  </si>
  <si>
    <t xml:space="preserve">Количество
специалистов
</t>
  </si>
  <si>
    <t xml:space="preserve">Проезд к месту командировки 
(туда и обратно)
</t>
  </si>
  <si>
    <t>Проживание 
в номере 
гостиницы 
класса «3 
звезды»,
1 чел/сутки.</t>
  </si>
  <si>
    <t>Суточные 1 
сутки/руб.</t>
  </si>
  <si>
    <t>Продолжительность
командировки, 
сутки</t>
  </si>
  <si>
    <t>Продолжительность проживания в 
гостинице, 
сутки</t>
  </si>
  <si>
    <t xml:space="preserve">Итого 
затрат, 
рубли
</t>
  </si>
  <si>
    <t>Итого по сметному расчету</t>
  </si>
  <si>
    <r>
      <t xml:space="preserve">Среднедневная 
единичная 
выработка </t>
    </r>
    <r>
      <rPr>
        <b/>
        <sz val="12"/>
        <color theme="1"/>
        <rFont val="Times New Roman"/>
        <family val="1"/>
        <charset val="204"/>
      </rPr>
      <t>Вср</t>
    </r>
    <r>
      <rPr>
        <sz val="12"/>
        <color theme="1"/>
        <rFont val="Times New Roman"/>
        <family val="1"/>
        <charset val="204"/>
      </rPr>
      <t>, 
руб. 
(гр. 3 × (1 
+ гр. 5)) / 
гр. 4</t>
    </r>
  </si>
  <si>
    <r>
      <t xml:space="preserve">Продолжительность разработки </t>
    </r>
    <r>
      <rPr>
        <b/>
        <sz val="12"/>
        <color theme="1"/>
        <rFont val="Times New Roman"/>
        <family val="1"/>
        <charset val="204"/>
      </rPr>
      <t>Тп</t>
    </r>
    <r>
      <rPr>
        <sz val="12"/>
        <color theme="1"/>
        <rFont val="Times New Roman"/>
        <family val="1"/>
        <charset val="204"/>
      </rPr>
      <t xml:space="preserve">
(дни)
</t>
    </r>
  </si>
  <si>
    <r>
      <t xml:space="preserve">Численность 
исполнителей 
</t>
    </r>
    <r>
      <rPr>
        <b/>
        <sz val="12"/>
        <color theme="1"/>
        <rFont val="Times New Roman"/>
        <family val="1"/>
        <charset val="204"/>
      </rPr>
      <t>Чобщ</t>
    </r>
    <r>
      <rPr>
        <sz val="12"/>
        <color theme="1"/>
        <rFont val="Times New Roman"/>
        <family val="1"/>
        <charset val="204"/>
      </rPr>
      <t xml:space="preserve"> (чел.)
</t>
    </r>
  </si>
  <si>
    <r>
      <t xml:space="preserve">Коэффициент 
квалификации 
(участия) 
</t>
    </r>
    <r>
      <rPr>
        <b/>
        <sz val="12"/>
        <color theme="1"/>
        <rFont val="Times New Roman"/>
        <family val="1"/>
        <charset val="204"/>
      </rPr>
      <t>Ккв-уч</t>
    </r>
  </si>
  <si>
    <r>
      <t xml:space="preserve">Стоимость 
работ, 
руб.
</t>
    </r>
    <r>
      <rPr>
        <b/>
        <sz val="12"/>
        <color theme="1"/>
        <rFont val="Times New Roman"/>
        <family val="1"/>
        <charset val="204"/>
      </rPr>
      <t>Спр</t>
    </r>
    <r>
      <rPr>
        <sz val="12"/>
        <color theme="1"/>
        <rFont val="Times New Roman"/>
        <family val="1"/>
        <charset val="204"/>
      </rPr>
      <t xml:space="preserve"> = (гр. 
6 × гр. 7 
× гр. 8 × 
гр. 9)</t>
    </r>
  </si>
  <si>
    <t>Вср=</t>
  </si>
  <si>
    <t>(ЗПср х (1+Р))/К3</t>
  </si>
  <si>
    <t>ЗПср- среднедневная заработная плата, тыс. руб. Принимается по данным Росстата о среднемесячной номинальной начисленной заработной плате работающих в экономике, по видам экономической деятельности в Российской Федерации для деятельности в области архитектуры (код 71.11 согласно ОК 029-2014 (КДЕС ред. 2) «Общероссийский классификатор видов экономической деятельности» (далее –Общероссийский классификатор) за год, предшествующий году определения сметной стоимости объекта проектирования (среднее значение за период январь-декабрь), исходя из усредненного на основании производственного календаря количества рабочих дней в месяце для года, предшествующего году определения сметной стоимости проектных работ. Для работ по проектированию объектов, являющихся особо опасными, технически сложными, уникальными объектами согласно статье 48.1 Градостроительного кодекса Российской Федерации, а также для работ по подготовке проектной документации, содержащей материалы в форме информационной модели, среднемесячная заработная плата принимается для деятельности в области инженерно-технического проектирования (код 71.12 согласно ОК 029-2014 (КДЕС ред. 2) Общероссийского классификатора);</t>
  </si>
  <si>
    <t>К3- коэффициент, учитывающий долю оплаты труда производственного персонала в себестоимости проектных работ: К3 принимается в размере 0,4(40,06%) согласно таблице 1.1, приведенной в приложении № 2 к Методике;</t>
  </si>
  <si>
    <t>Расчет выполнен согласно Методики определения стоимости работ по подготовке проектной документации, утвержденной приказом Минстрой РФ от 01.10.2021 № 707/пр (п. 145)</t>
  </si>
  <si>
    <r>
      <t xml:space="preserve">Индекс 
уровня квалификации 
специалистов 
исполнителей 
работы </t>
    </r>
    <r>
      <rPr>
        <b/>
        <sz val="12"/>
        <color theme="1"/>
        <rFont val="Times New Roman"/>
        <family val="1"/>
        <charset val="204"/>
      </rPr>
      <t>Иi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</si>
  <si>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Численность исполнителей 
одной квалификации 
</t>
    </r>
    <r>
      <rPr>
        <b/>
        <sz val="12"/>
        <color theme="1"/>
        <rFont val="Times New Roman"/>
        <family val="1"/>
        <charset val="204"/>
      </rPr>
      <t xml:space="preserve">Чi </t>
    </r>
    <r>
      <rPr>
        <sz val="12"/>
        <color theme="1"/>
        <rFont val="Times New Roman"/>
        <family val="1"/>
        <charset val="204"/>
      </rPr>
      <t xml:space="preserve">(чел)
</t>
    </r>
  </si>
  <si>
    <r>
      <t xml:space="preserve">Плановая продолжительность 
выполнения проектных работ, предусмотренных 
калькуляцией, </t>
    </r>
    <r>
      <rPr>
        <b/>
        <sz val="12"/>
        <color theme="1"/>
        <rFont val="Times New Roman"/>
        <family val="1"/>
        <charset val="204"/>
      </rPr>
      <t>Тп</t>
    </r>
    <r>
      <rPr>
        <sz val="12"/>
        <color theme="1"/>
        <rFont val="Times New Roman"/>
        <family val="1"/>
        <charset val="204"/>
      </rPr>
      <t xml:space="preserve"> 
(дни)</t>
    </r>
  </si>
  <si>
    <t>Главный инженер проекта</t>
  </si>
  <si>
    <r>
      <t xml:space="preserve">Фактическое 
время участия исполнителя в работе, </t>
    </r>
    <r>
      <rPr>
        <b/>
        <sz val="12"/>
        <color theme="1"/>
        <rFont val="Times New Roman"/>
        <family val="1"/>
        <charset val="204"/>
      </rPr>
      <t>Тфi</t>
    </r>
    <r>
      <rPr>
        <sz val="12"/>
        <color theme="1"/>
        <rFont val="Times New Roman"/>
        <family val="1"/>
        <charset val="204"/>
      </rPr>
      <t xml:space="preserve">
(дни)
</t>
    </r>
  </si>
  <si>
    <r>
      <t xml:space="preserve">Тфi </t>
    </r>
    <r>
      <rPr>
        <sz val="12"/>
        <color theme="1"/>
        <rFont val="Times New Roman"/>
        <family val="1"/>
        <charset val="204"/>
      </rPr>
      <t>рассчитано в соответствии с графиком посещения объекта</t>
    </r>
  </si>
  <si>
    <t>Главный специалист</t>
  </si>
  <si>
    <t>Итого:</t>
  </si>
  <si>
    <t>АО "КАВКАЗ. РФ"</t>
  </si>
  <si>
    <t xml:space="preserve">Среднемесячная зарплата исполнителей, руб.
</t>
  </si>
  <si>
    <t>Р- коэффициентуровня рентабельности (сметной прибыли), принимается Р = 0,1 (10%) согласно таблице 1.2, приведенной в приложении № 2 к Методике</t>
  </si>
  <si>
    <t>Проверка</t>
  </si>
  <si>
    <t>ВТРК "Эльбрус"</t>
  </si>
  <si>
    <t>2022 г.</t>
  </si>
  <si>
    <t xml:space="preserve">Расчет цены договора         </t>
  </si>
  <si>
    <t>№ п.п.</t>
  </si>
  <si>
    <t>Перечень видов работ</t>
  </si>
  <si>
    <t xml:space="preserve"> Стоимость проектирования объекта в прогнозных   ценах периода проектирования (руб.)</t>
  </si>
  <si>
    <t>без НДС</t>
  </si>
  <si>
    <t>НДС-20 %</t>
  </si>
  <si>
    <t>с учетом НДС</t>
  </si>
  <si>
    <t>на выполнение работ по авторскому надзору</t>
  </si>
  <si>
    <t>Авторский надзор EL3</t>
  </si>
  <si>
    <t>Авторский надзор EL6</t>
  </si>
  <si>
    <t>Сметный расчет на командировочные расходы по работам, связанным с авторским надзором (форма 4п)</t>
  </si>
  <si>
    <t>№</t>
  </si>
  <si>
    <t>Должность</t>
  </si>
  <si>
    <t>3 кв.</t>
  </si>
  <si>
    <t>4 кв.</t>
  </si>
  <si>
    <t>май</t>
  </si>
  <si>
    <t>4 кв</t>
  </si>
  <si>
    <t>окт</t>
  </si>
  <si>
    <t>2023 г./ чел.дн</t>
  </si>
  <si>
    <t>ноя</t>
  </si>
  <si>
    <t>дек</t>
  </si>
  <si>
    <t>янв</t>
  </si>
  <si>
    <t>фев</t>
  </si>
  <si>
    <t>авг</t>
  </si>
  <si>
    <t>сент</t>
  </si>
  <si>
    <t>мар</t>
  </si>
  <si>
    <t>ГРАФИК ПОСЕЩЕНИЯ ОБЪЕКТА СПЕЦИАЛИСТАМИ АВТОРСКОГО НАДЗОРА</t>
  </si>
  <si>
    <t>Всего</t>
  </si>
  <si>
    <t>июнь</t>
  </si>
  <si>
    <t>июль</t>
  </si>
  <si>
    <t>Индекс за октябрь 2021 к декабрю 2020</t>
  </si>
  <si>
    <t>2 кв</t>
  </si>
  <si>
    <t>2022 г./ чел.дн</t>
  </si>
  <si>
    <t>1,0043923^2</t>
  </si>
  <si>
    <t>0*1,0088039+0,73*1,0366237+0,27*1,0666142</t>
  </si>
  <si>
    <t>ПОЯСНИТЕЛЬНАЯ ЗАПИСКА</t>
  </si>
  <si>
    <t>К РАСЧЕТУ НАЧАЛЬНОЙ МАКСИМАЛЬНОЙ ЦЕНЫ ДОГОВОРА</t>
  </si>
  <si>
    <t>рублей с учетом НДС</t>
  </si>
  <si>
    <t>Заместитель директора Департамента развития инфраструктуры АО "КСК"</t>
  </si>
  <si>
    <t>Е.А. Татаринова</t>
  </si>
  <si>
    <t>Описание метода расчета стоимости  работ</t>
  </si>
  <si>
    <t>Лимит средств на проведение авторского надзора рассчитан в размере 0,2% от Глав 1-9 сводных сметных расчетов, получивших положительное заключение государственной экспертизы от 30.03.2020 № 07-1-1-3-009536-2020 (Объект 1) и от 30.03.2020 № 07-1-1-3-009540-2020 (Объект 2),  и с учетом индексов фактической и прогнозной инфляции.</t>
  </si>
  <si>
    <t>Лимит средств на проведение авторского надзора в размере 0,2% определен пунктом 173 Методики определения сметной стоимости строительства, реконструкции, капитального ремонта, сноса объектов капитального строительства, работ по сохранению объектов культурного наследия (памятников истории и культуры) народов Российской Федерации
на территории Российской Федерации, утвержденной приказом Министерства строительства и жилищно-коммунального хозяйства Российской Федерации
от 04.08.2020 № 421/пр (далее- Методика № 421/пр)</t>
  </si>
  <si>
    <t xml:space="preserve">В расчетах учтены затраты на проезд авторского надзора согласно пункту 174 Методики № 421/пр </t>
  </si>
  <si>
    <t>Налог на добавленную стоимость определен в размере 20%</t>
  </si>
  <si>
    <t>Итоговая стоимость работ составила:</t>
  </si>
  <si>
    <t>Расчет выполнен в соответствии с калькуляцией затрат согласно Методики определения стоимости работ по подготовке проектной документации, утвержденной приказом Минстрой РФ от 01.10.2021 № 707/пр (п. 145), в рамках лимита затрат на проведение авторского надзора и за счет средств на строительный контроль, предусмотренных сводными сметными расчетами, получившими положительное заключение государственной экспертизы от 30.03.2020 № 07-1-1-3-009536-2020 (Объект 1) и от 30.03.2020 № 07-1-1-3-009540-2020 (Объект 2)</t>
  </si>
  <si>
    <t>Метод расчета стоимости работ выбран проектно-сметный.</t>
  </si>
  <si>
    <t>Начальная максимальная цена договора (далее - НМЦД) определена в соответствии с  требованием Положения о закупке товаров, работ, услуг акционерного общества "КАВКАЗ.РФ", утвержденного Приказом акционерного общества "КАВКАЗ.РФ" от 02.03.2022  № Пр-22-048.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</si>
</sst>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#,##0.0000000"/>
    <numFmt numFmtId="166" formatCode="0.0000000"/>
    <numFmt numFmtId="167" formatCode="0.0"/>
    <numFmt numFmtId="168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11" fillId="0" borderId="0"/>
  </cellStyleXfs>
  <cellXfs count="174">
    <xf numFmtId="0" fontId="0" fillId="0" borderId="0" xfId="0"/>
    <xf numFmtId="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4" borderId="1" xfId="0" applyNumberForma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/>
    </xf>
    <xf numFmtId="4" fontId="0" fillId="0" borderId="0" xfId="0" applyNumberFormat="1"/>
    <xf numFmtId="14" fontId="0" fillId="3" borderId="1" xfId="0" applyNumberFormat="1" applyFill="1" applyBorder="1"/>
    <xf numFmtId="2" fontId="0" fillId="0" borderId="1" xfId="0" applyNumberFormat="1" applyBorder="1"/>
    <xf numFmtId="164" fontId="0" fillId="0" borderId="1" xfId="1" applyNumberFormat="1" applyFont="1" applyBorder="1"/>
    <xf numFmtId="10" fontId="4" fillId="5" borderId="3" xfId="0" applyNumberFormat="1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166" fontId="0" fillId="0" borderId="1" xfId="0" applyNumberFormat="1" applyBorder="1"/>
    <xf numFmtId="10" fontId="0" fillId="0" borderId="1" xfId="0" applyNumberFormat="1" applyBorder="1"/>
    <xf numFmtId="0" fontId="4" fillId="5" borderId="1" xfId="0" applyFont="1" applyFill="1" applyBorder="1" applyAlignment="1">
      <alignment vertical="center"/>
    </xf>
    <xf numFmtId="166" fontId="0" fillId="3" borderId="1" xfId="0" applyNumberFormat="1" applyFill="1" applyBorder="1"/>
    <xf numFmtId="0" fontId="0" fillId="4" borderId="0" xfId="0" applyFill="1"/>
    <xf numFmtId="166" fontId="2" fillId="0" borderId="0" xfId="0" applyNumberFormat="1" applyFont="1"/>
    <xf numFmtId="0" fontId="5" fillId="0" borderId="0" xfId="2" applyFont="1" applyAlignment="1">
      <alignment horizontal="left" vertical="top" wrapText="1"/>
    </xf>
    <xf numFmtId="14" fontId="5" fillId="0" borderId="0" xfId="2" applyNumberFormat="1" applyFont="1" applyAlignment="1">
      <alignment horizontal="left" vertical="top" wrapText="1"/>
    </xf>
    <xf numFmtId="167" fontId="0" fillId="0" borderId="1" xfId="0" applyNumberFormat="1" applyBorder="1"/>
    <xf numFmtId="166" fontId="2" fillId="6" borderId="1" xfId="0" applyNumberFormat="1" applyFont="1" applyFill="1" applyBorder="1"/>
    <xf numFmtId="0" fontId="4" fillId="0" borderId="0" xfId="2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7" fillId="0" borderId="0" xfId="0" applyFont="1"/>
    <xf numFmtId="0" fontId="4" fillId="0" borderId="0" xfId="0" applyFont="1"/>
    <xf numFmtId="0" fontId="4" fillId="0" borderId="0" xfId="2" applyFont="1"/>
    <xf numFmtId="0" fontId="7" fillId="0" borderId="0" xfId="2" applyFont="1"/>
    <xf numFmtId="0" fontId="5" fillId="0" borderId="0" xfId="2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7" fillId="0" borderId="0" xfId="0" applyFont="1" applyBorder="1"/>
    <xf numFmtId="1" fontId="7" fillId="0" borderId="0" xfId="0" applyNumberFormat="1" applyFont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2" fontId="7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0" fontId="7" fillId="0" borderId="1" xfId="0" applyNumberFormat="1" applyFont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168" fontId="0" fillId="0" borderId="0" xfId="0" applyNumberFormat="1"/>
    <xf numFmtId="0" fontId="0" fillId="0" borderId="0" xfId="0" applyAlignment="1">
      <alignment vertical="top"/>
    </xf>
    <xf numFmtId="0" fontId="10" fillId="0" borderId="0" xfId="0" applyFont="1"/>
    <xf numFmtId="0" fontId="5" fillId="0" borderId="0" xfId="0" applyFont="1"/>
    <xf numFmtId="1" fontId="5" fillId="0" borderId="0" xfId="0" applyNumberFormat="1" applyFont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8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4" fontId="8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4" fontId="8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0" fontId="7" fillId="0" borderId="0" xfId="0" applyNumberFormat="1" applyFont="1" applyBorder="1" applyAlignment="1">
      <alignment horizontal="center"/>
    </xf>
    <xf numFmtId="2" fontId="7" fillId="4" borderId="0" xfId="0" applyNumberFormat="1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quotePrefix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Border="1" applyAlignment="1">
      <alignment horizontal="right"/>
    </xf>
    <xf numFmtId="0" fontId="0" fillId="0" borderId="1" xfId="0" applyBorder="1"/>
    <xf numFmtId="0" fontId="7" fillId="0" borderId="0" xfId="0" applyFont="1" applyAlignment="1">
      <alignment horizontal="left" vertical="center"/>
    </xf>
    <xf numFmtId="166" fontId="0" fillId="3" borderId="0" xfId="0" applyNumberFormat="1" applyFill="1"/>
    <xf numFmtId="166" fontId="2" fillId="6" borderId="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8" fillId="0" borderId="0" xfId="0" applyFont="1" applyBorder="1"/>
    <xf numFmtId="4" fontId="8" fillId="0" borderId="0" xfId="0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vertical="center" wrapText="1"/>
    </xf>
    <xf numFmtId="0" fontId="6" fillId="0" borderId="0" xfId="0" quotePrefix="1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4" fillId="0" borderId="0" xfId="0" quotePrefix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1" fontId="7" fillId="4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6" fillId="0" borderId="0" xfId="2" applyFont="1" applyAlignment="1">
      <alignment horizontal="left" vertical="top" wrapText="1"/>
    </xf>
    <xf numFmtId="0" fontId="4" fillId="0" borderId="0" xfId="2" applyFont="1" applyAlignment="1">
      <alignment horizontal="left" vertical="top" wrapText="1"/>
    </xf>
    <xf numFmtId="0" fontId="4" fillId="5" borderId="1" xfId="0" applyFont="1" applyFill="1" applyBorder="1" applyAlignment="1">
      <alignment horizontal="left" vertical="top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5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0" borderId="0" xfId="2" applyFont="1" applyFill="1" applyAlignment="1">
      <alignment horizontal="left" vertical="center" wrapText="1"/>
    </xf>
    <xf numFmtId="0" fontId="4" fillId="0" borderId="0" xfId="2" applyFont="1" applyFill="1" applyAlignment="1">
      <alignment horizontal="left" vertical="center"/>
    </xf>
  </cellXfs>
  <cellStyles count="4">
    <cellStyle name="Обычный" xfId="0" builtinId="0"/>
    <cellStyle name="Обычный 3" xfId="3"/>
    <cellStyle name="Обычный 3 3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8</xdr:row>
      <xdr:rowOff>0</xdr:rowOff>
    </xdr:from>
    <xdr:to>
      <xdr:col>27</xdr:col>
      <xdr:colOff>523875</xdr:colOff>
      <xdr:row>35</xdr:row>
      <xdr:rowOff>57150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73400" y="3276600"/>
          <a:ext cx="8448675" cy="9972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8</xdr:row>
      <xdr:rowOff>0</xdr:rowOff>
    </xdr:from>
    <xdr:to>
      <xdr:col>27</xdr:col>
      <xdr:colOff>523875</xdr:colOff>
      <xdr:row>35</xdr:row>
      <xdr:rowOff>57150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73400" y="3276600"/>
          <a:ext cx="8448675" cy="9972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27</xdr:col>
      <xdr:colOff>432028</xdr:colOff>
      <xdr:row>121</xdr:row>
      <xdr:rowOff>135211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154650"/>
          <a:ext cx="24387403" cy="133368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601010</xdr:colOff>
      <xdr:row>30</xdr:row>
      <xdr:rowOff>143693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97010" cy="585869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10</xdr:col>
      <xdr:colOff>428625</xdr:colOff>
      <xdr:row>50</xdr:row>
      <xdr:rowOff>104775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096000"/>
          <a:ext cx="6524625" cy="35337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10</xdr:col>
      <xdr:colOff>247650</xdr:colOff>
      <xdr:row>63</xdr:row>
      <xdr:rowOff>57150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715500"/>
          <a:ext cx="6343650" cy="234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workbookViewId="0">
      <selection activeCell="I14" sqref="I14"/>
    </sheetView>
  </sheetViews>
  <sheetFormatPr defaultRowHeight="15" x14ac:dyDescent="0.25"/>
  <cols>
    <col min="1" max="1" width="10.85546875" customWidth="1"/>
    <col min="2" max="2" width="33.7109375" customWidth="1"/>
    <col min="3" max="3" width="39.140625" customWidth="1"/>
  </cols>
  <sheetData>
    <row r="1" spans="1:5" ht="15.75" x14ac:dyDescent="0.25">
      <c r="A1" s="114" t="s">
        <v>141</v>
      </c>
      <c r="B1" s="114"/>
      <c r="C1" s="114"/>
      <c r="D1" s="114"/>
      <c r="E1" s="114"/>
    </row>
    <row r="2" spans="1:5" ht="15.75" x14ac:dyDescent="0.25">
      <c r="A2" s="115" t="s">
        <v>142</v>
      </c>
      <c r="B2" s="115"/>
      <c r="C2" s="115"/>
      <c r="D2" s="115"/>
      <c r="E2" s="115"/>
    </row>
    <row r="3" spans="1:5" ht="15.75" x14ac:dyDescent="0.25">
      <c r="A3" s="112" t="s">
        <v>113</v>
      </c>
      <c r="B3" s="112"/>
      <c r="C3" s="112"/>
      <c r="D3" s="112"/>
      <c r="E3" s="112"/>
    </row>
    <row r="4" spans="1:5" ht="50.25" customHeight="1" x14ac:dyDescent="0.25">
      <c r="A4" s="108" t="s">
        <v>49</v>
      </c>
      <c r="B4" s="111" t="s">
        <v>51</v>
      </c>
      <c r="C4" s="111"/>
      <c r="D4" s="111"/>
      <c r="E4" s="111"/>
    </row>
    <row r="5" spans="1:5" ht="48" customHeight="1" x14ac:dyDescent="0.25">
      <c r="A5" s="108" t="s">
        <v>50</v>
      </c>
      <c r="B5" s="111" t="s">
        <v>52</v>
      </c>
      <c r="C5" s="111"/>
      <c r="D5" s="111"/>
      <c r="E5" s="111"/>
    </row>
    <row r="6" spans="1:5" ht="68.25" customHeight="1" x14ac:dyDescent="0.25">
      <c r="A6" s="113" t="s">
        <v>154</v>
      </c>
      <c r="B6" s="113"/>
      <c r="C6" s="113"/>
      <c r="D6" s="113"/>
      <c r="E6" s="113"/>
    </row>
    <row r="7" spans="1:5" ht="15.75" customHeight="1" x14ac:dyDescent="0.25">
      <c r="A7" s="119" t="s">
        <v>146</v>
      </c>
      <c r="B7" s="119"/>
      <c r="C7" s="119"/>
      <c r="D7" s="119"/>
      <c r="E7" s="119"/>
    </row>
    <row r="8" spans="1:5" ht="15.75" customHeight="1" x14ac:dyDescent="0.25">
      <c r="A8" s="113" t="s">
        <v>153</v>
      </c>
      <c r="B8" s="113"/>
      <c r="C8" s="113"/>
      <c r="D8" s="113"/>
      <c r="E8" s="113"/>
    </row>
    <row r="9" spans="1:5" ht="100.5" customHeight="1" x14ac:dyDescent="0.25">
      <c r="A9" s="117" t="s">
        <v>152</v>
      </c>
      <c r="B9" s="117"/>
      <c r="C9" s="117"/>
      <c r="D9" s="117"/>
      <c r="E9" s="117"/>
    </row>
    <row r="10" spans="1:5" ht="75" customHeight="1" x14ac:dyDescent="0.25">
      <c r="A10" s="118" t="s">
        <v>147</v>
      </c>
      <c r="B10" s="118"/>
      <c r="C10" s="118"/>
      <c r="D10" s="118"/>
      <c r="E10" s="118"/>
    </row>
    <row r="11" spans="1:5" ht="125.25" customHeight="1" x14ac:dyDescent="0.25">
      <c r="A11" s="118" t="s">
        <v>148</v>
      </c>
      <c r="B11" s="118"/>
      <c r="C11" s="118"/>
      <c r="D11" s="118"/>
      <c r="E11" s="118"/>
    </row>
    <row r="12" spans="1:5" ht="25.5" customHeight="1" x14ac:dyDescent="0.25">
      <c r="A12" s="120" t="s">
        <v>149</v>
      </c>
      <c r="B12" s="120"/>
      <c r="C12" s="120"/>
      <c r="D12" s="120"/>
      <c r="E12" s="120"/>
    </row>
    <row r="13" spans="1:5" ht="25.5" customHeight="1" x14ac:dyDescent="0.25">
      <c r="A13" s="116" t="s">
        <v>150</v>
      </c>
      <c r="B13" s="116"/>
      <c r="C13" s="116"/>
      <c r="D13" s="116"/>
      <c r="E13" s="116"/>
    </row>
    <row r="14" spans="1:5" ht="15.75" x14ac:dyDescent="0.25">
      <c r="A14" s="110" t="s">
        <v>151</v>
      </c>
      <c r="B14" s="110"/>
      <c r="C14" s="110"/>
    </row>
    <row r="15" spans="1:5" ht="15.75" x14ac:dyDescent="0.25">
      <c r="A15" s="106"/>
      <c r="B15" s="107">
        <f>НМЦ!E13</f>
        <v>4646119.9000000004</v>
      </c>
      <c r="C15" s="106" t="s">
        <v>143</v>
      </c>
    </row>
    <row r="16" spans="1:5" ht="15.75" x14ac:dyDescent="0.25">
      <c r="A16" s="106"/>
      <c r="B16" s="107"/>
      <c r="C16" s="106"/>
    </row>
    <row r="17" spans="1:3" ht="15.75" x14ac:dyDescent="0.25">
      <c r="A17" s="106"/>
      <c r="B17" s="107"/>
      <c r="C17" s="106"/>
    </row>
    <row r="18" spans="1:3" ht="15.75" x14ac:dyDescent="0.25">
      <c r="A18" s="109" t="s">
        <v>144</v>
      </c>
      <c r="B18" s="109"/>
      <c r="C18" s="98" t="s">
        <v>145</v>
      </c>
    </row>
  </sheetData>
  <mergeCells count="15">
    <mergeCell ref="A1:E1"/>
    <mergeCell ref="A2:E2"/>
    <mergeCell ref="A13:E13"/>
    <mergeCell ref="A6:E6"/>
    <mergeCell ref="A9:E9"/>
    <mergeCell ref="A10:E10"/>
    <mergeCell ref="A7:E7"/>
    <mergeCell ref="A12:E12"/>
    <mergeCell ref="A11:E11"/>
    <mergeCell ref="A18:B18"/>
    <mergeCell ref="A14:C14"/>
    <mergeCell ref="B4:E4"/>
    <mergeCell ref="B5:E5"/>
    <mergeCell ref="A3:E3"/>
    <mergeCell ref="A8:E8"/>
  </mergeCells>
  <pageMargins left="0.7" right="0.7" top="0.75" bottom="0.75" header="0.3" footer="0.3"/>
  <pageSetup paperSize="9" scale="85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1"/>
  <sheetViews>
    <sheetView workbookViewId="0">
      <selection activeCell="L26" sqref="L26"/>
    </sheetView>
  </sheetViews>
  <sheetFormatPr defaultRowHeight="15" x14ac:dyDescent="0.25"/>
  <cols>
    <col min="2" max="2" width="36.42578125" customWidth="1"/>
    <col min="3" max="3" width="7.7109375" customWidth="1"/>
    <col min="4" max="4" width="9.7109375" customWidth="1"/>
    <col min="5" max="5" width="8.28515625" customWidth="1"/>
    <col min="6" max="6" width="8.5703125" customWidth="1"/>
    <col min="7" max="7" width="9.140625" customWidth="1"/>
    <col min="8" max="8" width="7.5703125" customWidth="1"/>
    <col min="9" max="9" width="7" customWidth="1"/>
    <col min="10" max="10" width="7.5703125" customWidth="1"/>
    <col min="11" max="11" width="7.7109375" customWidth="1"/>
    <col min="12" max="12" width="7.5703125" customWidth="1"/>
    <col min="13" max="13" width="6.85546875" customWidth="1"/>
    <col min="14" max="14" width="10.42578125" customWidth="1"/>
  </cols>
  <sheetData>
    <row r="2" spans="1:16" ht="15.75" x14ac:dyDescent="0.25">
      <c r="A2" s="112" t="s">
        <v>132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6" ht="15.75" x14ac:dyDescent="0.25">
      <c r="A3" s="125"/>
      <c r="B3" s="125"/>
      <c r="C3" s="125"/>
      <c r="D3" s="125"/>
      <c r="E3" s="125"/>
      <c r="F3" s="125"/>
      <c r="G3" s="125"/>
      <c r="H3" s="125"/>
      <c r="I3" s="125"/>
      <c r="J3" s="125"/>
    </row>
    <row r="4" spans="1:16" ht="37.5" customHeight="1" x14ac:dyDescent="0.25">
      <c r="A4" s="121" t="s">
        <v>51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6" x14ac:dyDescent="0.25">
      <c r="A5" s="91"/>
    </row>
    <row r="6" spans="1:16" ht="15.75" x14ac:dyDescent="0.25">
      <c r="A6" s="122" t="s">
        <v>117</v>
      </c>
      <c r="B6" s="122" t="s">
        <v>118</v>
      </c>
      <c r="C6" s="122" t="s">
        <v>138</v>
      </c>
      <c r="D6" s="122"/>
      <c r="E6" s="122"/>
      <c r="F6" s="122"/>
      <c r="G6" s="122"/>
      <c r="H6" s="122"/>
      <c r="I6" s="122"/>
      <c r="J6" s="122"/>
      <c r="K6" s="126" t="s">
        <v>124</v>
      </c>
      <c r="L6" s="127"/>
      <c r="M6" s="128"/>
      <c r="N6" s="129" t="s">
        <v>133</v>
      </c>
    </row>
    <row r="7" spans="1:16" ht="15.75" x14ac:dyDescent="0.25">
      <c r="A7" s="122"/>
      <c r="B7" s="122"/>
      <c r="C7" s="122" t="s">
        <v>137</v>
      </c>
      <c r="D7" s="122"/>
      <c r="E7" s="122" t="s">
        <v>119</v>
      </c>
      <c r="F7" s="122"/>
      <c r="G7" s="122"/>
      <c r="H7" s="122" t="s">
        <v>120</v>
      </c>
      <c r="I7" s="122"/>
      <c r="J7" s="122"/>
      <c r="K7" s="126" t="s">
        <v>122</v>
      </c>
      <c r="L7" s="127"/>
      <c r="M7" s="128"/>
      <c r="N7" s="129"/>
    </row>
    <row r="8" spans="1:16" ht="15.75" x14ac:dyDescent="0.25">
      <c r="A8" s="122"/>
      <c r="B8" s="122"/>
      <c r="C8" s="92" t="s">
        <v>121</v>
      </c>
      <c r="D8" s="92" t="s">
        <v>134</v>
      </c>
      <c r="E8" s="92" t="s">
        <v>135</v>
      </c>
      <c r="F8" s="92" t="s">
        <v>129</v>
      </c>
      <c r="G8" s="92" t="s">
        <v>130</v>
      </c>
      <c r="H8" s="92" t="s">
        <v>123</v>
      </c>
      <c r="I8" s="92" t="s">
        <v>125</v>
      </c>
      <c r="J8" s="92" t="s">
        <v>126</v>
      </c>
      <c r="K8" s="95" t="s">
        <v>127</v>
      </c>
      <c r="L8" s="92" t="s">
        <v>128</v>
      </c>
      <c r="M8" s="92" t="s">
        <v>131</v>
      </c>
      <c r="N8" s="104"/>
    </row>
    <row r="9" spans="1:16" ht="15.75" x14ac:dyDescent="0.25">
      <c r="A9" s="92">
        <v>1</v>
      </c>
      <c r="B9" s="46" t="s">
        <v>95</v>
      </c>
      <c r="C9" s="45"/>
      <c r="D9" s="45">
        <v>1</v>
      </c>
      <c r="E9" s="45"/>
      <c r="F9" s="45">
        <v>1</v>
      </c>
      <c r="G9" s="45"/>
      <c r="H9" s="45"/>
      <c r="I9" s="45">
        <v>1</v>
      </c>
      <c r="J9" s="45"/>
      <c r="K9" s="45"/>
      <c r="L9" s="45">
        <v>1</v>
      </c>
      <c r="M9" s="45"/>
      <c r="N9" s="105">
        <f>SUM(C9:M9)</f>
        <v>4</v>
      </c>
      <c r="O9" s="103"/>
      <c r="P9" s="78"/>
    </row>
    <row r="10" spans="1:16" ht="15.75" x14ac:dyDescent="0.25">
      <c r="A10" s="92">
        <v>2</v>
      </c>
      <c r="B10" s="46" t="s">
        <v>98</v>
      </c>
      <c r="C10" s="45">
        <v>2</v>
      </c>
      <c r="D10" s="45">
        <f>C10</f>
        <v>2</v>
      </c>
      <c r="E10" s="45">
        <f>D10</f>
        <v>2</v>
      </c>
      <c r="F10" s="45">
        <v>2</v>
      </c>
      <c r="G10" s="45">
        <v>2</v>
      </c>
      <c r="H10" s="45">
        <v>4</v>
      </c>
      <c r="I10" s="45">
        <v>4</v>
      </c>
      <c r="J10" s="45">
        <f>I10</f>
        <v>4</v>
      </c>
      <c r="K10" s="45">
        <v>2</v>
      </c>
      <c r="L10" s="45">
        <v>2</v>
      </c>
      <c r="M10" s="45">
        <v>2</v>
      </c>
      <c r="N10" s="105">
        <f>SUM(C10:M10)</f>
        <v>28</v>
      </c>
      <c r="O10" s="103"/>
      <c r="P10" s="78"/>
    </row>
    <row r="11" spans="1:16" ht="15.75" x14ac:dyDescent="0.25">
      <c r="A11" s="92"/>
      <c r="B11" s="93" t="s">
        <v>99</v>
      </c>
      <c r="C11" s="94">
        <f t="shared" ref="C11" si="0">SUM(C9:C10)</f>
        <v>2</v>
      </c>
      <c r="D11" s="94">
        <f t="shared" ref="D11" si="1">SUM(D9:D10)</f>
        <v>3</v>
      </c>
      <c r="E11" s="94">
        <f t="shared" ref="E11" si="2">SUM(E9:E10)</f>
        <v>2</v>
      </c>
      <c r="F11" s="94">
        <f t="shared" ref="F11" si="3">SUM(F9:F10)</f>
        <v>3</v>
      </c>
      <c r="G11" s="94">
        <f t="shared" ref="G11" si="4">SUM(G9:G10)</f>
        <v>2</v>
      </c>
      <c r="H11" s="94">
        <f t="shared" ref="H11" si="5">SUM(H9:H10)</f>
        <v>4</v>
      </c>
      <c r="I11" s="94">
        <f t="shared" ref="I11" si="6">SUM(I9:I10)</f>
        <v>5</v>
      </c>
      <c r="J11" s="94">
        <f t="shared" ref="J11" si="7">SUM(J9:J10)</f>
        <v>4</v>
      </c>
      <c r="K11" s="94">
        <f t="shared" ref="K11" si="8">SUM(K9:K10)</f>
        <v>2</v>
      </c>
      <c r="L11" s="94">
        <f t="shared" ref="L11" si="9">SUM(L9:L10)</f>
        <v>3</v>
      </c>
      <c r="M11" s="94">
        <f t="shared" ref="M11" si="10">SUM(M9:M10)</f>
        <v>2</v>
      </c>
      <c r="N11" s="105">
        <f>SUM(N9:N10)</f>
        <v>32</v>
      </c>
    </row>
    <row r="14" spans="1:16" ht="37.5" customHeight="1" x14ac:dyDescent="0.25">
      <c r="A14" s="121" t="s">
        <v>52</v>
      </c>
      <c r="B14" s="121"/>
      <c r="C14" s="121"/>
      <c r="D14" s="121"/>
      <c r="E14" s="121"/>
      <c r="F14" s="121"/>
      <c r="G14" s="121"/>
      <c r="H14" s="121"/>
      <c r="I14" s="121"/>
      <c r="J14" s="121"/>
    </row>
    <row r="15" spans="1:16" x14ac:dyDescent="0.25">
      <c r="A15" s="91"/>
    </row>
    <row r="16" spans="1:16" ht="15.75" x14ac:dyDescent="0.25">
      <c r="A16" s="122" t="s">
        <v>117</v>
      </c>
      <c r="B16" s="122" t="s">
        <v>118</v>
      </c>
      <c r="C16" s="122" t="s">
        <v>138</v>
      </c>
      <c r="D16" s="122"/>
      <c r="E16" s="122"/>
      <c r="F16" s="122"/>
      <c r="G16" s="122"/>
      <c r="H16" s="122"/>
      <c r="I16" s="122"/>
      <c r="J16" s="122"/>
      <c r="K16" s="126" t="s">
        <v>124</v>
      </c>
      <c r="L16" s="127"/>
      <c r="M16" s="128"/>
      <c r="N16" s="123" t="s">
        <v>133</v>
      </c>
    </row>
    <row r="17" spans="1:16" ht="15.75" x14ac:dyDescent="0.25">
      <c r="A17" s="122"/>
      <c r="B17" s="122"/>
      <c r="C17" s="122" t="s">
        <v>137</v>
      </c>
      <c r="D17" s="122"/>
      <c r="E17" s="122" t="s">
        <v>119</v>
      </c>
      <c r="F17" s="122"/>
      <c r="G17" s="122"/>
      <c r="H17" s="122" t="s">
        <v>120</v>
      </c>
      <c r="I17" s="122"/>
      <c r="J17" s="122"/>
      <c r="K17" s="126" t="s">
        <v>122</v>
      </c>
      <c r="L17" s="127"/>
      <c r="M17" s="128"/>
      <c r="N17" s="124"/>
    </row>
    <row r="18" spans="1:16" ht="15.75" x14ac:dyDescent="0.25">
      <c r="A18" s="122"/>
      <c r="B18" s="122"/>
      <c r="C18" s="44" t="s">
        <v>121</v>
      </c>
      <c r="D18" s="44" t="s">
        <v>134</v>
      </c>
      <c r="E18" s="44" t="s">
        <v>135</v>
      </c>
      <c r="F18" s="44" t="s">
        <v>129</v>
      </c>
      <c r="G18" s="44" t="s">
        <v>130</v>
      </c>
      <c r="H18" s="44" t="s">
        <v>123</v>
      </c>
      <c r="I18" s="44" t="s">
        <v>125</v>
      </c>
      <c r="J18" s="44" t="s">
        <v>126</v>
      </c>
      <c r="K18" s="95" t="s">
        <v>127</v>
      </c>
      <c r="L18" s="44" t="s">
        <v>128</v>
      </c>
      <c r="M18" s="44" t="s">
        <v>131</v>
      </c>
      <c r="N18" s="99"/>
    </row>
    <row r="19" spans="1:16" ht="15.75" x14ac:dyDescent="0.25">
      <c r="A19" s="44">
        <v>1</v>
      </c>
      <c r="B19" s="46" t="s">
        <v>95</v>
      </c>
      <c r="C19" s="45">
        <v>3</v>
      </c>
      <c r="D19" s="45">
        <f>C19</f>
        <v>3</v>
      </c>
      <c r="E19" s="45">
        <v>4</v>
      </c>
      <c r="F19" s="45">
        <v>5</v>
      </c>
      <c r="G19" s="45">
        <v>5</v>
      </c>
      <c r="H19" s="45">
        <v>5</v>
      </c>
      <c r="I19" s="45">
        <v>5</v>
      </c>
      <c r="J19" s="45">
        <v>5</v>
      </c>
      <c r="K19" s="45">
        <v>4</v>
      </c>
      <c r="L19" s="45">
        <v>4</v>
      </c>
      <c r="M19" s="45">
        <v>3</v>
      </c>
      <c r="N19" s="40">
        <f>SUM(C19:M19)</f>
        <v>46</v>
      </c>
    </row>
    <row r="20" spans="1:16" ht="15.75" x14ac:dyDescent="0.25">
      <c r="A20" s="44">
        <v>2</v>
      </c>
      <c r="B20" s="46" t="s">
        <v>98</v>
      </c>
      <c r="C20" s="45">
        <v>9</v>
      </c>
      <c r="D20" s="45">
        <v>9</v>
      </c>
      <c r="E20" s="45">
        <v>9</v>
      </c>
      <c r="F20" s="45">
        <v>9</v>
      </c>
      <c r="G20" s="45">
        <v>9</v>
      </c>
      <c r="H20" s="45">
        <v>10</v>
      </c>
      <c r="I20" s="45">
        <v>9</v>
      </c>
      <c r="J20" s="45">
        <v>9</v>
      </c>
      <c r="K20" s="45">
        <v>9</v>
      </c>
      <c r="L20" s="45">
        <v>9</v>
      </c>
      <c r="M20" s="45">
        <v>9</v>
      </c>
      <c r="N20" s="40">
        <f>SUM(C20:M20)</f>
        <v>100</v>
      </c>
      <c r="P20" s="103"/>
    </row>
    <row r="21" spans="1:16" ht="15.75" x14ac:dyDescent="0.25">
      <c r="A21" s="44"/>
      <c r="B21" s="93" t="s">
        <v>99</v>
      </c>
      <c r="C21" s="94">
        <f t="shared" ref="C21:M21" si="11">SUM(C19:C20)</f>
        <v>12</v>
      </c>
      <c r="D21" s="94">
        <f t="shared" si="11"/>
        <v>12</v>
      </c>
      <c r="E21" s="94">
        <f t="shared" si="11"/>
        <v>13</v>
      </c>
      <c r="F21" s="94">
        <f t="shared" si="11"/>
        <v>14</v>
      </c>
      <c r="G21" s="94">
        <f t="shared" si="11"/>
        <v>14</v>
      </c>
      <c r="H21" s="94">
        <f t="shared" si="11"/>
        <v>15</v>
      </c>
      <c r="I21" s="94">
        <f t="shared" si="11"/>
        <v>14</v>
      </c>
      <c r="J21" s="94">
        <f t="shared" si="11"/>
        <v>14</v>
      </c>
      <c r="K21" s="94">
        <f t="shared" si="11"/>
        <v>13</v>
      </c>
      <c r="L21" s="94">
        <f t="shared" si="11"/>
        <v>13</v>
      </c>
      <c r="M21" s="94">
        <f t="shared" si="11"/>
        <v>12</v>
      </c>
      <c r="N21" s="40">
        <f>SUM(N19:N20)</f>
        <v>146</v>
      </c>
    </row>
  </sheetData>
  <mergeCells count="22">
    <mergeCell ref="N16:N17"/>
    <mergeCell ref="A2:J2"/>
    <mergeCell ref="A3:J3"/>
    <mergeCell ref="A4:J4"/>
    <mergeCell ref="A6:A8"/>
    <mergeCell ref="B6:B8"/>
    <mergeCell ref="C6:J6"/>
    <mergeCell ref="K6:M6"/>
    <mergeCell ref="N6:N7"/>
    <mergeCell ref="C7:D7"/>
    <mergeCell ref="E7:G7"/>
    <mergeCell ref="H7:J7"/>
    <mergeCell ref="K7:M7"/>
    <mergeCell ref="K16:M16"/>
    <mergeCell ref="K17:M17"/>
    <mergeCell ref="A16:A18"/>
    <mergeCell ref="A14:J14"/>
    <mergeCell ref="B16:B18"/>
    <mergeCell ref="C16:J16"/>
    <mergeCell ref="C17:D17"/>
    <mergeCell ref="E17:G17"/>
    <mergeCell ref="H17:J17"/>
  </mergeCells>
  <pageMargins left="0.7" right="0.7" top="0.75" bottom="0.75" header="0.3" footer="0.3"/>
  <pageSetup paperSize="9" scale="92"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workbookViewId="0">
      <selection activeCell="A2" sqref="A2:E2"/>
    </sheetView>
  </sheetViews>
  <sheetFormatPr defaultRowHeight="15" x14ac:dyDescent="0.25"/>
  <cols>
    <col min="1" max="1" width="10.7109375" customWidth="1"/>
    <col min="2" max="2" width="55.140625" customWidth="1"/>
    <col min="3" max="3" width="16.5703125" customWidth="1"/>
    <col min="4" max="4" width="20" customWidth="1"/>
    <col min="5" max="5" width="16.5703125" customWidth="1"/>
    <col min="6" max="6" width="15.42578125" customWidth="1"/>
    <col min="7" max="7" width="11.42578125" bestFit="1" customWidth="1"/>
    <col min="10" max="10" width="11.7109375" bestFit="1" customWidth="1"/>
    <col min="12" max="12" width="12" bestFit="1" customWidth="1"/>
    <col min="13" max="13" width="12.42578125" bestFit="1" customWidth="1"/>
    <col min="16" max="16" width="9.85546875" bestFit="1" customWidth="1"/>
  </cols>
  <sheetData>
    <row r="1" spans="1:19" ht="15.75" x14ac:dyDescent="0.25">
      <c r="A1" s="112" t="s">
        <v>106</v>
      </c>
      <c r="B1" s="112"/>
      <c r="C1" s="112"/>
      <c r="D1" s="112"/>
      <c r="E1" s="112"/>
    </row>
    <row r="2" spans="1:19" ht="15.75" x14ac:dyDescent="0.25">
      <c r="A2" s="112" t="s">
        <v>113</v>
      </c>
      <c r="B2" s="112"/>
      <c r="C2" s="112"/>
      <c r="D2" s="112"/>
      <c r="E2" s="112"/>
    </row>
    <row r="3" spans="1:19" ht="37.5" customHeight="1" x14ac:dyDescent="0.25">
      <c r="A3" s="34" t="s">
        <v>49</v>
      </c>
      <c r="B3" s="130" t="s">
        <v>51</v>
      </c>
      <c r="C3" s="130"/>
      <c r="D3" s="130"/>
      <c r="E3" s="130"/>
      <c r="F3" s="96"/>
      <c r="G3" s="96"/>
      <c r="H3" s="96"/>
      <c r="I3" s="96"/>
      <c r="J3" s="96"/>
    </row>
    <row r="4" spans="1:19" ht="37.5" customHeight="1" x14ac:dyDescent="0.25">
      <c r="A4" s="34" t="s">
        <v>50</v>
      </c>
      <c r="B4" s="130" t="s">
        <v>52</v>
      </c>
      <c r="C4" s="130"/>
      <c r="D4" s="130"/>
      <c r="E4" s="130"/>
      <c r="F4" s="96"/>
      <c r="G4" s="96"/>
      <c r="H4" s="96"/>
      <c r="I4" s="96"/>
      <c r="J4" s="96"/>
    </row>
    <row r="5" spans="1:19" ht="19.5" customHeight="1" x14ac:dyDescent="0.25">
      <c r="A5" s="34" t="s">
        <v>45</v>
      </c>
      <c r="B5" s="131" t="s">
        <v>46</v>
      </c>
      <c r="C5" s="131"/>
      <c r="D5" s="131"/>
      <c r="E5" s="131"/>
      <c r="F5" s="97"/>
      <c r="G5" s="97"/>
      <c r="H5" s="97"/>
      <c r="I5" s="97"/>
      <c r="J5" s="97"/>
    </row>
    <row r="6" spans="1:19" ht="15.75" x14ac:dyDescent="0.25">
      <c r="A6" s="73"/>
      <c r="B6" s="35"/>
      <c r="C6" s="35"/>
      <c r="D6" s="35"/>
      <c r="E6" s="35"/>
    </row>
    <row r="7" spans="1:19" ht="15.75" customHeight="1" x14ac:dyDescent="0.25">
      <c r="A7" s="132" t="s">
        <v>107</v>
      </c>
      <c r="B7" s="133" t="s">
        <v>108</v>
      </c>
      <c r="C7" s="136" t="s">
        <v>109</v>
      </c>
      <c r="D7" s="137"/>
      <c r="E7" s="138"/>
    </row>
    <row r="8" spans="1:19" ht="15.75" customHeight="1" x14ac:dyDescent="0.25">
      <c r="A8" s="132"/>
      <c r="B8" s="134"/>
      <c r="C8" s="139"/>
      <c r="D8" s="140"/>
      <c r="E8" s="141"/>
    </row>
    <row r="9" spans="1:19" ht="15.75" x14ac:dyDescent="0.25">
      <c r="A9" s="132"/>
      <c r="B9" s="135"/>
      <c r="C9" s="74" t="s">
        <v>110</v>
      </c>
      <c r="D9" s="74" t="s">
        <v>111</v>
      </c>
      <c r="E9" s="74" t="s">
        <v>112</v>
      </c>
    </row>
    <row r="10" spans="1:19" ht="15.75" x14ac:dyDescent="0.25">
      <c r="A10" s="74">
        <v>1</v>
      </c>
      <c r="B10" s="74">
        <v>2</v>
      </c>
      <c r="C10" s="74">
        <v>3</v>
      </c>
      <c r="D10" s="74">
        <v>4</v>
      </c>
      <c r="E10" s="74">
        <v>5</v>
      </c>
      <c r="F10" s="75"/>
      <c r="G10" s="41"/>
    </row>
    <row r="11" spans="1:19" ht="15.75" x14ac:dyDescent="0.25">
      <c r="A11" s="49">
        <v>1</v>
      </c>
      <c r="B11" s="76" t="s">
        <v>114</v>
      </c>
      <c r="C11" s="77">
        <f>'Расчет по форме 3П EL3'!J29+'Затраты на проезд'!I8</f>
        <v>680797.59</v>
      </c>
      <c r="D11" s="77">
        <f>C11*0.2</f>
        <v>136159.51999999999</v>
      </c>
      <c r="E11" s="77">
        <f>C11+D11</f>
        <v>816957.11</v>
      </c>
      <c r="F11" s="75"/>
      <c r="G11" s="41"/>
    </row>
    <row r="12" spans="1:19" ht="15.75" x14ac:dyDescent="0.25">
      <c r="A12" s="49">
        <v>2</v>
      </c>
      <c r="B12" s="76" t="s">
        <v>115</v>
      </c>
      <c r="C12" s="77">
        <f>'Расчет по форме 3П EL6 '!J29+'Затраты на проезд'!I15</f>
        <v>3190968.99</v>
      </c>
      <c r="D12" s="77">
        <f>C12*0.2</f>
        <v>638193.80000000005</v>
      </c>
      <c r="E12" s="77">
        <f>C12+D12</f>
        <v>3829162.79</v>
      </c>
      <c r="F12" s="79"/>
      <c r="L12" s="78"/>
      <c r="M12" s="78"/>
      <c r="N12" s="78"/>
      <c r="O12" s="78"/>
      <c r="P12" s="78"/>
      <c r="Q12" s="78"/>
      <c r="R12" s="78"/>
      <c r="S12" s="78"/>
    </row>
    <row r="13" spans="1:19" ht="15.75" x14ac:dyDescent="0.25">
      <c r="A13" s="80"/>
      <c r="B13" s="80" t="s">
        <v>99</v>
      </c>
      <c r="C13" s="81">
        <f>SUM(C11:C12)</f>
        <v>3871766.58</v>
      </c>
      <c r="D13" s="81">
        <f>SUM(D11:D12)</f>
        <v>774353.32</v>
      </c>
      <c r="E13" s="81">
        <f>SUM(E11:E12)</f>
        <v>4646119.9000000004</v>
      </c>
      <c r="J13" s="17"/>
      <c r="L13" s="17"/>
      <c r="M13" s="82"/>
      <c r="P13" s="17"/>
    </row>
  </sheetData>
  <mergeCells count="8">
    <mergeCell ref="B3:E3"/>
    <mergeCell ref="B5:E5"/>
    <mergeCell ref="A1:E1"/>
    <mergeCell ref="A2:E2"/>
    <mergeCell ref="A7:A9"/>
    <mergeCell ref="B7:B9"/>
    <mergeCell ref="C7:E8"/>
    <mergeCell ref="B4:E4"/>
  </mergeCells>
  <pageMargins left="0.7" right="0.7" top="0.75" bottom="0.75" header="0.3" footer="0.3"/>
  <pageSetup paperSize="9" scale="47" fitToHeight="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15"/>
  <sheetViews>
    <sheetView topLeftCell="A7" workbookViewId="0">
      <selection activeCell="A6" sqref="A6:J6"/>
    </sheetView>
  </sheetViews>
  <sheetFormatPr defaultRowHeight="15" x14ac:dyDescent="0.25"/>
  <cols>
    <col min="1" max="1" width="12.85546875" customWidth="1"/>
    <col min="2" max="2" width="27.85546875" customWidth="1"/>
    <col min="3" max="3" width="19.28515625" customWidth="1"/>
    <col min="4" max="4" width="22.28515625" customWidth="1"/>
    <col min="5" max="5" width="21.5703125" customWidth="1"/>
    <col min="6" max="6" width="23" customWidth="1"/>
    <col min="7" max="7" width="23.42578125" customWidth="1"/>
    <col min="8" max="8" width="15.42578125" customWidth="1"/>
    <col min="9" max="9" width="16.85546875" customWidth="1"/>
    <col min="10" max="10" width="17.42578125" customWidth="1"/>
  </cols>
  <sheetData>
    <row r="1" spans="1:10" ht="39" customHeight="1" x14ac:dyDescent="0.3">
      <c r="A1" s="143" t="s">
        <v>68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54" customHeight="1" x14ac:dyDescent="0.25">
      <c r="A2" s="142" t="s">
        <v>69</v>
      </c>
      <c r="B2" s="142"/>
      <c r="C2" s="144" t="s">
        <v>51</v>
      </c>
      <c r="D2" s="144"/>
      <c r="E2" s="144"/>
      <c r="F2" s="144"/>
      <c r="G2" s="144"/>
      <c r="H2" s="144"/>
      <c r="I2" s="144"/>
      <c r="J2" s="144"/>
    </row>
    <row r="3" spans="1:10" ht="29.25" customHeight="1" x14ac:dyDescent="0.25">
      <c r="A3" s="144" t="s">
        <v>70</v>
      </c>
      <c r="B3" s="144"/>
      <c r="C3" s="145" t="s">
        <v>100</v>
      </c>
      <c r="D3" s="145"/>
      <c r="E3" s="42"/>
      <c r="F3" s="42"/>
      <c r="G3" s="42"/>
      <c r="H3" s="35"/>
      <c r="I3" s="35"/>
      <c r="J3" s="35"/>
    </row>
    <row r="4" spans="1:10" ht="24" customHeight="1" x14ac:dyDescent="0.25">
      <c r="A4" s="142" t="s">
        <v>71</v>
      </c>
      <c r="B4" s="142"/>
      <c r="C4" s="42"/>
      <c r="D4" s="42"/>
      <c r="E4" s="42"/>
      <c r="F4" s="42"/>
      <c r="G4" s="42"/>
      <c r="H4" s="35"/>
      <c r="I4" s="35"/>
      <c r="J4" s="35"/>
    </row>
    <row r="5" spans="1:10" ht="23.25" customHeight="1" x14ac:dyDescent="0.25">
      <c r="A5" s="144" t="s">
        <v>72</v>
      </c>
      <c r="B5" s="144"/>
      <c r="C5" s="100" t="s">
        <v>105</v>
      </c>
      <c r="D5" s="42"/>
      <c r="E5" s="42"/>
      <c r="F5" s="42"/>
      <c r="G5" s="42"/>
      <c r="H5" s="35"/>
      <c r="I5" s="35"/>
      <c r="J5" s="35"/>
    </row>
    <row r="6" spans="1:10" ht="39" customHeight="1" x14ac:dyDescent="0.25">
      <c r="A6" s="142" t="s">
        <v>91</v>
      </c>
      <c r="B6" s="142"/>
      <c r="C6" s="142"/>
      <c r="D6" s="142"/>
      <c r="E6" s="142"/>
      <c r="F6" s="142"/>
      <c r="G6" s="142"/>
      <c r="H6" s="142"/>
      <c r="I6" s="142"/>
      <c r="J6" s="142"/>
    </row>
    <row r="7" spans="1:10" ht="33.75" customHeight="1" x14ac:dyDescent="0.25">
      <c r="A7" s="147" t="s">
        <v>57</v>
      </c>
      <c r="B7" s="147"/>
      <c r="C7" s="147"/>
      <c r="D7" s="147"/>
      <c r="E7" s="147"/>
      <c r="F7" s="147"/>
      <c r="G7" s="147"/>
      <c r="H7" s="147"/>
      <c r="I7" s="147"/>
      <c r="J7" s="147"/>
    </row>
    <row r="8" spans="1:10" ht="15.75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0" ht="126" x14ac:dyDescent="0.25">
      <c r="A9" s="51" t="s">
        <v>58</v>
      </c>
      <c r="B9" s="52" t="s">
        <v>59</v>
      </c>
      <c r="C9" s="53" t="s">
        <v>96</v>
      </c>
      <c r="D9" s="53" t="s">
        <v>94</v>
      </c>
      <c r="E9" s="53" t="s">
        <v>93</v>
      </c>
      <c r="F9" s="53" t="s">
        <v>92</v>
      </c>
      <c r="G9" s="53" t="s">
        <v>60</v>
      </c>
      <c r="H9" s="35"/>
      <c r="I9" s="35"/>
      <c r="J9" s="35"/>
    </row>
    <row r="10" spans="1:10" ht="15.75" x14ac:dyDescent="0.25">
      <c r="A10" s="54">
        <v>1</v>
      </c>
      <c r="B10" s="54">
        <v>2</v>
      </c>
      <c r="C10" s="54">
        <v>3</v>
      </c>
      <c r="D10" s="54">
        <v>4</v>
      </c>
      <c r="E10" s="54">
        <v>5</v>
      </c>
      <c r="F10" s="54">
        <v>6</v>
      </c>
      <c r="G10" s="54">
        <v>7</v>
      </c>
      <c r="H10" s="35"/>
      <c r="I10" s="35"/>
      <c r="J10" s="35"/>
    </row>
    <row r="11" spans="1:10" ht="15.75" x14ac:dyDescent="0.25">
      <c r="A11" s="43">
        <v>1</v>
      </c>
      <c r="B11" s="46" t="s">
        <v>95</v>
      </c>
      <c r="C11" s="59">
        <v>4</v>
      </c>
      <c r="D11" s="45" t="s">
        <v>62</v>
      </c>
      <c r="E11" s="45">
        <v>1</v>
      </c>
      <c r="F11" s="55">
        <v>1.6</v>
      </c>
      <c r="G11" s="61">
        <f>C11/D13*E11*F11</f>
        <v>0.2</v>
      </c>
      <c r="H11" s="35"/>
      <c r="I11" s="35"/>
      <c r="J11" s="35"/>
    </row>
    <row r="12" spans="1:10" ht="15.75" x14ac:dyDescent="0.25">
      <c r="A12" s="45">
        <v>2</v>
      </c>
      <c r="B12" s="46" t="s">
        <v>98</v>
      </c>
      <c r="C12" s="59">
        <v>28</v>
      </c>
      <c r="D12" s="45" t="s">
        <v>62</v>
      </c>
      <c r="E12" s="45">
        <v>1</v>
      </c>
      <c r="F12" s="45">
        <v>1.32</v>
      </c>
      <c r="G12" s="61">
        <f>C12/D13*E12*F12</f>
        <v>1.1599999999999999</v>
      </c>
      <c r="H12" s="35"/>
      <c r="I12" s="35"/>
      <c r="J12" s="35"/>
    </row>
    <row r="13" spans="1:10" ht="15.75" x14ac:dyDescent="0.25">
      <c r="A13" s="46"/>
      <c r="B13" s="60" t="s">
        <v>99</v>
      </c>
      <c r="C13" s="59"/>
      <c r="D13" s="59">
        <f>C11+C12</f>
        <v>32</v>
      </c>
      <c r="E13" s="45">
        <f>SUM(E11:E12)</f>
        <v>2</v>
      </c>
      <c r="F13" s="46"/>
      <c r="G13" s="61">
        <f>(G11+G12)/E13</f>
        <v>0.68</v>
      </c>
      <c r="H13" s="35"/>
      <c r="I13" s="35"/>
      <c r="J13" s="35"/>
    </row>
    <row r="14" spans="1:10" ht="15.75" x14ac:dyDescent="0.25">
      <c r="A14" s="56" t="s">
        <v>97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5.75" x14ac:dyDescent="0.25">
      <c r="A15" s="35" t="s">
        <v>61</v>
      </c>
      <c r="B15" s="35"/>
      <c r="C15" s="35"/>
      <c r="D15" s="62"/>
      <c r="E15" s="35"/>
      <c r="F15" s="35"/>
      <c r="G15" s="35"/>
      <c r="H15" s="35"/>
      <c r="I15" s="35"/>
      <c r="J15" s="35"/>
    </row>
    <row r="16" spans="1:10" ht="15.75" x14ac:dyDescent="0.25">
      <c r="A16" s="35"/>
      <c r="B16" s="35"/>
      <c r="C16" s="35"/>
      <c r="E16" s="35"/>
      <c r="F16" s="35"/>
      <c r="G16" s="35"/>
      <c r="H16" s="35"/>
      <c r="I16" s="35"/>
      <c r="J16" s="35"/>
    </row>
    <row r="17" spans="1:31" ht="15.75" x14ac:dyDescent="0.25">
      <c r="A17" s="35"/>
      <c r="B17" s="57"/>
      <c r="C17" s="35"/>
      <c r="D17" s="62"/>
      <c r="E17" s="70"/>
      <c r="F17" s="35"/>
      <c r="G17" s="35"/>
      <c r="H17" s="35"/>
      <c r="I17" s="35"/>
      <c r="J17" s="35"/>
      <c r="AE17" s="69" t="s">
        <v>103</v>
      </c>
    </row>
    <row r="18" spans="1:31" ht="15.75" x14ac:dyDescent="0.25">
      <c r="A18" s="35"/>
      <c r="B18" s="57"/>
      <c r="C18" s="35"/>
      <c r="D18" s="62"/>
      <c r="E18" s="70"/>
      <c r="F18" s="35"/>
      <c r="G18" s="35"/>
      <c r="H18" s="35"/>
      <c r="I18" s="35"/>
      <c r="J18" s="35"/>
    </row>
    <row r="19" spans="1:31" ht="15.75" x14ac:dyDescent="0.25">
      <c r="A19" s="35"/>
      <c r="B19" s="35"/>
      <c r="C19" s="35"/>
      <c r="D19" s="48"/>
      <c r="E19" s="35"/>
      <c r="F19" s="35"/>
      <c r="G19" s="35"/>
      <c r="H19" s="35"/>
      <c r="I19" s="35"/>
      <c r="J19" s="35"/>
      <c r="AE19">
        <f>((3/40)*1*2)</f>
        <v>0.15</v>
      </c>
    </row>
    <row r="20" spans="1:31" ht="15.75" x14ac:dyDescent="0.25">
      <c r="A20" s="35"/>
      <c r="B20" s="35"/>
      <c r="C20" s="35"/>
      <c r="D20" s="58"/>
      <c r="E20" s="35"/>
      <c r="F20" s="35"/>
      <c r="G20" s="35"/>
      <c r="H20" s="35"/>
      <c r="I20" s="35"/>
      <c r="J20" s="35"/>
    </row>
    <row r="21" spans="1:31" ht="15.75" x14ac:dyDescent="0.25">
      <c r="A21" s="35"/>
      <c r="B21" s="57"/>
      <c r="C21" s="35"/>
      <c r="D21" s="71"/>
      <c r="E21" s="35"/>
      <c r="F21" s="35"/>
      <c r="G21" s="35"/>
      <c r="H21" s="35"/>
      <c r="I21" s="35"/>
      <c r="J21" s="35"/>
      <c r="AE21" s="67">
        <f>5/40*1*1.85</f>
        <v>0.23100000000000001</v>
      </c>
    </row>
    <row r="22" spans="1:31" ht="15.75" x14ac:dyDescent="0.25">
      <c r="A22" s="35"/>
      <c r="B22" s="57"/>
      <c r="C22" s="35"/>
      <c r="D22" s="71"/>
      <c r="E22" s="35"/>
      <c r="F22" s="35"/>
      <c r="G22" s="35"/>
      <c r="H22" s="35"/>
      <c r="I22" s="35"/>
      <c r="J22" s="35"/>
    </row>
    <row r="23" spans="1:31" ht="15.75" x14ac:dyDescent="0.25">
      <c r="B23" s="35"/>
      <c r="C23" s="35"/>
      <c r="D23" s="35"/>
      <c r="E23" s="35"/>
      <c r="F23" s="35"/>
      <c r="G23" s="35"/>
      <c r="H23" s="35"/>
      <c r="I23" s="35"/>
      <c r="J23" s="35"/>
    </row>
    <row r="24" spans="1:31" ht="15.75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AE24">
        <f>18/40*2*1.8</f>
        <v>1.62</v>
      </c>
    </row>
    <row r="25" spans="1:31" ht="15.75" x14ac:dyDescent="0.25">
      <c r="A25" s="114" t="s">
        <v>63</v>
      </c>
      <c r="B25" s="114"/>
      <c r="C25" s="114"/>
      <c r="D25" s="114"/>
      <c r="E25" s="114"/>
      <c r="F25" s="114"/>
      <c r="G25" s="114"/>
      <c r="H25" s="114"/>
      <c r="I25" s="114"/>
      <c r="J25" s="114"/>
    </row>
    <row r="26" spans="1:31" ht="15.75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AE26">
        <f>22/40*2*1</f>
        <v>1.1000000000000001</v>
      </c>
    </row>
    <row r="27" spans="1:31" ht="110.25" x14ac:dyDescent="0.25">
      <c r="A27" s="53" t="s">
        <v>101</v>
      </c>
      <c r="B27" s="52" t="s">
        <v>64</v>
      </c>
      <c r="C27" s="53" t="s">
        <v>65</v>
      </c>
      <c r="D27" s="52" t="s">
        <v>66</v>
      </c>
      <c r="E27" s="52" t="s">
        <v>67</v>
      </c>
      <c r="F27" s="52" t="s">
        <v>82</v>
      </c>
      <c r="G27" s="53" t="s">
        <v>83</v>
      </c>
      <c r="H27" s="52" t="s">
        <v>84</v>
      </c>
      <c r="I27" s="52" t="s">
        <v>85</v>
      </c>
      <c r="J27" s="53" t="s">
        <v>86</v>
      </c>
      <c r="AE27" s="68">
        <f>40/40*1*0.9</f>
        <v>0.9</v>
      </c>
    </row>
    <row r="28" spans="1:31" ht="15.75" x14ac:dyDescent="0.25">
      <c r="A28" s="54">
        <v>1</v>
      </c>
      <c r="B28" s="54">
        <v>2</v>
      </c>
      <c r="C28" s="54">
        <v>3</v>
      </c>
      <c r="D28" s="54">
        <v>4</v>
      </c>
      <c r="E28" s="54">
        <v>5</v>
      </c>
      <c r="F28" s="54">
        <v>6</v>
      </c>
      <c r="G28" s="54">
        <v>7</v>
      </c>
      <c r="H28" s="54">
        <v>8</v>
      </c>
      <c r="I28" s="54">
        <v>9</v>
      </c>
      <c r="J28" s="54">
        <v>10</v>
      </c>
      <c r="AE28" s="67">
        <f>27/40*1*0.65</f>
        <v>0.439</v>
      </c>
    </row>
    <row r="29" spans="1:31" ht="15.75" x14ac:dyDescent="0.25">
      <c r="A29" s="66">
        <v>108868</v>
      </c>
      <c r="B29" s="55">
        <f>247/12</f>
        <v>20.58</v>
      </c>
      <c r="C29" s="72">
        <f>A29/B29</f>
        <v>5289.99</v>
      </c>
      <c r="D29" s="63">
        <v>0.40060000000000001</v>
      </c>
      <c r="E29" s="63">
        <v>0.1</v>
      </c>
      <c r="F29" s="64">
        <f>(C29*(1+E29))/D29</f>
        <v>14525.68</v>
      </c>
      <c r="G29" s="65">
        <f>D13</f>
        <v>32</v>
      </c>
      <c r="H29" s="50">
        <f>E13</f>
        <v>2</v>
      </c>
      <c r="I29" s="64">
        <f>G13</f>
        <v>0.68</v>
      </c>
      <c r="J29" s="83">
        <f>F29*G29*H29*I29</f>
        <v>632157.59</v>
      </c>
    </row>
    <row r="30" spans="1:31" ht="15.75" x14ac:dyDescent="0.25">
      <c r="A30" s="86"/>
      <c r="B30" s="87"/>
      <c r="C30" s="88"/>
      <c r="D30" s="89"/>
      <c r="E30" s="89"/>
      <c r="F30" s="90"/>
      <c r="G30" s="148"/>
      <c r="H30" s="148"/>
      <c r="I30" s="148"/>
      <c r="J30" s="85"/>
    </row>
    <row r="31" spans="1:31" ht="15.75" x14ac:dyDescent="0.25">
      <c r="A31" s="86"/>
      <c r="B31" s="87"/>
      <c r="C31" s="88"/>
      <c r="D31" s="89"/>
      <c r="E31" s="89"/>
      <c r="F31" s="90"/>
      <c r="G31" s="148"/>
      <c r="H31" s="148"/>
      <c r="I31" s="148"/>
      <c r="J31" s="85"/>
    </row>
    <row r="32" spans="1:31" ht="15.75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</row>
    <row r="33" spans="1:10" ht="15.75" x14ac:dyDescent="0.25">
      <c r="A33" s="35" t="s">
        <v>87</v>
      </c>
      <c r="B33" s="35" t="s">
        <v>88</v>
      </c>
      <c r="C33" s="35"/>
      <c r="D33" s="35"/>
      <c r="E33" s="35"/>
      <c r="F33" s="35"/>
      <c r="G33" s="35"/>
      <c r="H33" s="35"/>
      <c r="I33" s="35"/>
      <c r="J33" s="35"/>
    </row>
    <row r="34" spans="1:10" ht="159" customHeight="1" x14ac:dyDescent="0.25">
      <c r="A34" s="142" t="s">
        <v>89</v>
      </c>
      <c r="B34" s="142"/>
      <c r="C34" s="142"/>
      <c r="D34" s="142"/>
      <c r="E34" s="142"/>
      <c r="F34" s="142"/>
      <c r="G34" s="142"/>
      <c r="H34" s="142"/>
      <c r="I34" s="142"/>
      <c r="J34" s="142"/>
    </row>
    <row r="35" spans="1:10" ht="23.25" customHeight="1" x14ac:dyDescent="0.25">
      <c r="A35" s="146" t="s">
        <v>102</v>
      </c>
      <c r="B35" s="146"/>
      <c r="C35" s="146"/>
      <c r="D35" s="146"/>
      <c r="E35" s="146"/>
      <c r="F35" s="146"/>
      <c r="G35" s="146"/>
      <c r="H35" s="146"/>
      <c r="I35" s="146"/>
      <c r="J35" s="146"/>
    </row>
    <row r="36" spans="1:10" ht="41.25" customHeight="1" x14ac:dyDescent="0.25">
      <c r="A36" s="146" t="s">
        <v>90</v>
      </c>
      <c r="B36" s="146"/>
      <c r="C36" s="146"/>
      <c r="D36" s="146"/>
      <c r="E36" s="146"/>
      <c r="F36" s="146"/>
      <c r="G36" s="146"/>
      <c r="H36" s="146"/>
      <c r="I36" s="146"/>
      <c r="J36" s="146"/>
    </row>
    <row r="37" spans="1:10" ht="15.75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</row>
    <row r="38" spans="1:10" ht="15.75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</row>
    <row r="39" spans="1:10" ht="15.75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</row>
    <row r="40" spans="1:10" ht="15.75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</row>
    <row r="41" spans="1:10" ht="15.75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</row>
    <row r="42" spans="1:10" ht="15.75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</row>
    <row r="43" spans="1:10" ht="15.75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</row>
    <row r="44" spans="1:10" ht="15.75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</row>
    <row r="45" spans="1:10" ht="15.75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ht="15.75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</row>
    <row r="47" spans="1:10" ht="15.75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</row>
    <row r="48" spans="1:10" ht="15.75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</row>
    <row r="49" spans="1:10" ht="15.75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</row>
    <row r="50" spans="1:10" ht="15.75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</row>
    <row r="51" spans="1:10" ht="15.75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</row>
    <row r="52" spans="1:10" ht="15.75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35"/>
    </row>
    <row r="53" spans="1:10" ht="15.75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5"/>
    </row>
    <row r="54" spans="1:10" ht="15.75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</row>
    <row r="55" spans="1:10" ht="15.75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ht="15.75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</row>
    <row r="57" spans="1:10" ht="15.75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</row>
    <row r="58" spans="1:10" ht="15.75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</row>
    <row r="59" spans="1:10" ht="15.75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</row>
    <row r="60" spans="1:10" ht="15.75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</row>
    <row r="61" spans="1:10" ht="15.75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35"/>
    </row>
    <row r="62" spans="1:10" ht="15.75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35"/>
    </row>
    <row r="63" spans="1:10" ht="15.75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35"/>
    </row>
    <row r="64" spans="1:10" ht="15.75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.75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ht="15.75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</row>
    <row r="67" spans="1:10" ht="15.75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35"/>
    </row>
    <row r="68" spans="1:10" ht="15.75" x14ac:dyDescent="0.25">
      <c r="A68" s="35"/>
      <c r="B68" s="35"/>
      <c r="C68" s="35"/>
      <c r="D68" s="35"/>
      <c r="E68" s="35"/>
      <c r="F68" s="35"/>
      <c r="G68" s="35"/>
      <c r="H68" s="35"/>
      <c r="I68" s="35"/>
      <c r="J68" s="35"/>
    </row>
    <row r="69" spans="1:10" ht="15.75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</row>
    <row r="70" spans="1:10" ht="15.75" x14ac:dyDescent="0.25">
      <c r="A70" s="35"/>
      <c r="B70" s="35"/>
      <c r="C70" s="35"/>
      <c r="D70" s="35"/>
      <c r="E70" s="35"/>
      <c r="F70" s="35"/>
      <c r="G70" s="35"/>
      <c r="H70" s="35"/>
      <c r="I70" s="35"/>
      <c r="J70" s="35"/>
    </row>
    <row r="71" spans="1:10" ht="15.75" x14ac:dyDescent="0.25">
      <c r="A71" s="35"/>
      <c r="B71" s="35"/>
      <c r="C71" s="35"/>
      <c r="D71" s="35"/>
      <c r="E71" s="35"/>
      <c r="F71" s="35"/>
      <c r="G71" s="35"/>
      <c r="H71" s="35"/>
      <c r="I71" s="35"/>
      <c r="J71" s="35"/>
    </row>
    <row r="72" spans="1:10" ht="15.75" x14ac:dyDescent="0.25">
      <c r="A72" s="35"/>
      <c r="B72" s="35"/>
      <c r="C72" s="35"/>
      <c r="D72" s="35"/>
      <c r="E72" s="35"/>
      <c r="F72" s="35"/>
      <c r="G72" s="35"/>
      <c r="H72" s="35"/>
      <c r="I72" s="35"/>
      <c r="J72" s="35"/>
    </row>
    <row r="73" spans="1:10" ht="15.75" x14ac:dyDescent="0.25">
      <c r="A73" s="35"/>
      <c r="B73" s="35"/>
      <c r="C73" s="35"/>
      <c r="D73" s="35"/>
      <c r="E73" s="35"/>
      <c r="F73" s="35"/>
      <c r="G73" s="35"/>
      <c r="H73" s="35"/>
      <c r="I73" s="35"/>
      <c r="J73" s="35"/>
    </row>
    <row r="74" spans="1:10" ht="15.75" x14ac:dyDescent="0.25">
      <c r="A74" s="35"/>
      <c r="B74" s="35"/>
      <c r="C74" s="35"/>
      <c r="D74" s="35"/>
      <c r="E74" s="35"/>
      <c r="F74" s="35"/>
      <c r="G74" s="35"/>
      <c r="H74" s="35"/>
      <c r="I74" s="35"/>
      <c r="J74" s="35"/>
    </row>
    <row r="75" spans="1:10" ht="15.75" x14ac:dyDescent="0.25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ht="15.75" x14ac:dyDescent="0.25">
      <c r="A76" s="35"/>
      <c r="B76" s="35"/>
      <c r="C76" s="35"/>
      <c r="D76" s="35"/>
      <c r="E76" s="35"/>
      <c r="F76" s="35"/>
      <c r="G76" s="35"/>
      <c r="H76" s="35"/>
      <c r="I76" s="35"/>
      <c r="J76" s="35"/>
    </row>
    <row r="77" spans="1:10" ht="15.75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</row>
    <row r="78" spans="1:10" ht="15.75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</row>
    <row r="79" spans="1:10" ht="15.75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</row>
    <row r="80" spans="1:10" ht="15.75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</row>
    <row r="81" spans="1:10" ht="15.75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</row>
    <row r="82" spans="1:10" ht="15.75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</row>
    <row r="83" spans="1:10" ht="15.75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</row>
    <row r="84" spans="1:10" ht="15.75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</row>
    <row r="85" spans="1:10" ht="15.75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</row>
    <row r="86" spans="1:10" ht="15.75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</row>
    <row r="87" spans="1:10" ht="15.75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</row>
    <row r="88" spans="1:10" ht="15.75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</row>
    <row r="89" spans="1:10" ht="15.75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</row>
    <row r="90" spans="1:10" ht="15.75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</row>
    <row r="91" spans="1:10" ht="15.75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</row>
    <row r="92" spans="1:10" ht="15.75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</row>
    <row r="93" spans="1:10" ht="15.75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</row>
    <row r="94" spans="1:10" ht="15.75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</row>
    <row r="95" spans="1:10" ht="15.75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</row>
    <row r="96" spans="1:10" ht="15.75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</row>
    <row r="97" spans="1:10" ht="15.75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</row>
    <row r="98" spans="1:10" ht="15.75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</row>
    <row r="99" spans="1:10" ht="15.75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</row>
    <row r="100" spans="1:10" ht="15.75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</row>
    <row r="101" spans="1:10" ht="15.75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</row>
    <row r="102" spans="1:10" ht="15.75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</row>
    <row r="103" spans="1:10" ht="15.75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</row>
    <row r="104" spans="1:10" ht="15.75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</row>
    <row r="105" spans="1:10" ht="15.75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15.75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</row>
    <row r="107" spans="1:10" ht="15.75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</row>
    <row r="108" spans="1:10" ht="15.75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</row>
    <row r="109" spans="1:10" ht="15.75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</row>
    <row r="110" spans="1:10" ht="15.75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</row>
    <row r="111" spans="1:10" ht="15.75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</row>
    <row r="112" spans="1:10" ht="15.75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</row>
    <row r="113" spans="1:10" ht="15.75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</row>
    <row r="114" spans="1:10" ht="15.75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</row>
    <row r="115" spans="1:10" ht="15.75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</row>
    <row r="116" spans="1:10" ht="15.75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</row>
    <row r="117" spans="1:10" ht="15.75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</row>
    <row r="118" spans="1:10" ht="15.75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</row>
    <row r="119" spans="1:10" ht="15.75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</row>
    <row r="120" spans="1:10" ht="15.75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</row>
    <row r="121" spans="1:10" ht="15.75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</row>
    <row r="122" spans="1:10" ht="15.75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</row>
    <row r="123" spans="1:10" ht="15.75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</row>
    <row r="124" spans="1:10" ht="15.75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</row>
    <row r="125" spans="1:10" ht="15.75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</row>
    <row r="126" spans="1:10" ht="15.75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</row>
    <row r="127" spans="1:10" ht="15.75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</row>
    <row r="128" spans="1:10" ht="15.75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</row>
    <row r="129" spans="1:10" ht="15.75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</row>
    <row r="130" spans="1:10" ht="15.75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</row>
    <row r="131" spans="1:10" ht="15.75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</row>
    <row r="132" spans="1:10" ht="15.75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</row>
    <row r="133" spans="1:10" ht="15.75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</row>
    <row r="134" spans="1:10" ht="15.75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</row>
    <row r="135" spans="1:10" ht="15.75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</row>
    <row r="136" spans="1:10" ht="15.75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</row>
    <row r="137" spans="1:10" ht="15.75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</row>
    <row r="138" spans="1:10" ht="15.75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</row>
    <row r="139" spans="1:10" ht="15.75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</row>
    <row r="140" spans="1:10" ht="15.75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</row>
    <row r="141" spans="1:10" ht="15.75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</row>
    <row r="142" spans="1:10" ht="15.75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</row>
    <row r="143" spans="1:10" ht="15.75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</row>
    <row r="144" spans="1:10" ht="15.75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</row>
    <row r="145" spans="1:10" ht="15.75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</row>
    <row r="146" spans="1:10" ht="15.75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</row>
    <row r="147" spans="1:10" ht="15.75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</row>
    <row r="148" spans="1:10" ht="15.75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</row>
    <row r="149" spans="1:10" ht="15.75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</row>
    <row r="150" spans="1:10" ht="15.75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</row>
    <row r="151" spans="1:10" ht="15.75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</row>
    <row r="152" spans="1:10" ht="15.75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</row>
    <row r="153" spans="1:10" ht="15.75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</row>
    <row r="154" spans="1:10" ht="15.75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</row>
    <row r="155" spans="1:10" ht="15.75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</row>
    <row r="156" spans="1:10" ht="15.75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</row>
    <row r="157" spans="1:10" ht="15.75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</row>
    <row r="158" spans="1:10" ht="15.75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</row>
    <row r="159" spans="1:10" ht="15.75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</row>
    <row r="160" spans="1:10" ht="15.75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</row>
    <row r="161" spans="1:10" ht="15.75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</row>
    <row r="162" spans="1:10" ht="15.75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</row>
    <row r="163" spans="1:10" ht="15.75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</row>
    <row r="164" spans="1:10" ht="15.75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</row>
    <row r="165" spans="1:10" ht="15.75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</row>
    <row r="166" spans="1:10" ht="15.75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</row>
    <row r="167" spans="1:10" ht="15.75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</row>
    <row r="168" spans="1:10" ht="15.75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</row>
    <row r="169" spans="1:10" ht="15.75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</row>
    <row r="170" spans="1:10" ht="15.75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</row>
    <row r="171" spans="1:10" ht="15.75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</row>
    <row r="172" spans="1:10" ht="15.75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</row>
    <row r="173" spans="1:10" ht="15.75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</row>
    <row r="174" spans="1:10" ht="15.75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</row>
    <row r="175" spans="1:10" ht="15.75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</row>
    <row r="176" spans="1:10" ht="15.75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</row>
    <row r="177" spans="1:10" ht="15.75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</row>
    <row r="178" spans="1:10" ht="15.75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</row>
    <row r="179" spans="1:10" ht="15.75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</row>
    <row r="180" spans="1:10" ht="15.75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</row>
    <row r="181" spans="1:10" ht="15.75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</row>
    <row r="182" spans="1:10" ht="15.75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</row>
    <row r="183" spans="1:10" ht="15.75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</row>
    <row r="184" spans="1:10" ht="15.75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</row>
    <row r="185" spans="1:10" ht="15.75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</row>
    <row r="186" spans="1:10" ht="15.75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</row>
    <row r="187" spans="1:10" ht="15.75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</row>
    <row r="188" spans="1:10" ht="15.75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</row>
    <row r="189" spans="1:10" ht="15.75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</row>
    <row r="190" spans="1:10" ht="15.75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</row>
    <row r="191" spans="1:10" ht="15.75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</row>
    <row r="192" spans="1:10" ht="15.75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</row>
    <row r="193" spans="1:10" ht="15.75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</row>
    <row r="194" spans="1:10" ht="15.75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</row>
    <row r="195" spans="1:10" ht="15.75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</row>
    <row r="196" spans="1:10" ht="15.75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</row>
    <row r="197" spans="1:10" ht="15.75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</row>
    <row r="198" spans="1:10" ht="15.75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</row>
    <row r="199" spans="1:10" ht="15.75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</row>
    <row r="200" spans="1:10" ht="15.75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</row>
    <row r="201" spans="1:10" ht="15.75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</row>
    <row r="202" spans="1:10" ht="15.75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</row>
    <row r="203" spans="1:10" ht="15.75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</row>
    <row r="204" spans="1:10" ht="15.75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</row>
    <row r="205" spans="1:10" ht="15.75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</row>
    <row r="206" spans="1:10" ht="15.75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</row>
    <row r="207" spans="1:10" ht="15.75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</row>
    <row r="208" spans="1:10" ht="15.75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</row>
    <row r="209" spans="1:10" ht="15.75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</row>
    <row r="210" spans="1:10" ht="15.75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</row>
    <row r="211" spans="1:10" ht="15.75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</row>
    <row r="212" spans="1:10" ht="15.75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</row>
    <row r="213" spans="1:10" ht="15.75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</row>
    <row r="214" spans="1:10" ht="15.75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</row>
    <row r="215" spans="1:10" ht="15.75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</row>
  </sheetData>
  <mergeCells count="15">
    <mergeCell ref="A34:J34"/>
    <mergeCell ref="A35:J35"/>
    <mergeCell ref="A36:J36"/>
    <mergeCell ref="A5:B5"/>
    <mergeCell ref="A6:J6"/>
    <mergeCell ref="A7:J7"/>
    <mergeCell ref="A25:J25"/>
    <mergeCell ref="G30:I30"/>
    <mergeCell ref="G31:I31"/>
    <mergeCell ref="A4:B4"/>
    <mergeCell ref="A1:J1"/>
    <mergeCell ref="A2:B2"/>
    <mergeCell ref="C2:J2"/>
    <mergeCell ref="A3:B3"/>
    <mergeCell ref="C3:D3"/>
  </mergeCells>
  <pageMargins left="0.7" right="0.7" top="0.75" bottom="0.75" header="0.3" footer="0.3"/>
  <pageSetup paperSize="9" scale="65" fitToHeight="0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15"/>
  <sheetViews>
    <sheetView workbookViewId="0">
      <selection activeCell="C20" sqref="C20"/>
    </sheetView>
  </sheetViews>
  <sheetFormatPr defaultRowHeight="15" x14ac:dyDescent="0.25"/>
  <cols>
    <col min="1" max="1" width="12.85546875" customWidth="1"/>
    <col min="2" max="2" width="27.85546875" customWidth="1"/>
    <col min="3" max="3" width="19.28515625" customWidth="1"/>
    <col min="4" max="4" width="22.28515625" customWidth="1"/>
    <col min="5" max="5" width="21.5703125" customWidth="1"/>
    <col min="6" max="6" width="23" customWidth="1"/>
    <col min="7" max="7" width="23.42578125" customWidth="1"/>
    <col min="8" max="8" width="15.42578125" customWidth="1"/>
    <col min="9" max="9" width="16.85546875" customWidth="1"/>
    <col min="10" max="10" width="17.42578125" customWidth="1"/>
  </cols>
  <sheetData>
    <row r="1" spans="1:10" ht="39" customHeight="1" x14ac:dyDescent="0.3">
      <c r="A1" s="143" t="s">
        <v>68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54" customHeight="1" x14ac:dyDescent="0.25">
      <c r="A2" s="142" t="s">
        <v>69</v>
      </c>
      <c r="B2" s="142"/>
      <c r="C2" s="144" t="s">
        <v>52</v>
      </c>
      <c r="D2" s="144"/>
      <c r="E2" s="144"/>
      <c r="F2" s="144"/>
      <c r="G2" s="144"/>
      <c r="H2" s="144"/>
      <c r="I2" s="144"/>
      <c r="J2" s="144"/>
    </row>
    <row r="3" spans="1:10" ht="29.25" customHeight="1" x14ac:dyDescent="0.25">
      <c r="A3" s="144" t="s">
        <v>70</v>
      </c>
      <c r="B3" s="144"/>
      <c r="C3" s="145" t="s">
        <v>100</v>
      </c>
      <c r="D3" s="145"/>
      <c r="E3" s="42"/>
      <c r="F3" s="42"/>
      <c r="G3" s="42"/>
      <c r="H3" s="35"/>
      <c r="I3" s="35"/>
      <c r="J3" s="35"/>
    </row>
    <row r="4" spans="1:10" ht="24" customHeight="1" x14ac:dyDescent="0.25">
      <c r="A4" s="142" t="s">
        <v>71</v>
      </c>
      <c r="B4" s="142"/>
      <c r="C4" s="42"/>
      <c r="D4" s="42"/>
      <c r="E4" s="42"/>
      <c r="F4" s="42"/>
      <c r="G4" s="42"/>
      <c r="H4" s="35"/>
      <c r="I4" s="35"/>
      <c r="J4" s="35"/>
    </row>
    <row r="5" spans="1:10" ht="23.25" customHeight="1" x14ac:dyDescent="0.25">
      <c r="A5" s="144" t="s">
        <v>72</v>
      </c>
      <c r="B5" s="144"/>
      <c r="C5" s="100" t="s">
        <v>105</v>
      </c>
      <c r="D5" s="42"/>
      <c r="E5" s="42"/>
      <c r="F5" s="42"/>
      <c r="G5" s="42"/>
      <c r="H5" s="35"/>
      <c r="I5" s="35"/>
      <c r="J5" s="35"/>
    </row>
    <row r="6" spans="1:10" ht="39" customHeight="1" x14ac:dyDescent="0.25">
      <c r="A6" s="142" t="s">
        <v>91</v>
      </c>
      <c r="B6" s="142"/>
      <c r="C6" s="142"/>
      <c r="D6" s="142"/>
      <c r="E6" s="142"/>
      <c r="F6" s="142"/>
      <c r="G6" s="142"/>
      <c r="H6" s="142"/>
      <c r="I6" s="142"/>
      <c r="J6" s="142"/>
    </row>
    <row r="7" spans="1:10" ht="33.75" customHeight="1" x14ac:dyDescent="0.25">
      <c r="A7" s="147" t="s">
        <v>57</v>
      </c>
      <c r="B7" s="147"/>
      <c r="C7" s="147"/>
      <c r="D7" s="147"/>
      <c r="E7" s="147"/>
      <c r="F7" s="147"/>
      <c r="G7" s="147"/>
      <c r="H7" s="147"/>
      <c r="I7" s="147"/>
      <c r="J7" s="147"/>
    </row>
    <row r="8" spans="1:10" ht="15.75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0" ht="126" x14ac:dyDescent="0.25">
      <c r="A9" s="51" t="s">
        <v>58</v>
      </c>
      <c r="B9" s="52" t="s">
        <v>59</v>
      </c>
      <c r="C9" s="53" t="s">
        <v>96</v>
      </c>
      <c r="D9" s="53" t="s">
        <v>94</v>
      </c>
      <c r="E9" s="53" t="s">
        <v>93</v>
      </c>
      <c r="F9" s="53" t="s">
        <v>92</v>
      </c>
      <c r="G9" s="53" t="s">
        <v>60</v>
      </c>
      <c r="H9" s="35"/>
      <c r="I9" s="35"/>
      <c r="J9" s="35"/>
    </row>
    <row r="10" spans="1:10" ht="15.75" x14ac:dyDescent="0.25">
      <c r="A10" s="54">
        <v>1</v>
      </c>
      <c r="B10" s="54">
        <v>2</v>
      </c>
      <c r="C10" s="54">
        <v>3</v>
      </c>
      <c r="D10" s="54">
        <v>4</v>
      </c>
      <c r="E10" s="54">
        <v>5</v>
      </c>
      <c r="F10" s="54">
        <v>6</v>
      </c>
      <c r="G10" s="54">
        <v>7</v>
      </c>
      <c r="H10" s="35"/>
      <c r="I10" s="35"/>
      <c r="J10" s="35"/>
    </row>
    <row r="11" spans="1:10" ht="15.75" x14ac:dyDescent="0.25">
      <c r="A11" s="43">
        <v>1</v>
      </c>
      <c r="B11" s="46" t="s">
        <v>95</v>
      </c>
      <c r="C11" s="59">
        <v>46</v>
      </c>
      <c r="D11" s="45" t="s">
        <v>62</v>
      </c>
      <c r="E11" s="45">
        <v>1</v>
      </c>
      <c r="F11" s="55">
        <v>1.6</v>
      </c>
      <c r="G11" s="61">
        <f>C11/D13*E11*F11</f>
        <v>0.5</v>
      </c>
      <c r="H11" s="35"/>
      <c r="I11" s="35"/>
      <c r="J11" s="35"/>
    </row>
    <row r="12" spans="1:10" ht="15.75" x14ac:dyDescent="0.25">
      <c r="A12" s="45">
        <v>2</v>
      </c>
      <c r="B12" s="46" t="s">
        <v>98</v>
      </c>
      <c r="C12" s="59">
        <v>100</v>
      </c>
      <c r="D12" s="45" t="s">
        <v>62</v>
      </c>
      <c r="E12" s="45">
        <v>1</v>
      </c>
      <c r="F12" s="45">
        <v>1.32</v>
      </c>
      <c r="G12" s="61">
        <f>C12/D13*E12*F12</f>
        <v>0.9</v>
      </c>
      <c r="H12" s="35"/>
      <c r="I12" s="35"/>
      <c r="J12" s="35"/>
    </row>
    <row r="13" spans="1:10" ht="15.75" x14ac:dyDescent="0.25">
      <c r="A13" s="46"/>
      <c r="B13" s="60" t="s">
        <v>99</v>
      </c>
      <c r="C13" s="59"/>
      <c r="D13" s="59">
        <f>C11+C12</f>
        <v>146</v>
      </c>
      <c r="E13" s="45">
        <f>SUM(E11:E12)</f>
        <v>2</v>
      </c>
      <c r="F13" s="46"/>
      <c r="G13" s="61">
        <f>(G11+G12)/E13</f>
        <v>0.7</v>
      </c>
      <c r="H13" s="35"/>
      <c r="I13" s="35"/>
      <c r="J13" s="35"/>
    </row>
    <row r="14" spans="1:10" ht="15.75" x14ac:dyDescent="0.25">
      <c r="A14" s="56" t="s">
        <v>97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5.75" x14ac:dyDescent="0.25">
      <c r="A15" s="35"/>
      <c r="B15" s="35"/>
      <c r="C15" s="35"/>
      <c r="D15" s="62"/>
      <c r="E15" s="35"/>
      <c r="F15" s="35"/>
      <c r="G15" s="35"/>
      <c r="H15" s="35"/>
      <c r="I15" s="35"/>
      <c r="J15" s="35"/>
    </row>
    <row r="16" spans="1:10" ht="15.75" x14ac:dyDescent="0.25">
      <c r="A16" s="35" t="s">
        <v>61</v>
      </c>
      <c r="B16" s="35"/>
      <c r="C16" s="35"/>
      <c r="D16" s="35"/>
      <c r="E16" s="35"/>
      <c r="F16" s="35"/>
      <c r="G16" s="35"/>
      <c r="H16" s="35"/>
      <c r="I16" s="35"/>
      <c r="J16" s="35"/>
    </row>
    <row r="17" spans="1:31" ht="15.75" x14ac:dyDescent="0.25">
      <c r="A17" s="35"/>
      <c r="B17" s="57"/>
      <c r="C17" s="35"/>
      <c r="D17" s="62"/>
      <c r="E17" s="70"/>
      <c r="F17" s="35"/>
      <c r="G17" s="35"/>
      <c r="H17" s="35"/>
      <c r="I17" s="35"/>
      <c r="J17" s="35"/>
      <c r="AE17" s="69" t="s">
        <v>103</v>
      </c>
    </row>
    <row r="18" spans="1:31" ht="15.75" x14ac:dyDescent="0.25">
      <c r="A18" s="35"/>
      <c r="B18" s="57"/>
      <c r="C18" s="35"/>
      <c r="D18" s="62"/>
      <c r="E18" s="70"/>
      <c r="F18" s="35"/>
      <c r="G18" s="35"/>
      <c r="H18" s="35"/>
      <c r="I18" s="35"/>
      <c r="J18" s="35"/>
    </row>
    <row r="19" spans="1:31" ht="15.75" x14ac:dyDescent="0.25">
      <c r="A19" s="35"/>
      <c r="B19" s="35"/>
      <c r="C19" s="35"/>
      <c r="D19" s="48"/>
      <c r="E19" s="35"/>
      <c r="F19" s="35"/>
      <c r="G19" s="35"/>
      <c r="H19" s="35"/>
      <c r="I19" s="35"/>
      <c r="J19" s="35"/>
      <c r="AE19">
        <f>((3/40)*1*2)</f>
        <v>0.15</v>
      </c>
    </row>
    <row r="20" spans="1:31" ht="15.75" x14ac:dyDescent="0.25">
      <c r="A20" s="35"/>
      <c r="B20" s="35"/>
      <c r="C20" s="35"/>
      <c r="D20" s="58"/>
      <c r="E20" s="35"/>
      <c r="F20" s="35"/>
      <c r="G20" s="35"/>
      <c r="H20" s="35"/>
      <c r="I20" s="35"/>
      <c r="J20" s="35"/>
    </row>
    <row r="21" spans="1:31" ht="15.75" x14ac:dyDescent="0.25">
      <c r="A21" s="35"/>
      <c r="B21" s="57"/>
      <c r="C21" s="35"/>
      <c r="D21" s="71"/>
      <c r="E21" s="35"/>
      <c r="F21" s="35"/>
      <c r="G21" s="35"/>
      <c r="H21" s="35"/>
      <c r="I21" s="35"/>
      <c r="J21" s="35"/>
      <c r="AE21" s="67">
        <f>5/40*1*1.85</f>
        <v>0.23100000000000001</v>
      </c>
    </row>
    <row r="22" spans="1:31" ht="15.75" x14ac:dyDescent="0.25">
      <c r="A22" s="35"/>
      <c r="B22" s="57"/>
      <c r="C22" s="35"/>
      <c r="D22" s="71"/>
      <c r="E22" s="35"/>
      <c r="F22" s="35"/>
      <c r="G22" s="35"/>
      <c r="H22" s="35"/>
      <c r="I22" s="35"/>
      <c r="J22" s="35"/>
    </row>
    <row r="23" spans="1:31" ht="15.75" x14ac:dyDescent="0.25">
      <c r="F23" s="35"/>
      <c r="G23" s="35"/>
      <c r="H23" s="35"/>
      <c r="I23" s="35"/>
      <c r="J23" s="35"/>
    </row>
    <row r="24" spans="1:31" ht="15.75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AE24">
        <f>18/40*2*1.8</f>
        <v>1.62</v>
      </c>
    </row>
    <row r="25" spans="1:31" ht="15.75" x14ac:dyDescent="0.25">
      <c r="A25" s="114" t="s">
        <v>63</v>
      </c>
      <c r="B25" s="114"/>
      <c r="C25" s="114"/>
      <c r="D25" s="114"/>
      <c r="E25" s="114"/>
      <c r="F25" s="114"/>
      <c r="G25" s="114"/>
      <c r="H25" s="114"/>
      <c r="I25" s="114"/>
      <c r="J25" s="114"/>
    </row>
    <row r="26" spans="1:31" ht="15.75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AE26">
        <f>22/40*2*1</f>
        <v>1.1000000000000001</v>
      </c>
    </row>
    <row r="27" spans="1:31" ht="110.25" x14ac:dyDescent="0.25">
      <c r="A27" s="53" t="s">
        <v>101</v>
      </c>
      <c r="B27" s="52" t="s">
        <v>64</v>
      </c>
      <c r="C27" s="53" t="s">
        <v>65</v>
      </c>
      <c r="D27" s="52" t="s">
        <v>66</v>
      </c>
      <c r="E27" s="52" t="s">
        <v>67</v>
      </c>
      <c r="F27" s="52" t="s">
        <v>82</v>
      </c>
      <c r="G27" s="53" t="s">
        <v>83</v>
      </c>
      <c r="H27" s="52" t="s">
        <v>84</v>
      </c>
      <c r="I27" s="52" t="s">
        <v>85</v>
      </c>
      <c r="J27" s="53" t="s">
        <v>86</v>
      </c>
      <c r="AE27" s="68">
        <f>40/40*1*0.9</f>
        <v>0.9</v>
      </c>
    </row>
    <row r="28" spans="1:31" ht="15.75" x14ac:dyDescent="0.25">
      <c r="A28" s="54">
        <v>1</v>
      </c>
      <c r="B28" s="54">
        <v>2</v>
      </c>
      <c r="C28" s="54">
        <v>3</v>
      </c>
      <c r="D28" s="54">
        <v>4</v>
      </c>
      <c r="E28" s="54">
        <v>5</v>
      </c>
      <c r="F28" s="54">
        <v>6</v>
      </c>
      <c r="G28" s="54">
        <v>7</v>
      </c>
      <c r="H28" s="54">
        <v>8</v>
      </c>
      <c r="I28" s="54">
        <v>9</v>
      </c>
      <c r="J28" s="54">
        <v>10</v>
      </c>
      <c r="AE28" s="67">
        <f>27/40*1*0.65</f>
        <v>0.439</v>
      </c>
    </row>
    <row r="29" spans="1:31" ht="15.75" x14ac:dyDescent="0.25">
      <c r="A29" s="66">
        <v>108868</v>
      </c>
      <c r="B29" s="55">
        <f>247/12</f>
        <v>20.58</v>
      </c>
      <c r="C29" s="72">
        <f>A29/B29</f>
        <v>5289.99</v>
      </c>
      <c r="D29" s="63">
        <v>0.40060000000000001</v>
      </c>
      <c r="E29" s="63">
        <v>0.1</v>
      </c>
      <c r="F29" s="64">
        <f>(C29*(1+E29))/D29</f>
        <v>14525.68</v>
      </c>
      <c r="G29" s="65">
        <f>D13</f>
        <v>146</v>
      </c>
      <c r="H29" s="50">
        <f>E13</f>
        <v>2</v>
      </c>
      <c r="I29" s="64">
        <f>G13</f>
        <v>0.7</v>
      </c>
      <c r="J29" s="83">
        <f>F29*G29*H29*I29</f>
        <v>2969048.99</v>
      </c>
    </row>
    <row r="30" spans="1:31" ht="15.75" x14ac:dyDescent="0.25">
      <c r="A30" s="86"/>
      <c r="B30" s="87"/>
      <c r="C30" s="88"/>
      <c r="D30" s="89"/>
      <c r="E30" s="89"/>
      <c r="F30" s="90"/>
      <c r="G30" s="148"/>
      <c r="H30" s="148"/>
      <c r="I30" s="148"/>
      <c r="J30" s="85"/>
    </row>
    <row r="31" spans="1:31" ht="15.75" x14ac:dyDescent="0.25">
      <c r="A31" s="86"/>
      <c r="B31" s="87"/>
      <c r="C31" s="88"/>
      <c r="D31" s="89"/>
      <c r="E31" s="89"/>
      <c r="F31" s="90"/>
      <c r="G31" s="148"/>
      <c r="H31" s="148"/>
      <c r="I31" s="148"/>
      <c r="J31" s="85"/>
    </row>
    <row r="32" spans="1:31" ht="15.75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</row>
    <row r="33" spans="1:10" ht="15.75" x14ac:dyDescent="0.25">
      <c r="A33" s="35" t="s">
        <v>87</v>
      </c>
      <c r="B33" s="35" t="s">
        <v>88</v>
      </c>
      <c r="C33" s="35"/>
      <c r="D33" s="35"/>
      <c r="E33" s="35"/>
      <c r="F33" s="35"/>
      <c r="G33" s="35"/>
      <c r="H33" s="35"/>
      <c r="I33" s="35"/>
      <c r="J33" s="35"/>
    </row>
    <row r="34" spans="1:10" ht="159" customHeight="1" x14ac:dyDescent="0.25">
      <c r="A34" s="142" t="s">
        <v>89</v>
      </c>
      <c r="B34" s="142"/>
      <c r="C34" s="142"/>
      <c r="D34" s="142"/>
      <c r="E34" s="142"/>
      <c r="F34" s="142"/>
      <c r="G34" s="142"/>
      <c r="H34" s="142"/>
      <c r="I34" s="142"/>
      <c r="J34" s="142"/>
    </row>
    <row r="35" spans="1:10" ht="23.25" customHeight="1" x14ac:dyDescent="0.25">
      <c r="A35" s="146" t="s">
        <v>102</v>
      </c>
      <c r="B35" s="146"/>
      <c r="C35" s="146"/>
      <c r="D35" s="146"/>
      <c r="E35" s="146"/>
      <c r="F35" s="146"/>
      <c r="G35" s="146"/>
      <c r="H35" s="146"/>
      <c r="I35" s="146"/>
      <c r="J35" s="146"/>
    </row>
    <row r="36" spans="1:10" ht="41.25" customHeight="1" x14ac:dyDescent="0.25">
      <c r="A36" s="146" t="s">
        <v>90</v>
      </c>
      <c r="B36" s="146"/>
      <c r="C36" s="146"/>
      <c r="D36" s="146"/>
      <c r="E36" s="146"/>
      <c r="F36" s="146"/>
      <c r="G36" s="146"/>
      <c r="H36" s="146"/>
      <c r="I36" s="146"/>
      <c r="J36" s="146"/>
    </row>
    <row r="37" spans="1:10" ht="15.75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</row>
    <row r="38" spans="1:10" ht="15.75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</row>
    <row r="39" spans="1:10" ht="15.75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</row>
    <row r="40" spans="1:10" ht="15.75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</row>
    <row r="41" spans="1:10" ht="15.75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</row>
    <row r="42" spans="1:10" ht="15.75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</row>
    <row r="43" spans="1:10" ht="15.75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</row>
    <row r="44" spans="1:10" ht="15.75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</row>
    <row r="45" spans="1:10" ht="15.75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ht="15.75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</row>
    <row r="47" spans="1:10" ht="15.75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</row>
    <row r="48" spans="1:10" ht="15.75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</row>
    <row r="49" spans="1:10" ht="15.75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</row>
    <row r="50" spans="1:10" ht="15.75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</row>
    <row r="51" spans="1:10" ht="15.75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</row>
    <row r="52" spans="1:10" ht="15.75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35"/>
    </row>
    <row r="53" spans="1:10" ht="15.75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5"/>
    </row>
    <row r="54" spans="1:10" ht="15.75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</row>
    <row r="55" spans="1:10" ht="15.75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ht="15.75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</row>
    <row r="57" spans="1:10" ht="15.75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</row>
    <row r="58" spans="1:10" ht="15.75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</row>
    <row r="59" spans="1:10" ht="15.75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</row>
    <row r="60" spans="1:10" ht="15.75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</row>
    <row r="61" spans="1:10" ht="15.75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35"/>
    </row>
    <row r="62" spans="1:10" ht="15.75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35"/>
    </row>
    <row r="63" spans="1:10" ht="15.75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35"/>
    </row>
    <row r="64" spans="1:10" ht="15.75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.75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ht="15.75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</row>
    <row r="67" spans="1:10" ht="15.75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35"/>
    </row>
    <row r="68" spans="1:10" ht="15.75" x14ac:dyDescent="0.25">
      <c r="A68" s="35"/>
      <c r="B68" s="35"/>
      <c r="C68" s="35"/>
      <c r="D68" s="35"/>
      <c r="E68" s="35"/>
      <c r="F68" s="35"/>
      <c r="G68" s="35"/>
      <c r="H68" s="35"/>
      <c r="I68" s="35"/>
      <c r="J68" s="35"/>
    </row>
    <row r="69" spans="1:10" ht="15.75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</row>
    <row r="70" spans="1:10" ht="15.75" x14ac:dyDescent="0.25">
      <c r="A70" s="35"/>
      <c r="B70" s="35"/>
      <c r="C70" s="35"/>
      <c r="D70" s="35"/>
      <c r="E70" s="35"/>
      <c r="F70" s="35"/>
      <c r="G70" s="35"/>
      <c r="H70" s="35"/>
      <c r="I70" s="35"/>
      <c r="J70" s="35"/>
    </row>
    <row r="71" spans="1:10" ht="15.75" x14ac:dyDescent="0.25">
      <c r="A71" s="35"/>
      <c r="B71" s="35"/>
      <c r="C71" s="35"/>
      <c r="D71" s="35"/>
      <c r="E71" s="35"/>
      <c r="F71" s="35"/>
      <c r="G71" s="35"/>
      <c r="H71" s="35"/>
      <c r="I71" s="35"/>
      <c r="J71" s="35"/>
    </row>
    <row r="72" spans="1:10" ht="15.75" x14ac:dyDescent="0.25">
      <c r="A72" s="35"/>
      <c r="B72" s="35"/>
      <c r="C72" s="35"/>
      <c r="D72" s="35"/>
      <c r="E72" s="35"/>
      <c r="F72" s="35"/>
      <c r="G72" s="35"/>
      <c r="H72" s="35"/>
      <c r="I72" s="35"/>
      <c r="J72" s="35"/>
    </row>
    <row r="73" spans="1:10" ht="15.75" x14ac:dyDescent="0.25">
      <c r="A73" s="35"/>
      <c r="B73" s="35"/>
      <c r="C73" s="35"/>
      <c r="D73" s="35"/>
      <c r="E73" s="35"/>
      <c r="F73" s="35"/>
      <c r="G73" s="35"/>
      <c r="H73" s="35"/>
      <c r="I73" s="35"/>
      <c r="J73" s="35"/>
    </row>
    <row r="74" spans="1:10" ht="15.75" x14ac:dyDescent="0.25">
      <c r="A74" s="35"/>
      <c r="B74" s="35"/>
      <c r="C74" s="35"/>
      <c r="D74" s="35"/>
      <c r="E74" s="35"/>
      <c r="F74" s="35"/>
      <c r="G74" s="35"/>
      <c r="H74" s="35"/>
      <c r="I74" s="35"/>
      <c r="J74" s="35"/>
    </row>
    <row r="75" spans="1:10" ht="15.75" x14ac:dyDescent="0.25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ht="15.75" x14ac:dyDescent="0.25">
      <c r="A76" s="35"/>
      <c r="B76" s="35"/>
      <c r="C76" s="35"/>
      <c r="D76" s="35"/>
      <c r="E76" s="35"/>
      <c r="F76" s="35"/>
      <c r="G76" s="35"/>
      <c r="H76" s="35"/>
      <c r="I76" s="35"/>
      <c r="J76" s="35"/>
    </row>
    <row r="77" spans="1:10" ht="15.75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</row>
    <row r="78" spans="1:10" ht="15.75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</row>
    <row r="79" spans="1:10" ht="15.75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</row>
    <row r="80" spans="1:10" ht="15.75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</row>
    <row r="81" spans="1:10" ht="15.75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</row>
    <row r="82" spans="1:10" ht="15.75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</row>
    <row r="83" spans="1:10" ht="15.75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</row>
    <row r="84" spans="1:10" ht="15.75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</row>
    <row r="85" spans="1:10" ht="15.75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</row>
    <row r="86" spans="1:10" ht="15.75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</row>
    <row r="87" spans="1:10" ht="15.75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</row>
    <row r="88" spans="1:10" ht="15.75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</row>
    <row r="89" spans="1:10" ht="15.75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</row>
    <row r="90" spans="1:10" ht="15.75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</row>
    <row r="91" spans="1:10" ht="15.75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</row>
    <row r="92" spans="1:10" ht="15.75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</row>
    <row r="93" spans="1:10" ht="15.75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</row>
    <row r="94" spans="1:10" ht="15.75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</row>
    <row r="95" spans="1:10" ht="15.75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</row>
    <row r="96" spans="1:10" ht="15.75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</row>
    <row r="97" spans="1:10" ht="15.75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</row>
    <row r="98" spans="1:10" ht="15.75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</row>
    <row r="99" spans="1:10" ht="15.75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</row>
    <row r="100" spans="1:10" ht="15.75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</row>
    <row r="101" spans="1:10" ht="15.75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</row>
    <row r="102" spans="1:10" ht="15.75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</row>
    <row r="103" spans="1:10" ht="15.75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</row>
    <row r="104" spans="1:10" ht="15.75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</row>
    <row r="105" spans="1:10" ht="15.75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15.75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</row>
    <row r="107" spans="1:10" ht="15.75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</row>
    <row r="108" spans="1:10" ht="15.75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</row>
    <row r="109" spans="1:10" ht="15.75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</row>
    <row r="110" spans="1:10" ht="15.75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</row>
    <row r="111" spans="1:10" ht="15.75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</row>
    <row r="112" spans="1:10" ht="15.75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</row>
    <row r="113" spans="1:10" ht="15.75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</row>
    <row r="114" spans="1:10" ht="15.75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</row>
    <row r="115" spans="1:10" ht="15.75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</row>
    <row r="116" spans="1:10" ht="15.75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</row>
    <row r="117" spans="1:10" ht="15.75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</row>
    <row r="118" spans="1:10" ht="15.75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</row>
    <row r="119" spans="1:10" ht="15.75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</row>
    <row r="120" spans="1:10" ht="15.75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</row>
    <row r="121" spans="1:10" ht="15.75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</row>
    <row r="122" spans="1:10" ht="15.75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</row>
    <row r="123" spans="1:10" ht="15.75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</row>
    <row r="124" spans="1:10" ht="15.75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</row>
    <row r="125" spans="1:10" ht="15.75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</row>
    <row r="126" spans="1:10" ht="15.75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</row>
    <row r="127" spans="1:10" ht="15.75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</row>
    <row r="128" spans="1:10" ht="15.75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</row>
    <row r="129" spans="1:10" ht="15.75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</row>
    <row r="130" spans="1:10" ht="15.75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</row>
    <row r="131" spans="1:10" ht="15.75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</row>
    <row r="132" spans="1:10" ht="15.75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</row>
    <row r="133" spans="1:10" ht="15.75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</row>
    <row r="134" spans="1:10" ht="15.75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</row>
    <row r="135" spans="1:10" ht="15.75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</row>
    <row r="136" spans="1:10" ht="15.75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</row>
    <row r="137" spans="1:10" ht="15.75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</row>
    <row r="138" spans="1:10" ht="15.75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</row>
    <row r="139" spans="1:10" ht="15.75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</row>
    <row r="140" spans="1:10" ht="15.75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</row>
    <row r="141" spans="1:10" ht="15.75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</row>
    <row r="142" spans="1:10" ht="15.75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</row>
    <row r="143" spans="1:10" ht="15.75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</row>
    <row r="144" spans="1:10" ht="15.75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</row>
    <row r="145" spans="1:10" ht="15.75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</row>
    <row r="146" spans="1:10" ht="15.75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</row>
    <row r="147" spans="1:10" ht="15.75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</row>
    <row r="148" spans="1:10" ht="15.75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</row>
    <row r="149" spans="1:10" ht="15.75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</row>
    <row r="150" spans="1:10" ht="15.75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</row>
    <row r="151" spans="1:10" ht="15.75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</row>
    <row r="152" spans="1:10" ht="15.75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</row>
    <row r="153" spans="1:10" ht="15.75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</row>
    <row r="154" spans="1:10" ht="15.75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</row>
    <row r="155" spans="1:10" ht="15.75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</row>
    <row r="156" spans="1:10" ht="15.75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</row>
    <row r="157" spans="1:10" ht="15.75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</row>
    <row r="158" spans="1:10" ht="15.75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</row>
    <row r="159" spans="1:10" ht="15.75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</row>
    <row r="160" spans="1:10" ht="15.75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</row>
    <row r="161" spans="1:10" ht="15.75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</row>
    <row r="162" spans="1:10" ht="15.75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</row>
    <row r="163" spans="1:10" ht="15.75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</row>
    <row r="164" spans="1:10" ht="15.75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</row>
    <row r="165" spans="1:10" ht="15.75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</row>
    <row r="166" spans="1:10" ht="15.75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</row>
    <row r="167" spans="1:10" ht="15.75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</row>
    <row r="168" spans="1:10" ht="15.75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</row>
    <row r="169" spans="1:10" ht="15.75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</row>
    <row r="170" spans="1:10" ht="15.75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</row>
    <row r="171" spans="1:10" ht="15.75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</row>
    <row r="172" spans="1:10" ht="15.75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</row>
    <row r="173" spans="1:10" ht="15.75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</row>
    <row r="174" spans="1:10" ht="15.75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</row>
    <row r="175" spans="1:10" ht="15.75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</row>
    <row r="176" spans="1:10" ht="15.75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</row>
    <row r="177" spans="1:10" ht="15.75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</row>
    <row r="178" spans="1:10" ht="15.75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</row>
    <row r="179" spans="1:10" ht="15.75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</row>
    <row r="180" spans="1:10" ht="15.75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</row>
    <row r="181" spans="1:10" ht="15.75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</row>
    <row r="182" spans="1:10" ht="15.75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</row>
    <row r="183" spans="1:10" ht="15.75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</row>
    <row r="184" spans="1:10" ht="15.75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</row>
    <row r="185" spans="1:10" ht="15.75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</row>
    <row r="186" spans="1:10" ht="15.75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</row>
    <row r="187" spans="1:10" ht="15.75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</row>
    <row r="188" spans="1:10" ht="15.75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</row>
    <row r="189" spans="1:10" ht="15.75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</row>
    <row r="190" spans="1:10" ht="15.75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</row>
    <row r="191" spans="1:10" ht="15.75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</row>
    <row r="192" spans="1:10" ht="15.75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</row>
    <row r="193" spans="1:10" ht="15.75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</row>
    <row r="194" spans="1:10" ht="15.75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</row>
    <row r="195" spans="1:10" ht="15.75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</row>
    <row r="196" spans="1:10" ht="15.75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</row>
    <row r="197" spans="1:10" ht="15.75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</row>
    <row r="198" spans="1:10" ht="15.75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</row>
    <row r="199" spans="1:10" ht="15.75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</row>
    <row r="200" spans="1:10" ht="15.75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</row>
    <row r="201" spans="1:10" ht="15.75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</row>
    <row r="202" spans="1:10" ht="15.75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</row>
    <row r="203" spans="1:10" ht="15.75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</row>
    <row r="204" spans="1:10" ht="15.75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</row>
    <row r="205" spans="1:10" ht="15.75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</row>
    <row r="206" spans="1:10" ht="15.75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</row>
    <row r="207" spans="1:10" ht="15.75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</row>
    <row r="208" spans="1:10" ht="15.75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</row>
    <row r="209" spans="1:10" ht="15.75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</row>
    <row r="210" spans="1:10" ht="15.75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</row>
    <row r="211" spans="1:10" ht="15.75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</row>
    <row r="212" spans="1:10" ht="15.75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</row>
    <row r="213" spans="1:10" ht="15.75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</row>
    <row r="214" spans="1:10" ht="15.75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</row>
    <row r="215" spans="1:10" ht="15.75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</row>
  </sheetData>
  <mergeCells count="15">
    <mergeCell ref="A4:B4"/>
    <mergeCell ref="A1:J1"/>
    <mergeCell ref="A2:B2"/>
    <mergeCell ref="C2:J2"/>
    <mergeCell ref="A3:B3"/>
    <mergeCell ref="C3:D3"/>
    <mergeCell ref="A36:J36"/>
    <mergeCell ref="A5:B5"/>
    <mergeCell ref="A6:J6"/>
    <mergeCell ref="A7:J7"/>
    <mergeCell ref="A25:J25"/>
    <mergeCell ref="A34:J34"/>
    <mergeCell ref="A35:J35"/>
    <mergeCell ref="G30:I30"/>
    <mergeCell ref="G31:I31"/>
  </mergeCells>
  <pageMargins left="0.7" right="0.7" top="0.75" bottom="0.75" header="0.3" footer="0.3"/>
  <pageSetup paperSize="9" scale="65" fitToHeight="0" orientation="landscape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0"/>
  <sheetViews>
    <sheetView workbookViewId="0">
      <selection activeCell="G7" sqref="G7"/>
    </sheetView>
  </sheetViews>
  <sheetFormatPr defaultRowHeight="15" x14ac:dyDescent="0.25"/>
  <cols>
    <col min="1" max="1" width="12.85546875" customWidth="1"/>
    <col min="2" max="2" width="27.85546875" customWidth="1"/>
    <col min="3" max="3" width="19.28515625" customWidth="1"/>
    <col min="4" max="4" width="22.28515625" customWidth="1"/>
    <col min="5" max="5" width="21.5703125" customWidth="1"/>
    <col min="6" max="6" width="23" customWidth="1"/>
    <col min="7" max="7" width="23.42578125" customWidth="1"/>
    <col min="8" max="8" width="19.28515625" customWidth="1"/>
    <col min="9" max="9" width="16.85546875" customWidth="1"/>
    <col min="10" max="10" width="17.42578125" customWidth="1"/>
  </cols>
  <sheetData>
    <row r="1" spans="1:10" ht="18.75" x14ac:dyDescent="0.3">
      <c r="A1" s="149" t="s">
        <v>116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8.75" x14ac:dyDescent="0.3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0" ht="42" customHeight="1" x14ac:dyDescent="0.25">
      <c r="A3" s="151" t="s">
        <v>51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0" ht="15.75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ht="94.5" x14ac:dyDescent="0.25">
      <c r="A5" s="51" t="s">
        <v>58</v>
      </c>
      <c r="B5" s="51" t="s">
        <v>73</v>
      </c>
      <c r="C5" s="52" t="s">
        <v>74</v>
      </c>
      <c r="D5" s="52" t="s">
        <v>75</v>
      </c>
      <c r="E5" s="52" t="s">
        <v>76</v>
      </c>
      <c r="F5" s="52" t="s">
        <v>77</v>
      </c>
      <c r="G5" s="52" t="s">
        <v>78</v>
      </c>
      <c r="H5" s="52" t="s">
        <v>79</v>
      </c>
      <c r="I5" s="52" t="s">
        <v>80</v>
      </c>
      <c r="J5" s="35"/>
    </row>
    <row r="6" spans="1:10" ht="15.75" x14ac:dyDescent="0.25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35"/>
    </row>
    <row r="7" spans="1:10" ht="15.75" x14ac:dyDescent="0.25">
      <c r="A7" s="45">
        <v>2</v>
      </c>
      <c r="B7" s="45" t="s">
        <v>104</v>
      </c>
      <c r="C7" s="45">
        <f>'Расчет по форме 3П EL3'!E13</f>
        <v>2</v>
      </c>
      <c r="D7" s="45">
        <f>(300+460)/2*2</f>
        <v>760</v>
      </c>
      <c r="E7" s="46"/>
      <c r="F7" s="46"/>
      <c r="G7" s="59">
        <f>'Расчет по форме 3П EL3'!D13</f>
        <v>32</v>
      </c>
      <c r="H7" s="46"/>
      <c r="I7" s="66">
        <f>C7*D7*G7</f>
        <v>48640</v>
      </c>
      <c r="J7" s="35"/>
    </row>
    <row r="8" spans="1:10" ht="15.75" x14ac:dyDescent="0.25">
      <c r="A8" s="150" t="s">
        <v>81</v>
      </c>
      <c r="B8" s="150"/>
      <c r="C8" s="150"/>
      <c r="D8" s="150"/>
      <c r="E8" s="150"/>
      <c r="F8" s="150"/>
      <c r="G8" s="150"/>
      <c r="H8" s="150"/>
      <c r="I8" s="83">
        <f>I7</f>
        <v>48640</v>
      </c>
      <c r="J8" s="35"/>
    </row>
    <row r="9" spans="1:10" ht="18.75" x14ac:dyDescent="0.3">
      <c r="A9" s="47"/>
      <c r="B9" s="47"/>
      <c r="C9" s="47"/>
      <c r="D9" s="47"/>
      <c r="E9" s="47"/>
      <c r="F9" s="47"/>
      <c r="G9" s="47"/>
      <c r="H9" s="47"/>
      <c r="I9" s="47"/>
      <c r="J9" s="47"/>
    </row>
    <row r="10" spans="1:10" ht="58.5" customHeight="1" x14ac:dyDescent="0.25">
      <c r="A10" s="151" t="s">
        <v>52</v>
      </c>
      <c r="B10" s="114"/>
      <c r="C10" s="114"/>
      <c r="D10" s="114"/>
      <c r="E10" s="114"/>
      <c r="F10" s="114"/>
      <c r="G10" s="114"/>
      <c r="H10" s="114"/>
      <c r="I10" s="114"/>
      <c r="J10" s="114"/>
    </row>
    <row r="11" spans="1:10" ht="15.75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0" ht="94.5" x14ac:dyDescent="0.25">
      <c r="A12" s="51" t="s">
        <v>58</v>
      </c>
      <c r="B12" s="51" t="s">
        <v>73</v>
      </c>
      <c r="C12" s="52" t="s">
        <v>74</v>
      </c>
      <c r="D12" s="52" t="s">
        <v>75</v>
      </c>
      <c r="E12" s="52" t="s">
        <v>76</v>
      </c>
      <c r="F12" s="52" t="s">
        <v>77</v>
      </c>
      <c r="G12" s="52" t="s">
        <v>78</v>
      </c>
      <c r="H12" s="52" t="s">
        <v>79</v>
      </c>
      <c r="I12" s="52" t="s">
        <v>80</v>
      </c>
      <c r="J12" s="35"/>
    </row>
    <row r="13" spans="1:10" ht="15.75" x14ac:dyDescent="0.25">
      <c r="A13" s="54">
        <v>1</v>
      </c>
      <c r="B13" s="54">
        <v>2</v>
      </c>
      <c r="C13" s="54">
        <v>3</v>
      </c>
      <c r="D13" s="54">
        <v>4</v>
      </c>
      <c r="E13" s="54">
        <v>5</v>
      </c>
      <c r="F13" s="54">
        <v>6</v>
      </c>
      <c r="G13" s="54">
        <v>7</v>
      </c>
      <c r="H13" s="54">
        <v>8</v>
      </c>
      <c r="I13" s="54">
        <v>9</v>
      </c>
      <c r="J13" s="35"/>
    </row>
    <row r="14" spans="1:10" ht="15.75" x14ac:dyDescent="0.25">
      <c r="A14" s="45">
        <v>2</v>
      </c>
      <c r="B14" s="45" t="s">
        <v>104</v>
      </c>
      <c r="C14" s="45">
        <f>'Расчет по форме 3П EL6 '!E13</f>
        <v>2</v>
      </c>
      <c r="D14" s="45">
        <f>(300+460)/2*2</f>
        <v>760</v>
      </c>
      <c r="E14" s="46"/>
      <c r="F14" s="46"/>
      <c r="G14" s="59">
        <f>'Расчет по форме 3П EL6 '!D13</f>
        <v>146</v>
      </c>
      <c r="H14" s="46"/>
      <c r="I14" s="66">
        <f>C14*D14*G14</f>
        <v>221920</v>
      </c>
      <c r="J14" s="35"/>
    </row>
    <row r="15" spans="1:10" ht="15.75" x14ac:dyDescent="0.25">
      <c r="A15" s="150" t="s">
        <v>81</v>
      </c>
      <c r="B15" s="150"/>
      <c r="C15" s="150"/>
      <c r="D15" s="150"/>
      <c r="E15" s="150"/>
      <c r="F15" s="150"/>
      <c r="G15" s="150"/>
      <c r="H15" s="150"/>
      <c r="I15" s="83">
        <f>I14</f>
        <v>221920</v>
      </c>
      <c r="J15" s="35"/>
    </row>
    <row r="16" spans="1:10" ht="15.75" x14ac:dyDescent="0.25">
      <c r="A16" s="98"/>
      <c r="B16" s="98"/>
      <c r="C16" s="98"/>
      <c r="D16" s="98"/>
      <c r="E16" s="98"/>
      <c r="F16" s="98"/>
      <c r="G16" s="98"/>
      <c r="H16" s="98"/>
      <c r="I16" s="85"/>
      <c r="J16" s="35"/>
    </row>
    <row r="17" spans="1:10" ht="15.75" x14ac:dyDescent="0.25">
      <c r="A17" s="98"/>
      <c r="B17" s="98"/>
      <c r="C17" s="98"/>
      <c r="D17" s="98"/>
      <c r="E17" s="98"/>
      <c r="F17" s="98"/>
      <c r="G17" s="98"/>
      <c r="H17" s="98"/>
      <c r="I17" s="85"/>
      <c r="J17" s="35"/>
    </row>
    <row r="18" spans="1:10" ht="15.75" x14ac:dyDescent="0.25">
      <c r="A18" s="98"/>
      <c r="B18" s="98"/>
      <c r="C18" s="98"/>
      <c r="D18" s="98"/>
      <c r="E18" s="98"/>
      <c r="F18" s="98"/>
      <c r="G18" s="98"/>
      <c r="H18" s="98"/>
      <c r="I18" s="85"/>
      <c r="J18" s="35"/>
    </row>
    <row r="19" spans="1:10" ht="15.75" x14ac:dyDescent="0.25">
      <c r="A19" s="98"/>
      <c r="B19" s="98"/>
      <c r="C19" s="98"/>
      <c r="D19" s="98"/>
      <c r="E19" s="98"/>
      <c r="F19" s="98"/>
      <c r="G19" s="98"/>
      <c r="H19" s="98"/>
      <c r="I19" s="85"/>
      <c r="J19" s="35"/>
    </row>
    <row r="20" spans="1:10" ht="15.75" x14ac:dyDescent="0.25">
      <c r="A20" s="98"/>
      <c r="B20" s="98"/>
      <c r="C20" s="98"/>
      <c r="D20" s="98"/>
      <c r="E20" s="98"/>
      <c r="F20" s="98"/>
      <c r="G20" s="98"/>
      <c r="H20" s="98"/>
      <c r="I20" s="85"/>
      <c r="J20" s="35"/>
    </row>
    <row r="21" spans="1:10" ht="15.75" x14ac:dyDescent="0.25">
      <c r="A21" s="98"/>
      <c r="B21" s="98"/>
      <c r="C21" s="98"/>
      <c r="D21" s="98"/>
      <c r="E21" s="98"/>
      <c r="F21" s="98"/>
      <c r="G21" s="98"/>
      <c r="H21" s="98"/>
      <c r="I21" s="85"/>
      <c r="J21" s="35"/>
    </row>
    <row r="22" spans="1:10" ht="15.75" x14ac:dyDescent="0.25">
      <c r="A22" s="98"/>
      <c r="B22" s="98"/>
      <c r="C22" s="98"/>
      <c r="D22" s="98"/>
      <c r="E22" s="98"/>
      <c r="F22" s="98"/>
      <c r="G22" s="98"/>
      <c r="H22" s="98"/>
      <c r="I22" s="85"/>
      <c r="J22" s="35"/>
    </row>
    <row r="23" spans="1:10" ht="15.75" x14ac:dyDescent="0.25">
      <c r="A23" s="98"/>
      <c r="B23" s="98"/>
      <c r="C23" s="98"/>
      <c r="D23" s="98"/>
      <c r="E23" s="98"/>
      <c r="F23" s="98"/>
      <c r="G23" s="98"/>
      <c r="H23" s="98"/>
      <c r="I23" s="85"/>
      <c r="J23" s="35"/>
    </row>
    <row r="24" spans="1:10" ht="15.75" x14ac:dyDescent="0.25">
      <c r="A24" s="98"/>
      <c r="B24" s="98"/>
      <c r="C24" s="98"/>
      <c r="D24" s="98"/>
      <c r="E24" s="98"/>
      <c r="F24" s="98"/>
      <c r="G24" s="98"/>
      <c r="H24" s="98"/>
      <c r="I24" s="85"/>
      <c r="J24" s="35"/>
    </row>
    <row r="25" spans="1:10" ht="15.75" x14ac:dyDescent="0.25">
      <c r="A25" s="98"/>
      <c r="B25" s="98"/>
      <c r="C25" s="98"/>
      <c r="D25" s="98"/>
      <c r="E25" s="98"/>
      <c r="F25" s="98"/>
      <c r="G25" s="98"/>
      <c r="H25" s="98"/>
      <c r="I25" s="85"/>
      <c r="J25" s="35"/>
    </row>
    <row r="26" spans="1:10" ht="15.75" x14ac:dyDescent="0.25">
      <c r="A26" s="98"/>
      <c r="B26" s="98"/>
      <c r="C26" s="98"/>
      <c r="D26" s="98"/>
      <c r="E26" s="98"/>
      <c r="F26" s="98"/>
      <c r="G26" s="98"/>
      <c r="H26" s="98"/>
      <c r="I26" s="85"/>
      <c r="J26" s="35"/>
    </row>
    <row r="27" spans="1:10" ht="15.75" x14ac:dyDescent="0.25">
      <c r="A27" s="98"/>
      <c r="B27" s="98"/>
      <c r="C27" s="98"/>
      <c r="D27" s="98"/>
      <c r="E27" s="98"/>
      <c r="F27" s="98"/>
      <c r="G27" s="98"/>
      <c r="H27" s="98"/>
      <c r="I27" s="85"/>
      <c r="J27" s="35"/>
    </row>
    <row r="28" spans="1:10" ht="15.75" x14ac:dyDescent="0.25">
      <c r="A28" s="98"/>
      <c r="B28" s="98"/>
      <c r="C28" s="98"/>
      <c r="D28" s="98"/>
      <c r="E28" s="98"/>
      <c r="F28" s="98"/>
      <c r="G28" s="98"/>
      <c r="H28" s="98"/>
      <c r="I28" s="85"/>
      <c r="J28" s="35"/>
    </row>
    <row r="29" spans="1:10" ht="15.75" x14ac:dyDescent="0.25">
      <c r="A29" s="98"/>
      <c r="B29" s="98"/>
      <c r="C29" s="98"/>
      <c r="D29" s="98"/>
      <c r="E29" s="98"/>
      <c r="F29" s="98"/>
      <c r="G29" s="98"/>
      <c r="H29" s="98"/>
      <c r="I29" s="85"/>
      <c r="J29" s="35"/>
    </row>
    <row r="30" spans="1:10" ht="15.75" x14ac:dyDescent="0.25">
      <c r="A30" s="98"/>
      <c r="B30" s="98"/>
      <c r="C30" s="98"/>
      <c r="D30" s="98"/>
      <c r="E30" s="98"/>
      <c r="F30" s="98"/>
      <c r="G30" s="98"/>
      <c r="H30" s="98"/>
      <c r="I30" s="85"/>
      <c r="J30" s="35"/>
    </row>
    <row r="31" spans="1:10" ht="15.75" x14ac:dyDescent="0.25">
      <c r="A31" s="98"/>
      <c r="B31" s="98"/>
      <c r="C31" s="98"/>
      <c r="D31" s="98"/>
      <c r="E31" s="98"/>
      <c r="F31" s="98"/>
      <c r="G31" s="98"/>
      <c r="H31" s="98"/>
      <c r="I31" s="85"/>
      <c r="J31" s="35"/>
    </row>
    <row r="32" spans="1:10" ht="15.75" x14ac:dyDescent="0.25">
      <c r="A32" s="98"/>
      <c r="B32" s="98"/>
      <c r="C32" s="98"/>
      <c r="D32" s="98"/>
      <c r="E32" s="98"/>
      <c r="F32" s="98"/>
      <c r="G32" s="98"/>
      <c r="H32" s="98"/>
      <c r="I32" s="85"/>
      <c r="J32" s="35"/>
    </row>
    <row r="33" spans="1:10" ht="15.75" x14ac:dyDescent="0.25">
      <c r="A33" s="98"/>
      <c r="B33" s="98"/>
      <c r="C33" s="98"/>
      <c r="D33" s="98"/>
      <c r="E33" s="98"/>
      <c r="F33" s="98"/>
      <c r="G33" s="98"/>
      <c r="H33" s="98"/>
      <c r="I33" s="85"/>
      <c r="J33" s="35"/>
    </row>
    <row r="34" spans="1:10" ht="15.75" x14ac:dyDescent="0.25">
      <c r="A34" s="98"/>
      <c r="B34" s="98"/>
      <c r="C34" s="98"/>
      <c r="D34" s="98"/>
      <c r="E34" s="98"/>
      <c r="F34" s="98"/>
      <c r="G34" s="98"/>
      <c r="H34" s="98"/>
      <c r="I34" s="85"/>
      <c r="J34" s="35"/>
    </row>
    <row r="35" spans="1:10" ht="15.75" x14ac:dyDescent="0.25">
      <c r="A35" s="98"/>
      <c r="B35" s="98"/>
      <c r="C35" s="98"/>
      <c r="D35" s="98"/>
      <c r="E35" s="98"/>
      <c r="F35" s="98"/>
      <c r="G35" s="98"/>
      <c r="H35" s="98"/>
      <c r="I35" s="85"/>
      <c r="J35" s="35"/>
    </row>
    <row r="36" spans="1:10" ht="15.75" x14ac:dyDescent="0.25">
      <c r="A36" s="98"/>
      <c r="B36" s="98"/>
      <c r="C36" s="98"/>
      <c r="D36" s="98"/>
      <c r="E36" s="98"/>
      <c r="F36" s="98"/>
      <c r="G36" s="98"/>
      <c r="H36" s="98"/>
      <c r="I36" s="85"/>
      <c r="J36" s="35"/>
    </row>
    <row r="37" spans="1:10" ht="15.75" x14ac:dyDescent="0.25">
      <c r="A37" s="98"/>
      <c r="B37" s="98"/>
      <c r="C37" s="98"/>
      <c r="D37" s="98"/>
      <c r="E37" s="98"/>
      <c r="F37" s="98"/>
      <c r="G37" s="98"/>
      <c r="H37" s="98"/>
      <c r="I37" s="85"/>
      <c r="J37" s="35"/>
    </row>
    <row r="38" spans="1:10" ht="15.75" x14ac:dyDescent="0.25">
      <c r="A38" s="98"/>
      <c r="B38" s="98"/>
      <c r="C38" s="98"/>
      <c r="D38" s="98"/>
      <c r="E38" s="98"/>
      <c r="F38" s="98"/>
      <c r="G38" s="98"/>
      <c r="H38" s="98"/>
      <c r="I38" s="85"/>
      <c r="J38" s="35"/>
    </row>
    <row r="39" spans="1:10" ht="15.75" x14ac:dyDescent="0.25">
      <c r="A39" s="98"/>
      <c r="B39" s="98"/>
      <c r="C39" s="98"/>
      <c r="D39" s="98"/>
      <c r="E39" s="98"/>
      <c r="F39" s="98"/>
      <c r="G39" s="98"/>
      <c r="H39" s="98"/>
      <c r="I39" s="85"/>
      <c r="J39" s="35"/>
    </row>
    <row r="40" spans="1:10" ht="15.75" x14ac:dyDescent="0.25">
      <c r="A40" s="98"/>
      <c r="B40" s="98"/>
      <c r="C40" s="98"/>
      <c r="D40" s="98"/>
      <c r="E40" s="98"/>
      <c r="F40" s="98"/>
      <c r="G40" s="98"/>
      <c r="H40" s="98"/>
      <c r="I40" s="85"/>
      <c r="J40" s="35"/>
    </row>
    <row r="41" spans="1:10" ht="15.75" x14ac:dyDescent="0.25">
      <c r="A41" s="98"/>
      <c r="B41" s="98"/>
      <c r="C41" s="98"/>
      <c r="D41" s="98"/>
      <c r="E41" s="98"/>
      <c r="F41" s="98"/>
      <c r="G41" s="98"/>
      <c r="H41" s="98"/>
      <c r="I41" s="85"/>
      <c r="J41" s="35"/>
    </row>
    <row r="42" spans="1:10" ht="15.75" x14ac:dyDescent="0.25">
      <c r="A42" s="98"/>
      <c r="B42" s="98"/>
      <c r="C42" s="98"/>
      <c r="D42" s="98"/>
      <c r="E42" s="98"/>
      <c r="F42" s="98"/>
      <c r="G42" s="98"/>
      <c r="H42" s="98"/>
      <c r="I42" s="85"/>
      <c r="J42" s="35"/>
    </row>
    <row r="43" spans="1:10" ht="15.75" x14ac:dyDescent="0.25">
      <c r="A43" s="98"/>
      <c r="B43" s="98"/>
      <c r="C43" s="98"/>
      <c r="D43" s="98"/>
      <c r="E43" s="98"/>
      <c r="F43" s="98"/>
      <c r="G43" s="98"/>
      <c r="H43" s="98"/>
      <c r="I43" s="85"/>
      <c r="J43" s="35"/>
    </row>
    <row r="44" spans="1:10" ht="15.75" x14ac:dyDescent="0.25">
      <c r="A44" s="98"/>
      <c r="B44" s="98"/>
      <c r="C44" s="98"/>
      <c r="D44" s="98"/>
      <c r="E44" s="98"/>
      <c r="F44" s="98"/>
      <c r="G44" s="98"/>
      <c r="H44" s="98"/>
      <c r="I44" s="85"/>
      <c r="J44" s="35"/>
    </row>
    <row r="45" spans="1:10" ht="15.75" x14ac:dyDescent="0.25">
      <c r="A45" s="98"/>
      <c r="B45" s="98"/>
      <c r="C45" s="98"/>
      <c r="D45" s="98"/>
      <c r="E45" s="98"/>
      <c r="F45" s="98"/>
      <c r="G45" s="98"/>
      <c r="H45" s="98"/>
      <c r="I45" s="85"/>
      <c r="J45" s="35"/>
    </row>
    <row r="46" spans="1:10" ht="15.75" x14ac:dyDescent="0.25">
      <c r="A46" s="98"/>
      <c r="B46" s="98"/>
      <c r="C46" s="98"/>
      <c r="D46" s="98"/>
      <c r="E46" s="98"/>
      <c r="F46" s="98"/>
      <c r="G46" s="98"/>
      <c r="H46" s="98"/>
      <c r="I46" s="85"/>
      <c r="J46" s="35"/>
    </row>
    <row r="47" spans="1:10" ht="15.75" x14ac:dyDescent="0.25">
      <c r="A47" s="98"/>
      <c r="B47" s="98"/>
      <c r="C47" s="98"/>
      <c r="D47" s="98"/>
      <c r="E47" s="98"/>
      <c r="F47" s="98"/>
      <c r="G47" s="98"/>
      <c r="H47" s="98"/>
      <c r="I47" s="85"/>
      <c r="J47" s="35"/>
    </row>
    <row r="48" spans="1:10" ht="15.75" x14ac:dyDescent="0.25">
      <c r="A48" s="98"/>
      <c r="B48" s="98"/>
      <c r="C48" s="98"/>
      <c r="D48" s="98"/>
      <c r="E48" s="98"/>
      <c r="F48" s="98"/>
      <c r="G48" s="98"/>
      <c r="H48" s="98"/>
      <c r="I48" s="85"/>
      <c r="J48" s="35"/>
    </row>
    <row r="49" spans="1:10" ht="15.75" x14ac:dyDescent="0.25">
      <c r="A49" s="98"/>
      <c r="B49" s="98"/>
      <c r="C49" s="98"/>
      <c r="D49" s="98"/>
      <c r="E49" s="98"/>
      <c r="F49" s="98"/>
      <c r="G49" s="98"/>
      <c r="H49" s="98"/>
      <c r="I49" s="85"/>
      <c r="J49" s="35"/>
    </row>
    <row r="50" spans="1:10" ht="15.75" x14ac:dyDescent="0.25">
      <c r="A50" s="98"/>
      <c r="B50" s="98"/>
      <c r="C50" s="98"/>
      <c r="D50" s="98"/>
      <c r="E50" s="98"/>
      <c r="F50" s="98"/>
      <c r="G50" s="98"/>
      <c r="H50" s="98"/>
      <c r="I50" s="85"/>
      <c r="J50" s="35"/>
    </row>
    <row r="51" spans="1:10" ht="15.75" x14ac:dyDescent="0.25">
      <c r="A51" s="84"/>
      <c r="B51" s="84"/>
      <c r="C51" s="84"/>
      <c r="D51" s="84"/>
      <c r="E51" s="84"/>
      <c r="F51" s="84"/>
      <c r="G51" s="84"/>
      <c r="H51" s="84"/>
      <c r="I51" s="85"/>
      <c r="J51" s="35"/>
    </row>
    <row r="52" spans="1:10" ht="15.75" x14ac:dyDescent="0.25">
      <c r="A52" s="84"/>
      <c r="B52" s="84"/>
      <c r="C52" s="84"/>
      <c r="D52" s="84"/>
      <c r="E52" s="84"/>
      <c r="F52" s="84"/>
      <c r="G52" s="84"/>
      <c r="H52" s="84"/>
      <c r="I52" s="85"/>
      <c r="J52" s="35"/>
    </row>
    <row r="53" spans="1:10" ht="15.75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5"/>
    </row>
    <row r="54" spans="1:10" ht="15.75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</row>
    <row r="55" spans="1:10" ht="15.75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ht="15.75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</row>
    <row r="57" spans="1:10" ht="15.75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</row>
    <row r="58" spans="1:10" ht="15.75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</row>
    <row r="59" spans="1:10" ht="15.75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</row>
    <row r="60" spans="1:10" ht="15.75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</row>
    <row r="61" spans="1:10" ht="15.75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35"/>
    </row>
    <row r="62" spans="1:10" ht="15.75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35"/>
    </row>
    <row r="63" spans="1:10" ht="15.75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35"/>
    </row>
    <row r="64" spans="1:10" ht="15.75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.75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ht="15.75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</row>
    <row r="67" spans="1:10" ht="15.75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35"/>
    </row>
    <row r="68" spans="1:10" ht="15.75" x14ac:dyDescent="0.25">
      <c r="A68" s="35"/>
      <c r="B68" s="35"/>
      <c r="C68" s="35"/>
      <c r="D68" s="35"/>
      <c r="E68" s="35"/>
      <c r="F68" s="35"/>
      <c r="G68" s="35"/>
      <c r="H68" s="35"/>
      <c r="I68" s="35"/>
      <c r="J68" s="35"/>
    </row>
    <row r="69" spans="1:10" ht="15.75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</row>
    <row r="70" spans="1:10" ht="15.75" x14ac:dyDescent="0.25">
      <c r="A70" s="35"/>
      <c r="B70" s="35"/>
      <c r="C70" s="35"/>
      <c r="D70" s="35"/>
      <c r="E70" s="35"/>
      <c r="F70" s="35"/>
      <c r="G70" s="35"/>
      <c r="H70" s="35"/>
      <c r="I70" s="35"/>
      <c r="J70" s="35"/>
    </row>
    <row r="71" spans="1:10" ht="15.75" x14ac:dyDescent="0.25">
      <c r="A71" s="35"/>
      <c r="B71" s="35"/>
      <c r="C71" s="35"/>
      <c r="D71" s="35"/>
      <c r="E71" s="35"/>
      <c r="F71" s="35"/>
      <c r="G71" s="35"/>
      <c r="H71" s="35"/>
      <c r="I71" s="35"/>
      <c r="J71" s="35"/>
    </row>
    <row r="72" spans="1:10" ht="15.75" x14ac:dyDescent="0.25">
      <c r="A72" s="35"/>
      <c r="B72" s="35"/>
      <c r="C72" s="35"/>
      <c r="D72" s="35"/>
      <c r="E72" s="35"/>
      <c r="F72" s="35"/>
      <c r="G72" s="35"/>
      <c r="H72" s="35"/>
      <c r="I72" s="35"/>
      <c r="J72" s="35"/>
    </row>
    <row r="73" spans="1:10" ht="15.75" x14ac:dyDescent="0.25">
      <c r="A73" s="35"/>
      <c r="B73" s="35"/>
      <c r="C73" s="35"/>
      <c r="D73" s="35"/>
      <c r="E73" s="35"/>
      <c r="F73" s="35"/>
      <c r="G73" s="35"/>
      <c r="H73" s="35"/>
      <c r="I73" s="35"/>
      <c r="J73" s="35"/>
    </row>
    <row r="74" spans="1:10" ht="15.75" x14ac:dyDescent="0.25">
      <c r="A74" s="35"/>
      <c r="B74" s="35"/>
      <c r="C74" s="35"/>
      <c r="D74" s="35"/>
      <c r="E74" s="35"/>
      <c r="F74" s="35"/>
      <c r="G74" s="35"/>
      <c r="H74" s="35"/>
      <c r="I74" s="35"/>
      <c r="J74" s="35"/>
    </row>
    <row r="75" spans="1:10" ht="15.75" x14ac:dyDescent="0.25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ht="15.75" x14ac:dyDescent="0.25">
      <c r="A76" s="35"/>
      <c r="B76" s="35"/>
      <c r="C76" s="35"/>
      <c r="D76" s="35"/>
      <c r="E76" s="35"/>
      <c r="F76" s="35"/>
      <c r="G76" s="35"/>
      <c r="H76" s="35"/>
      <c r="I76" s="35"/>
      <c r="J76" s="35"/>
    </row>
    <row r="77" spans="1:10" ht="15.75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</row>
    <row r="78" spans="1:10" ht="15.75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</row>
    <row r="79" spans="1:10" ht="15.75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</row>
    <row r="80" spans="1:10" ht="15.75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</row>
    <row r="81" spans="1:10" ht="15.75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</row>
    <row r="82" spans="1:10" ht="15.75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</row>
    <row r="83" spans="1:10" ht="15.75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</row>
    <row r="84" spans="1:10" ht="15.75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</row>
    <row r="85" spans="1:10" ht="15.75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</row>
    <row r="86" spans="1:10" ht="15.75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</row>
    <row r="87" spans="1:10" ht="15.75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</row>
    <row r="88" spans="1:10" ht="15.75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</row>
    <row r="89" spans="1:10" ht="15.75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</row>
    <row r="90" spans="1:10" ht="15.75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</row>
    <row r="91" spans="1:10" ht="15.75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</row>
    <row r="92" spans="1:10" ht="15.75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</row>
    <row r="93" spans="1:10" ht="15.75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</row>
    <row r="94" spans="1:10" ht="15.75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</row>
    <row r="95" spans="1:10" ht="15.75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</row>
    <row r="96" spans="1:10" ht="15.75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</row>
    <row r="97" spans="1:10" ht="15.75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</row>
    <row r="98" spans="1:10" ht="15.75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</row>
    <row r="99" spans="1:10" ht="15.75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</row>
    <row r="100" spans="1:10" ht="15.75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</row>
    <row r="101" spans="1:10" ht="15.75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</row>
    <row r="102" spans="1:10" ht="15.75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</row>
    <row r="103" spans="1:10" ht="15.75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</row>
    <row r="104" spans="1:10" ht="15.75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</row>
    <row r="105" spans="1:10" ht="15.75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15.75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</row>
    <row r="107" spans="1:10" ht="15.75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</row>
    <row r="108" spans="1:10" ht="15.75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</row>
    <row r="109" spans="1:10" ht="15.75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</row>
    <row r="110" spans="1:10" ht="15.75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</row>
    <row r="111" spans="1:10" ht="15.75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</row>
    <row r="112" spans="1:10" ht="15.75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</row>
    <row r="113" spans="1:10" ht="15.75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</row>
    <row r="114" spans="1:10" ht="15.75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</row>
    <row r="115" spans="1:10" ht="15.75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</row>
    <row r="116" spans="1:10" ht="15.75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</row>
    <row r="117" spans="1:10" ht="15.75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</row>
    <row r="118" spans="1:10" ht="15.75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</row>
    <row r="119" spans="1:10" ht="15.75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</row>
    <row r="120" spans="1:10" ht="15.75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</row>
    <row r="121" spans="1:10" ht="15.75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</row>
    <row r="122" spans="1:10" ht="15.75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</row>
    <row r="123" spans="1:10" ht="15.75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</row>
    <row r="124" spans="1:10" ht="15.75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</row>
    <row r="125" spans="1:10" ht="15.75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</row>
    <row r="126" spans="1:10" ht="15.75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</row>
    <row r="127" spans="1:10" ht="15.75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</row>
    <row r="128" spans="1:10" ht="15.75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</row>
    <row r="129" spans="1:10" ht="15.75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</row>
    <row r="130" spans="1:10" ht="15.75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</row>
    <row r="131" spans="1:10" ht="15.75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</row>
    <row r="132" spans="1:10" ht="15.75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</row>
    <row r="133" spans="1:10" ht="15.75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</row>
    <row r="134" spans="1:10" ht="15.75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</row>
    <row r="135" spans="1:10" ht="15.75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</row>
    <row r="136" spans="1:10" ht="15.75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</row>
    <row r="137" spans="1:10" ht="15.75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</row>
    <row r="138" spans="1:10" ht="15.75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</row>
    <row r="139" spans="1:10" ht="15.75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</row>
    <row r="140" spans="1:10" ht="15.75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</row>
    <row r="141" spans="1:10" ht="15.75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</row>
    <row r="142" spans="1:10" ht="15.75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</row>
    <row r="143" spans="1:10" ht="15.75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</row>
    <row r="144" spans="1:10" ht="15.75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</row>
    <row r="145" spans="1:10" ht="15.75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</row>
    <row r="146" spans="1:10" ht="15.75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</row>
    <row r="147" spans="1:10" ht="15.75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</row>
    <row r="148" spans="1:10" ht="15.75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</row>
    <row r="149" spans="1:10" ht="15.75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</row>
    <row r="150" spans="1:10" ht="15.75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</row>
    <row r="151" spans="1:10" ht="15.75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</row>
    <row r="152" spans="1:10" ht="15.75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</row>
    <row r="153" spans="1:10" ht="15.75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</row>
    <row r="154" spans="1:10" ht="15.75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</row>
    <row r="155" spans="1:10" ht="15.75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</row>
    <row r="156" spans="1:10" ht="15.75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</row>
    <row r="157" spans="1:10" ht="15.75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</row>
    <row r="158" spans="1:10" ht="15.75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</row>
    <row r="159" spans="1:10" ht="15.75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</row>
    <row r="160" spans="1:10" ht="15.75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</row>
    <row r="161" spans="1:10" ht="15.75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</row>
    <row r="162" spans="1:10" ht="15.75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</row>
    <row r="163" spans="1:10" ht="15.75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</row>
    <row r="164" spans="1:10" ht="15.75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</row>
    <row r="165" spans="1:10" ht="15.75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</row>
    <row r="166" spans="1:10" ht="15.75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</row>
    <row r="167" spans="1:10" ht="15.75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</row>
    <row r="168" spans="1:10" ht="15.75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</row>
    <row r="169" spans="1:10" ht="15.75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</row>
    <row r="170" spans="1:10" ht="15.75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</row>
    <row r="171" spans="1:10" ht="15.75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</row>
    <row r="172" spans="1:10" ht="15.75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</row>
    <row r="173" spans="1:10" ht="15.75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</row>
    <row r="174" spans="1:10" ht="15.75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</row>
    <row r="175" spans="1:10" ht="15.75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</row>
    <row r="176" spans="1:10" ht="15.75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</row>
    <row r="177" spans="1:10" ht="15.75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</row>
    <row r="178" spans="1:10" ht="15.75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</row>
    <row r="179" spans="1:10" ht="15.75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</row>
    <row r="180" spans="1:10" ht="15.75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</row>
    <row r="181" spans="1:10" ht="15.75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</row>
    <row r="182" spans="1:10" ht="15.75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</row>
    <row r="183" spans="1:10" ht="15.75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</row>
    <row r="184" spans="1:10" ht="15.75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</row>
    <row r="185" spans="1:10" ht="15.75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</row>
    <row r="186" spans="1:10" ht="15.75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</row>
    <row r="187" spans="1:10" ht="15.75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</row>
    <row r="188" spans="1:10" ht="15.75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</row>
    <row r="189" spans="1:10" ht="15.75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</row>
    <row r="190" spans="1:10" ht="15.75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</row>
    <row r="191" spans="1:10" ht="15.75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</row>
    <row r="192" spans="1:10" ht="15.75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</row>
    <row r="193" spans="1:10" ht="15.75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</row>
    <row r="194" spans="1:10" ht="15.75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</row>
    <row r="195" spans="1:10" ht="15.75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</row>
    <row r="196" spans="1:10" ht="15.75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</row>
    <row r="197" spans="1:10" ht="15.75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</row>
    <row r="198" spans="1:10" ht="15.75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</row>
    <row r="199" spans="1:10" ht="15.75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</row>
    <row r="200" spans="1:10" ht="15.75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</row>
    <row r="201" spans="1:10" ht="15.75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</row>
    <row r="202" spans="1:10" ht="15.75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</row>
    <row r="203" spans="1:10" ht="15.75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</row>
    <row r="204" spans="1:10" ht="15.75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</row>
    <row r="205" spans="1:10" ht="15.75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</row>
    <row r="206" spans="1:10" ht="15.75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</row>
    <row r="207" spans="1:10" ht="15.75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</row>
    <row r="208" spans="1:10" ht="15.75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</row>
    <row r="209" spans="1:10" ht="15.75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</row>
    <row r="210" spans="1:10" ht="15.75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</row>
    <row r="211" spans="1:10" ht="15.75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</row>
    <row r="212" spans="1:10" ht="15.75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</row>
    <row r="213" spans="1:10" ht="15.75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</row>
    <row r="214" spans="1:10" ht="15.75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</row>
    <row r="215" spans="1:10" ht="15.75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</row>
    <row r="216" spans="1:10" ht="15.75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</row>
    <row r="217" spans="1:10" ht="15.75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</row>
    <row r="218" spans="1:10" ht="15.75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</row>
    <row r="219" spans="1:10" ht="15.75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</row>
    <row r="220" spans="1:10" ht="15.75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</row>
    <row r="221" spans="1:10" ht="15.75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</row>
    <row r="222" spans="1:10" ht="15.75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</row>
    <row r="223" spans="1:10" ht="15.75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</row>
    <row r="224" spans="1:10" ht="15.75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</row>
    <row r="225" spans="1:10" ht="15.75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</row>
    <row r="226" spans="1:10" ht="15.75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</row>
    <row r="227" spans="1:10" ht="15.75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</row>
    <row r="228" spans="1:10" ht="15.75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</row>
    <row r="229" spans="1:10" ht="15.75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</row>
    <row r="230" spans="1:10" ht="15.75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</row>
    <row r="231" spans="1:10" ht="15.75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</row>
    <row r="232" spans="1:10" ht="15.75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</row>
    <row r="233" spans="1:10" ht="15.75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</row>
    <row r="234" spans="1:10" ht="15.75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</row>
    <row r="235" spans="1:10" ht="15.75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</row>
    <row r="236" spans="1:10" ht="15.75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</row>
    <row r="237" spans="1:10" ht="15.75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</row>
    <row r="238" spans="1:10" ht="15.75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</row>
    <row r="239" spans="1:10" ht="15.75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</row>
    <row r="240" spans="1:10" ht="15.75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</row>
  </sheetData>
  <mergeCells count="5">
    <mergeCell ref="A1:J1"/>
    <mergeCell ref="A15:H15"/>
    <mergeCell ref="A10:J10"/>
    <mergeCell ref="A3:J3"/>
    <mergeCell ref="A8:H8"/>
  </mergeCells>
  <pageMargins left="0.7" right="0.7" top="0.75" bottom="0.75" header="0.3" footer="0.3"/>
  <pageSetup paperSize="9" scale="64" fitToHeight="0" orientation="landscape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N46" sqref="N4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opLeftCell="A16" workbookViewId="0">
      <selection activeCell="A10" sqref="A10:J10"/>
    </sheetView>
  </sheetViews>
  <sheetFormatPr defaultRowHeight="15" x14ac:dyDescent="0.25"/>
  <cols>
    <col min="1" max="1" width="29" customWidth="1"/>
    <col min="2" max="2" width="16.7109375" customWidth="1"/>
    <col min="3" max="3" width="18.5703125" customWidth="1"/>
    <col min="4" max="6" width="16.140625" customWidth="1"/>
    <col min="7" max="7" width="14.85546875" customWidth="1"/>
    <col min="8" max="8" width="15.5703125" customWidth="1"/>
    <col min="9" max="9" width="16" customWidth="1"/>
    <col min="10" max="10" width="12.85546875" customWidth="1"/>
    <col min="14" max="14" width="17.42578125" customWidth="1"/>
  </cols>
  <sheetData>
    <row r="1" spans="1:10" ht="43.5" customHeight="1" x14ac:dyDescent="0.25">
      <c r="A1" s="165" t="s">
        <v>48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56.25" customHeight="1" x14ac:dyDescent="0.25">
      <c r="A2" s="34" t="s">
        <v>49</v>
      </c>
      <c r="B2" s="111" t="s">
        <v>51</v>
      </c>
      <c r="C2" s="111"/>
      <c r="D2" s="111"/>
      <c r="E2" s="111"/>
      <c r="F2" s="111"/>
      <c r="G2" s="111"/>
      <c r="H2" s="111"/>
      <c r="I2" s="111"/>
      <c r="J2" s="111"/>
    </row>
    <row r="3" spans="1:10" ht="56.25" customHeight="1" x14ac:dyDescent="0.25">
      <c r="A3" s="34" t="s">
        <v>50</v>
      </c>
      <c r="B3" s="111" t="s">
        <v>52</v>
      </c>
      <c r="C3" s="111"/>
      <c r="D3" s="111"/>
      <c r="E3" s="111"/>
      <c r="F3" s="111"/>
      <c r="G3" s="111"/>
      <c r="H3" s="111"/>
      <c r="I3" s="111"/>
      <c r="J3" s="111"/>
    </row>
    <row r="4" spans="1:10" ht="15.75" customHeight="1" x14ac:dyDescent="0.25">
      <c r="A4" s="34" t="s">
        <v>45</v>
      </c>
      <c r="B4" s="131" t="s">
        <v>46</v>
      </c>
      <c r="C4" s="131"/>
      <c r="D4" s="131"/>
      <c r="E4" s="131"/>
      <c r="F4" s="131"/>
      <c r="G4" s="131"/>
      <c r="H4" s="131"/>
      <c r="I4" s="131"/>
      <c r="J4" s="131"/>
    </row>
    <row r="5" spans="1:10" ht="15.75" x14ac:dyDescent="0.25">
      <c r="A5" s="35"/>
      <c r="B5" s="35"/>
      <c r="C5" s="35"/>
      <c r="D5" s="35"/>
      <c r="E5" s="35"/>
      <c r="F5" s="35"/>
      <c r="G5" s="35"/>
    </row>
    <row r="6" spans="1:10" ht="15.75" x14ac:dyDescent="0.25">
      <c r="A6" s="37" t="s">
        <v>47</v>
      </c>
      <c r="B6" s="38"/>
      <c r="C6" s="38"/>
      <c r="D6" s="39"/>
      <c r="E6" s="38"/>
      <c r="F6" s="39"/>
      <c r="G6" s="38"/>
      <c r="H6" s="36"/>
    </row>
    <row r="7" spans="1:10" ht="15.75" x14ac:dyDescent="0.25">
      <c r="A7" s="173" t="s">
        <v>53</v>
      </c>
      <c r="B7" s="173"/>
      <c r="C7" s="173"/>
      <c r="D7" s="173"/>
      <c r="E7" s="173"/>
      <c r="F7" s="173"/>
      <c r="G7" s="173"/>
      <c r="H7" s="173"/>
      <c r="I7" s="173"/>
      <c r="J7" s="173"/>
    </row>
    <row r="8" spans="1:10" ht="15.75" x14ac:dyDescent="0.25">
      <c r="A8" s="173" t="s">
        <v>54</v>
      </c>
      <c r="B8" s="173"/>
      <c r="C8" s="173"/>
      <c r="D8" s="173"/>
      <c r="E8" s="173"/>
      <c r="F8" s="173"/>
      <c r="G8" s="173"/>
      <c r="H8" s="173"/>
      <c r="I8" s="173"/>
      <c r="J8" s="173"/>
    </row>
    <row r="9" spans="1:10" ht="42.75" customHeight="1" x14ac:dyDescent="0.25">
      <c r="A9" s="172" t="s">
        <v>55</v>
      </c>
      <c r="B9" s="172"/>
      <c r="C9" s="172"/>
      <c r="D9" s="172"/>
      <c r="E9" s="172"/>
      <c r="F9" s="172"/>
      <c r="G9" s="172"/>
      <c r="H9" s="172"/>
      <c r="I9" s="172"/>
      <c r="J9" s="172"/>
    </row>
    <row r="10" spans="1:10" ht="42.75" customHeight="1" x14ac:dyDescent="0.25">
      <c r="A10" s="172" t="s">
        <v>56</v>
      </c>
      <c r="B10" s="172"/>
      <c r="C10" s="172"/>
      <c r="D10" s="172"/>
      <c r="E10" s="172"/>
      <c r="F10" s="172"/>
      <c r="G10" s="172"/>
      <c r="H10" s="172"/>
      <c r="I10" s="172"/>
      <c r="J10" s="172"/>
    </row>
    <row r="11" spans="1:10" ht="123" customHeight="1" x14ac:dyDescent="0.25">
      <c r="A11" s="7" t="s">
        <v>2</v>
      </c>
      <c r="B11" s="8" t="s">
        <v>42</v>
      </c>
      <c r="C11" s="8" t="s">
        <v>3</v>
      </c>
      <c r="D11" s="8" t="s">
        <v>9</v>
      </c>
      <c r="E11" s="8" t="s">
        <v>13</v>
      </c>
      <c r="F11" s="8" t="s">
        <v>14</v>
      </c>
      <c r="G11" s="8" t="s">
        <v>33</v>
      </c>
      <c r="H11" s="8" t="s">
        <v>10</v>
      </c>
      <c r="I11" s="8" t="s">
        <v>7</v>
      </c>
      <c r="J11" s="8" t="s">
        <v>8</v>
      </c>
    </row>
    <row r="12" spans="1:10" x14ac:dyDescent="0.25">
      <c r="A12" s="3" t="s">
        <v>0</v>
      </c>
      <c r="B12" s="4">
        <f>318847.49*1000</f>
        <v>318847490</v>
      </c>
      <c r="C12" s="5">
        <v>2E-3</v>
      </c>
      <c r="D12" s="4">
        <f t="shared" ref="D12:D17" si="0">B12*C12</f>
        <v>637694.98</v>
      </c>
      <c r="E12" s="6">
        <f>J20</f>
        <v>1.0242382999999999</v>
      </c>
      <c r="F12" s="4">
        <f>D12*E12</f>
        <v>653151.62</v>
      </c>
      <c r="G12" s="6">
        <f>F45</f>
        <v>1.0447211000000001</v>
      </c>
      <c r="H12" s="4">
        <f>F12*G12</f>
        <v>682361.28</v>
      </c>
      <c r="I12" s="4">
        <f t="shared" ref="I12:I15" si="1">H12*0.2</f>
        <v>136472.26</v>
      </c>
      <c r="J12" s="16">
        <f t="shared" ref="J12:J15" si="2">H12+I12</f>
        <v>818833.54</v>
      </c>
    </row>
    <row r="13" spans="1:10" ht="30" x14ac:dyDescent="0.25">
      <c r="A13" s="9" t="s">
        <v>4</v>
      </c>
      <c r="B13" s="1">
        <f>B12-B14</f>
        <v>97180823.329999998</v>
      </c>
      <c r="C13" s="10">
        <v>2E-3</v>
      </c>
      <c r="D13" s="1">
        <f t="shared" si="0"/>
        <v>194361.65</v>
      </c>
      <c r="E13" s="2"/>
      <c r="F13" s="1"/>
      <c r="G13" s="15"/>
      <c r="H13" s="1"/>
      <c r="I13" s="1"/>
      <c r="J13" s="11"/>
    </row>
    <row r="14" spans="1:10" ht="30" x14ac:dyDescent="0.25">
      <c r="A14" s="9" t="s">
        <v>5</v>
      </c>
      <c r="B14" s="1">
        <f>(248400000+17600000)/1.2</f>
        <v>221666666.66999999</v>
      </c>
      <c r="C14" s="10">
        <v>2E-3</v>
      </c>
      <c r="D14" s="1">
        <f t="shared" si="0"/>
        <v>443333.33</v>
      </c>
      <c r="E14" s="2"/>
      <c r="F14" s="1"/>
      <c r="G14" s="2"/>
      <c r="H14" s="1"/>
      <c r="I14" s="1"/>
      <c r="J14" s="11"/>
    </row>
    <row r="15" spans="1:10" x14ac:dyDescent="0.25">
      <c r="A15" s="3" t="s">
        <v>1</v>
      </c>
      <c r="B15" s="4">
        <f>1516407.96*1000</f>
        <v>1516407960</v>
      </c>
      <c r="C15" s="5">
        <v>2E-3</v>
      </c>
      <c r="D15" s="4">
        <f t="shared" si="0"/>
        <v>3032815.92</v>
      </c>
      <c r="E15" s="6">
        <f>J20</f>
        <v>1.0242382999999999</v>
      </c>
      <c r="F15" s="4">
        <f>D15*E15</f>
        <v>3106326.22</v>
      </c>
      <c r="G15" s="6">
        <f>F66</f>
        <v>1.0452975</v>
      </c>
      <c r="H15" s="4">
        <f>F15*G15</f>
        <v>3247035.03</v>
      </c>
      <c r="I15" s="4">
        <f t="shared" si="1"/>
        <v>649407.01</v>
      </c>
      <c r="J15" s="16">
        <f t="shared" si="2"/>
        <v>3896442.04</v>
      </c>
    </row>
    <row r="16" spans="1:10" ht="30" x14ac:dyDescent="0.25">
      <c r="A16" s="9" t="s">
        <v>4</v>
      </c>
      <c r="B16" s="1">
        <f>B15-B17</f>
        <v>811032960</v>
      </c>
      <c r="C16" s="10">
        <v>2E-3</v>
      </c>
      <c r="D16" s="1">
        <f t="shared" si="0"/>
        <v>1622065.92</v>
      </c>
      <c r="E16" s="2"/>
      <c r="F16" s="1"/>
      <c r="G16" s="15"/>
      <c r="H16" s="1"/>
      <c r="I16" s="1"/>
      <c r="J16" s="11"/>
    </row>
    <row r="17" spans="1:10" ht="30" x14ac:dyDescent="0.25">
      <c r="A17" s="9" t="s">
        <v>5</v>
      </c>
      <c r="B17" s="1">
        <f>(805650000+40800000)/1.2</f>
        <v>705375000</v>
      </c>
      <c r="C17" s="10">
        <v>2E-3</v>
      </c>
      <c r="D17" s="1">
        <f t="shared" si="0"/>
        <v>1410750</v>
      </c>
      <c r="E17" s="2"/>
      <c r="F17" s="1"/>
      <c r="G17" s="2"/>
      <c r="H17" s="1"/>
      <c r="I17" s="1"/>
      <c r="J17" s="11"/>
    </row>
    <row r="18" spans="1:10" ht="36" customHeight="1" x14ac:dyDescent="0.25">
      <c r="A18" s="13" t="s">
        <v>6</v>
      </c>
      <c r="B18" s="14">
        <f>B12+B15</f>
        <v>1835255450</v>
      </c>
      <c r="C18" s="12"/>
      <c r="D18" s="14">
        <f>D12+D15</f>
        <v>3670510.9</v>
      </c>
      <c r="E18" s="14"/>
      <c r="F18" s="14"/>
      <c r="G18" s="12"/>
      <c r="H18" s="14">
        <f>H12+H15</f>
        <v>3929396.31</v>
      </c>
      <c r="I18" s="14">
        <f>I12+I15</f>
        <v>785879.27</v>
      </c>
      <c r="J18" s="14">
        <f>J12+J15</f>
        <v>4715275.58</v>
      </c>
    </row>
    <row r="19" spans="1:10" ht="33.75" customHeight="1" x14ac:dyDescent="0.25">
      <c r="A19" s="152"/>
      <c r="B19" s="152"/>
      <c r="C19" s="152"/>
      <c r="D19" s="152"/>
      <c r="E19" s="152"/>
      <c r="F19" s="152"/>
      <c r="G19" s="152"/>
      <c r="H19" s="152"/>
      <c r="I19" s="152"/>
      <c r="J19" s="152"/>
    </row>
    <row r="20" spans="1:10" ht="37.5" customHeight="1" x14ac:dyDescent="0.25">
      <c r="A20" s="153" t="s">
        <v>43</v>
      </c>
      <c r="B20" s="153"/>
      <c r="C20" s="153"/>
      <c r="D20" s="153"/>
      <c r="E20" s="153"/>
      <c r="F20" s="153"/>
      <c r="G20" s="153"/>
      <c r="H20" s="153"/>
      <c r="I20" s="153"/>
      <c r="J20" s="28">
        <f>E23*E24</f>
        <v>1.0242382999999999</v>
      </c>
    </row>
    <row r="21" spans="1:10" ht="21" customHeight="1" x14ac:dyDescent="0.25">
      <c r="A21" s="154" t="s">
        <v>31</v>
      </c>
      <c r="B21" s="154"/>
      <c r="C21" s="154"/>
      <c r="D21" s="154"/>
      <c r="E21" s="29" t="s">
        <v>32</v>
      </c>
      <c r="F21" s="29" t="s">
        <v>44</v>
      </c>
      <c r="G21" s="33"/>
      <c r="H21" s="33"/>
      <c r="I21" s="33"/>
      <c r="J21" s="28"/>
    </row>
    <row r="22" spans="1:10" ht="21" customHeight="1" x14ac:dyDescent="0.25">
      <c r="A22" s="154" t="s">
        <v>15</v>
      </c>
      <c r="B22" s="154"/>
      <c r="C22" s="154"/>
      <c r="D22" s="154"/>
      <c r="E22" s="30">
        <v>44501</v>
      </c>
      <c r="F22" s="33"/>
      <c r="G22" s="33"/>
      <c r="H22" s="33"/>
      <c r="I22" s="33"/>
      <c r="J22" s="28"/>
    </row>
    <row r="23" spans="1:10" ht="21.75" customHeight="1" x14ac:dyDescent="0.25">
      <c r="A23" s="154" t="s">
        <v>30</v>
      </c>
      <c r="B23" s="154"/>
      <c r="C23" s="154"/>
      <c r="D23" s="154"/>
      <c r="E23" s="33">
        <v>1.0017</v>
      </c>
      <c r="F23" s="33"/>
      <c r="G23" s="33"/>
      <c r="H23" s="33"/>
      <c r="I23" s="33"/>
    </row>
    <row r="24" spans="1:10" ht="18" customHeight="1" x14ac:dyDescent="0.25">
      <c r="A24" s="154" t="s">
        <v>136</v>
      </c>
      <c r="B24" s="154"/>
      <c r="C24" s="154"/>
      <c r="D24" s="154"/>
      <c r="E24" s="33">
        <v>1.0225</v>
      </c>
      <c r="F24" s="33"/>
      <c r="G24" s="33"/>
      <c r="H24" s="33"/>
      <c r="I24" s="33"/>
    </row>
    <row r="25" spans="1:10" ht="33.75" customHeight="1" x14ac:dyDescent="0.25">
      <c r="A25" s="153" t="s">
        <v>34</v>
      </c>
      <c r="B25" s="153"/>
      <c r="C25" s="153"/>
      <c r="D25" s="153"/>
      <c r="E25" s="153"/>
      <c r="F25" s="153"/>
      <c r="G25" s="153"/>
      <c r="H25" s="153"/>
      <c r="I25" s="153"/>
    </row>
    <row r="26" spans="1:10" x14ac:dyDescent="0.25">
      <c r="A26" s="160" t="s">
        <v>40</v>
      </c>
      <c r="B26" s="160"/>
      <c r="C26" s="160"/>
      <c r="D26" s="160"/>
      <c r="E26" s="160"/>
      <c r="F26" s="160"/>
      <c r="G26" s="160"/>
      <c r="H26" s="160"/>
      <c r="I26" s="160"/>
      <c r="J26" s="160"/>
    </row>
    <row r="27" spans="1:10" x14ac:dyDescent="0.25">
      <c r="A27" s="27"/>
      <c r="B27" s="27"/>
      <c r="C27" s="27"/>
    </row>
    <row r="29" spans="1:10" x14ac:dyDescent="0.25">
      <c r="A29" s="161" t="s">
        <v>15</v>
      </c>
      <c r="B29" s="161"/>
      <c r="C29" s="161"/>
      <c r="D29" s="161"/>
      <c r="E29" s="161"/>
      <c r="F29" s="18">
        <v>44501</v>
      </c>
      <c r="H29" s="18">
        <v>44561</v>
      </c>
      <c r="I29" t="s">
        <v>35</v>
      </c>
    </row>
    <row r="30" spans="1:10" ht="15.75" x14ac:dyDescent="0.25">
      <c r="A30" s="162" t="s">
        <v>16</v>
      </c>
      <c r="B30" s="163"/>
      <c r="C30" s="163"/>
      <c r="D30" s="163"/>
      <c r="E30" s="164"/>
      <c r="F30" s="31">
        <f>(F32-F31)/30.5</f>
        <v>10.1</v>
      </c>
      <c r="H30" s="18">
        <v>44562</v>
      </c>
      <c r="I30" t="s">
        <v>36</v>
      </c>
    </row>
    <row r="31" spans="1:10" ht="15.75" x14ac:dyDescent="0.25">
      <c r="A31" s="162" t="s">
        <v>11</v>
      </c>
      <c r="B31" s="163"/>
      <c r="C31" s="163"/>
      <c r="D31" s="163"/>
      <c r="E31" s="164"/>
      <c r="F31" s="18">
        <v>44682</v>
      </c>
      <c r="H31" s="18">
        <v>44926</v>
      </c>
      <c r="I31" t="s">
        <v>37</v>
      </c>
    </row>
    <row r="32" spans="1:10" ht="15.75" x14ac:dyDescent="0.25">
      <c r="A32" s="162" t="s">
        <v>12</v>
      </c>
      <c r="B32" s="163"/>
      <c r="C32" s="163"/>
      <c r="D32" s="163"/>
      <c r="E32" s="164"/>
      <c r="F32" s="18">
        <v>44989</v>
      </c>
      <c r="H32" s="18">
        <v>44927</v>
      </c>
      <c r="I32" t="s">
        <v>38</v>
      </c>
    </row>
    <row r="33" spans="1:10" ht="15.75" x14ac:dyDescent="0.25">
      <c r="A33" s="155" t="s">
        <v>29</v>
      </c>
      <c r="B33" s="155"/>
      <c r="C33" s="155"/>
      <c r="D33" s="155"/>
      <c r="E33" s="155"/>
      <c r="F33" s="19">
        <v>0</v>
      </c>
    </row>
    <row r="34" spans="1:10" ht="15.75" x14ac:dyDescent="0.25">
      <c r="A34" s="155" t="s">
        <v>17</v>
      </c>
      <c r="B34" s="155"/>
      <c r="C34" s="155"/>
      <c r="D34" s="155"/>
      <c r="E34" s="155"/>
      <c r="F34" s="19">
        <f>8/11</f>
        <v>0.73</v>
      </c>
    </row>
    <row r="35" spans="1:10" ht="15.75" x14ac:dyDescent="0.25">
      <c r="A35" s="155" t="s">
        <v>18</v>
      </c>
      <c r="B35" s="155"/>
      <c r="C35" s="155"/>
      <c r="D35" s="155"/>
      <c r="E35" s="155"/>
      <c r="F35" s="19">
        <f>1-F33-F34</f>
        <v>0.27</v>
      </c>
    </row>
    <row r="36" spans="1:10" ht="35.25" customHeight="1" x14ac:dyDescent="0.25">
      <c r="A36" s="156" t="s">
        <v>19</v>
      </c>
      <c r="B36" s="157"/>
      <c r="C36" s="157"/>
      <c r="D36" s="157"/>
      <c r="E36" s="158"/>
      <c r="F36" s="20">
        <v>1.054</v>
      </c>
    </row>
    <row r="37" spans="1:10" ht="15.75" x14ac:dyDescent="0.25">
      <c r="A37" s="159" t="s">
        <v>20</v>
      </c>
      <c r="B37" s="159"/>
      <c r="C37" s="159"/>
      <c r="D37" s="21">
        <f>F36</f>
        <v>1.054</v>
      </c>
      <c r="E37" s="22" t="s">
        <v>21</v>
      </c>
      <c r="F37" s="23">
        <f>F36^(1/12)</f>
        <v>1.0043922999999999</v>
      </c>
    </row>
    <row r="38" spans="1:10" ht="33" customHeight="1" x14ac:dyDescent="0.25">
      <c r="A38" s="166" t="s">
        <v>22</v>
      </c>
      <c r="B38" s="166"/>
      <c r="C38" s="166"/>
      <c r="D38" s="166"/>
      <c r="E38" s="166"/>
      <c r="F38" s="24">
        <v>1.0509999999999999</v>
      </c>
    </row>
    <row r="39" spans="1:10" ht="15.75" x14ac:dyDescent="0.25">
      <c r="A39" s="159" t="s">
        <v>23</v>
      </c>
      <c r="B39" s="159"/>
      <c r="C39" s="159"/>
      <c r="D39" s="21">
        <f>F38</f>
        <v>1.0509999999999999</v>
      </c>
      <c r="E39" s="22" t="s">
        <v>21</v>
      </c>
      <c r="F39" s="23">
        <f>F38^(1/12)</f>
        <v>1.0041538000000001</v>
      </c>
    </row>
    <row r="40" spans="1:10" ht="33" customHeight="1" x14ac:dyDescent="0.25">
      <c r="A40" s="166" t="s">
        <v>24</v>
      </c>
      <c r="B40" s="166"/>
      <c r="C40" s="166"/>
      <c r="D40" s="166"/>
      <c r="E40" s="166"/>
      <c r="F40" s="24">
        <v>1.0489999999999999</v>
      </c>
    </row>
    <row r="41" spans="1:10" ht="15.75" x14ac:dyDescent="0.25">
      <c r="A41" s="159" t="s">
        <v>25</v>
      </c>
      <c r="B41" s="159"/>
      <c r="C41" s="159"/>
      <c r="D41" s="21">
        <f>F40</f>
        <v>1.0489999999999999</v>
      </c>
      <c r="E41" s="22" t="s">
        <v>21</v>
      </c>
      <c r="F41" s="23">
        <f>F40^(1/12)</f>
        <v>1.0039944000000001</v>
      </c>
    </row>
    <row r="42" spans="1:10" ht="24.75" customHeight="1" x14ac:dyDescent="0.25">
      <c r="A42" s="25" t="s">
        <v>39</v>
      </c>
      <c r="B42" s="25"/>
      <c r="C42" s="167" t="s">
        <v>139</v>
      </c>
      <c r="D42" s="168"/>
      <c r="E42" s="169"/>
      <c r="F42" s="101">
        <f>F37^2</f>
        <v>1.0088039</v>
      </c>
    </row>
    <row r="43" spans="1:10" ht="48.75" customHeight="1" x14ac:dyDescent="0.25">
      <c r="A43" s="25" t="s">
        <v>26</v>
      </c>
      <c r="B43" s="25"/>
      <c r="C43" s="167" t="str">
        <f>CONCATENATE(F37,"^",ROUND((H30-F29)/30.5,1),"*","(",F39,"^1","+",F39,"^12",")","/2")</f>
        <v>1,0043923^2*(1,0041538^1+1,0041538^12)/2</v>
      </c>
      <c r="D43" s="168"/>
      <c r="E43" s="169"/>
      <c r="F43" s="26">
        <f>F37^ROUND((H30-F29)/30.5,1)*(F39^1+F39^12)/"2"</f>
        <v>1.0366237</v>
      </c>
    </row>
    <row r="44" spans="1:10" ht="49.5" customHeight="1" x14ac:dyDescent="0.25">
      <c r="A44" s="25" t="s">
        <v>27</v>
      </c>
      <c r="B44" s="25"/>
      <c r="C44" s="167" t="str">
        <f>CONCATENATE(F37,"^",ROUND((H29-F29)/30.5,1),"*",F39,"^12*(",F41,"^1+",F41,"^",ROUND((F32-H32)/30.5,1),")/2")</f>
        <v>1,0043923^2*1,0041538^12*(1,0039944^1+1,0039944^2)/2</v>
      </c>
      <c r="D44" s="168"/>
      <c r="E44" s="169"/>
      <c r="F44" s="26">
        <f>F37^ROUND((H29-F29)/30.5,1)*F39^12*(F41^1+F41^ROUND(((F32-H32)/30.5),1))/"2"</f>
        <v>1.0666142000000001</v>
      </c>
    </row>
    <row r="45" spans="1:10" ht="51" customHeight="1" x14ac:dyDescent="0.25">
      <c r="A45" s="170" t="s">
        <v>28</v>
      </c>
      <c r="B45" s="171"/>
      <c r="C45" s="167" t="s">
        <v>140</v>
      </c>
      <c r="D45" s="168"/>
      <c r="E45" s="169"/>
      <c r="F45" s="102">
        <f>F42*F33+F43*F34+F44*F35</f>
        <v>1.0447211000000001</v>
      </c>
    </row>
    <row r="47" spans="1:10" x14ac:dyDescent="0.25">
      <c r="A47" s="160" t="s">
        <v>41</v>
      </c>
      <c r="B47" s="160"/>
      <c r="C47" s="160"/>
      <c r="D47" s="160"/>
      <c r="E47" s="160"/>
      <c r="F47" s="160"/>
      <c r="G47" s="160"/>
      <c r="H47" s="160"/>
      <c r="I47" s="160"/>
      <c r="J47" s="160"/>
    </row>
    <row r="48" spans="1:10" x14ac:dyDescent="0.25">
      <c r="A48" s="27"/>
      <c r="B48" s="27"/>
      <c r="C48" s="27"/>
    </row>
    <row r="50" spans="1:9" x14ac:dyDescent="0.25">
      <c r="A50" s="161" t="s">
        <v>15</v>
      </c>
      <c r="B50" s="161"/>
      <c r="C50" s="161"/>
      <c r="D50" s="161"/>
      <c r="E50" s="161"/>
      <c r="F50" s="18">
        <v>44501</v>
      </c>
      <c r="H50" s="18">
        <v>44561</v>
      </c>
      <c r="I50" t="s">
        <v>35</v>
      </c>
    </row>
    <row r="51" spans="1:9" ht="15.75" x14ac:dyDescent="0.25">
      <c r="A51" s="162" t="s">
        <v>16</v>
      </c>
      <c r="B51" s="163"/>
      <c r="C51" s="163"/>
      <c r="D51" s="163"/>
      <c r="E51" s="164"/>
      <c r="F51" s="31">
        <f>(F53-F52)/30.5</f>
        <v>11.1</v>
      </c>
      <c r="H51" s="18">
        <v>44562</v>
      </c>
      <c r="I51" t="s">
        <v>36</v>
      </c>
    </row>
    <row r="52" spans="1:9" ht="15.75" x14ac:dyDescent="0.25">
      <c r="A52" s="162" t="s">
        <v>11</v>
      </c>
      <c r="B52" s="163"/>
      <c r="C52" s="163"/>
      <c r="D52" s="163"/>
      <c r="E52" s="164"/>
      <c r="F52" s="18">
        <v>44682</v>
      </c>
      <c r="H52" s="18">
        <v>44926</v>
      </c>
      <c r="I52" t="s">
        <v>37</v>
      </c>
    </row>
    <row r="53" spans="1:9" ht="15.75" x14ac:dyDescent="0.25">
      <c r="A53" s="162" t="s">
        <v>12</v>
      </c>
      <c r="B53" s="163"/>
      <c r="C53" s="163"/>
      <c r="D53" s="163"/>
      <c r="E53" s="164"/>
      <c r="F53" s="18">
        <v>45020</v>
      </c>
      <c r="H53" s="18">
        <v>44927</v>
      </c>
      <c r="I53" t="s">
        <v>38</v>
      </c>
    </row>
    <row r="54" spans="1:9" ht="15.75" x14ac:dyDescent="0.25">
      <c r="A54" s="155" t="s">
        <v>29</v>
      </c>
      <c r="B54" s="155"/>
      <c r="C54" s="155"/>
      <c r="D54" s="155"/>
      <c r="E54" s="155"/>
      <c r="F54" s="19">
        <v>0</v>
      </c>
    </row>
    <row r="55" spans="1:9" ht="15.75" x14ac:dyDescent="0.25">
      <c r="A55" s="155" t="s">
        <v>17</v>
      </c>
      <c r="B55" s="155"/>
      <c r="C55" s="155"/>
      <c r="D55" s="155"/>
      <c r="E55" s="155"/>
      <c r="F55" s="19">
        <v>0.73</v>
      </c>
    </row>
    <row r="56" spans="1:9" ht="15.75" x14ac:dyDescent="0.25">
      <c r="A56" s="155" t="s">
        <v>18</v>
      </c>
      <c r="B56" s="155"/>
      <c r="C56" s="155"/>
      <c r="D56" s="155"/>
      <c r="E56" s="155"/>
      <c r="F56" s="19">
        <v>0.27</v>
      </c>
    </row>
    <row r="57" spans="1:9" ht="15.75" x14ac:dyDescent="0.25">
      <c r="A57" s="156" t="s">
        <v>19</v>
      </c>
      <c r="B57" s="157"/>
      <c r="C57" s="157"/>
      <c r="D57" s="157"/>
      <c r="E57" s="158"/>
      <c r="F57" s="20">
        <v>1.054</v>
      </c>
    </row>
    <row r="58" spans="1:9" ht="15.75" x14ac:dyDescent="0.25">
      <c r="A58" s="159" t="s">
        <v>20</v>
      </c>
      <c r="B58" s="159"/>
      <c r="C58" s="159"/>
      <c r="D58" s="21">
        <f>F57</f>
        <v>1.054</v>
      </c>
      <c r="E58" s="22" t="s">
        <v>21</v>
      </c>
      <c r="F58" s="23">
        <f>F57^(1/12)</f>
        <v>1.0043922999999999</v>
      </c>
    </row>
    <row r="59" spans="1:9" ht="15.75" x14ac:dyDescent="0.25">
      <c r="A59" s="166" t="s">
        <v>22</v>
      </c>
      <c r="B59" s="166"/>
      <c r="C59" s="166"/>
      <c r="D59" s="166"/>
      <c r="E59" s="166"/>
      <c r="F59" s="24">
        <v>1.0509999999999999</v>
      </c>
    </row>
    <row r="60" spans="1:9" ht="15.75" x14ac:dyDescent="0.25">
      <c r="A60" s="159" t="s">
        <v>23</v>
      </c>
      <c r="B60" s="159"/>
      <c r="C60" s="159"/>
      <c r="D60" s="21">
        <f>F59</f>
        <v>1.0509999999999999</v>
      </c>
      <c r="E60" s="22" t="s">
        <v>21</v>
      </c>
      <c r="F60" s="23">
        <f>F59^(1/12)</f>
        <v>1.0041538000000001</v>
      </c>
    </row>
    <row r="61" spans="1:9" ht="15.75" x14ac:dyDescent="0.25">
      <c r="A61" s="166" t="s">
        <v>24</v>
      </c>
      <c r="B61" s="166"/>
      <c r="C61" s="166"/>
      <c r="D61" s="166"/>
      <c r="E61" s="166"/>
      <c r="F61" s="24">
        <v>1.0489999999999999</v>
      </c>
    </row>
    <row r="62" spans="1:9" ht="15.75" x14ac:dyDescent="0.25">
      <c r="A62" s="159" t="s">
        <v>25</v>
      </c>
      <c r="B62" s="159"/>
      <c r="C62" s="159"/>
      <c r="D62" s="21">
        <f>F61</f>
        <v>1.0489999999999999</v>
      </c>
      <c r="E62" s="22" t="s">
        <v>21</v>
      </c>
      <c r="F62" s="23">
        <f>F61^(1/12)</f>
        <v>1.0039944000000001</v>
      </c>
    </row>
    <row r="63" spans="1:9" ht="15.75" x14ac:dyDescent="0.25">
      <c r="A63" s="25" t="s">
        <v>39</v>
      </c>
      <c r="B63" s="25"/>
      <c r="C63" s="167" t="s">
        <v>139</v>
      </c>
      <c r="D63" s="168"/>
      <c r="E63" s="169"/>
      <c r="F63" s="101">
        <f>F58^2</f>
        <v>1.0088039</v>
      </c>
    </row>
    <row r="64" spans="1:9" ht="30.75" customHeight="1" x14ac:dyDescent="0.25">
      <c r="A64" s="25" t="s">
        <v>26</v>
      </c>
      <c r="B64" s="25"/>
      <c r="C64" s="167" t="str">
        <f>CONCATENATE(F58,"^",ROUND((H51-F50)/30.5,1),"*","(",F60,"^1","+",F60,"^12",")","/2")</f>
        <v>1,0043923^2*(1,0041538^1+1,0041538^12)/2</v>
      </c>
      <c r="D64" s="168"/>
      <c r="E64" s="169"/>
      <c r="F64" s="26">
        <f>F58^ROUND((H51-F50)/30.5,1)*(F60^1+F60^12)/"2"</f>
        <v>1.0366237</v>
      </c>
    </row>
    <row r="65" spans="1:6" ht="38.25" customHeight="1" x14ac:dyDescent="0.25">
      <c r="A65" s="25" t="s">
        <v>27</v>
      </c>
      <c r="B65" s="25"/>
      <c r="C65" s="167" t="str">
        <f>CONCATENATE(F58,"^",ROUND((H50-F50)/30.5,1),"*",F60,"^12*(",F62,"^1+",F62,"^",ROUND((F53-H53)/30.5,1),")/2")</f>
        <v>1,0043923^2*1,0041538^12*(1,0039944^1+1,0039944^3)/2</v>
      </c>
      <c r="D65" s="168"/>
      <c r="E65" s="169"/>
      <c r="F65" s="26">
        <f>F58^ROUND((H50-F50)/30.5,1)*F60^12*(F62^1+F62^ROUND(((F53-H53)/30.5),1))/"2"</f>
        <v>1.0687487</v>
      </c>
    </row>
    <row r="66" spans="1:6" ht="15.75" x14ac:dyDescent="0.25">
      <c r="A66" s="170" t="s">
        <v>28</v>
      </c>
      <c r="B66" s="171"/>
      <c r="C66" s="167" t="str">
        <f>CONCATENATE(F54,"*",F63,"+",F55,"*",F64,"+",F56,"*",F65)</f>
        <v>0*1,0088039+0,73*1,0366237+0,27*1,0687487</v>
      </c>
      <c r="D66" s="168"/>
      <c r="E66" s="169"/>
      <c r="F66" s="32">
        <f>F54*F63+F55*F64+F56*F65</f>
        <v>1.0452975</v>
      </c>
    </row>
  </sheetData>
  <mergeCells count="53">
    <mergeCell ref="B2:J2"/>
    <mergeCell ref="B3:J3"/>
    <mergeCell ref="B4:J4"/>
    <mergeCell ref="A7:J7"/>
    <mergeCell ref="A9:J9"/>
    <mergeCell ref="A8:J8"/>
    <mergeCell ref="A10:J10"/>
    <mergeCell ref="C64:E64"/>
    <mergeCell ref="C65:E65"/>
    <mergeCell ref="A66:B66"/>
    <mergeCell ref="C66:E66"/>
    <mergeCell ref="A62:C62"/>
    <mergeCell ref="C63:E63"/>
    <mergeCell ref="A51:E51"/>
    <mergeCell ref="A38:E38"/>
    <mergeCell ref="A39:C39"/>
    <mergeCell ref="A40:E40"/>
    <mergeCell ref="A41:C41"/>
    <mergeCell ref="C42:E42"/>
    <mergeCell ref="C43:E43"/>
    <mergeCell ref="A32:E32"/>
    <mergeCell ref="A33:E33"/>
    <mergeCell ref="A1:J1"/>
    <mergeCell ref="A58:C58"/>
    <mergeCell ref="A59:E59"/>
    <mergeCell ref="A60:C60"/>
    <mergeCell ref="A61:E61"/>
    <mergeCell ref="A52:E52"/>
    <mergeCell ref="A53:E53"/>
    <mergeCell ref="A54:E54"/>
    <mergeCell ref="A55:E55"/>
    <mergeCell ref="A56:E56"/>
    <mergeCell ref="A57:E57"/>
    <mergeCell ref="C44:E44"/>
    <mergeCell ref="A45:B45"/>
    <mergeCell ref="C45:E45"/>
    <mergeCell ref="A47:J47"/>
    <mergeCell ref="A50:E50"/>
    <mergeCell ref="A34:E34"/>
    <mergeCell ref="A35:E35"/>
    <mergeCell ref="A36:E36"/>
    <mergeCell ref="A37:C37"/>
    <mergeCell ref="A24:D24"/>
    <mergeCell ref="A25:I25"/>
    <mergeCell ref="A26:J26"/>
    <mergeCell ref="A29:E29"/>
    <mergeCell ref="A30:E30"/>
    <mergeCell ref="A31:E31"/>
    <mergeCell ref="A19:J19"/>
    <mergeCell ref="A20:I20"/>
    <mergeCell ref="A21:D21"/>
    <mergeCell ref="A22:D22"/>
    <mergeCell ref="A23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Пояснительная записка</vt:lpstr>
      <vt:lpstr>График посещения объектов</vt:lpstr>
      <vt:lpstr>НМЦ</vt:lpstr>
      <vt:lpstr>Расчет по форме 3П EL3</vt:lpstr>
      <vt:lpstr>Расчет по форме 3П EL6 </vt:lpstr>
      <vt:lpstr>Затраты на проезд</vt:lpstr>
      <vt:lpstr>Индексы квалификации</vt:lpstr>
      <vt:lpstr>НМЦК по %</vt:lpstr>
      <vt:lpstr>'График посещения объектов'!Область_печати</vt:lpstr>
      <vt:lpstr>'Затраты на проезд'!Область_печати</vt:lpstr>
      <vt:lpstr>'Расчет по форме 3П EL3'!Область_печати</vt:lpstr>
      <vt:lpstr>'Расчет по форме 3П EL6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2022-04-22T07:08:49Z</dcterms:modified>
</cp:coreProperties>
</file>