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9630" windowHeight="4410" tabRatio="989" firstSheet="1" activeTab="6"/>
  </bookViews>
  <sheets>
    <sheet name="дендрология" sheetId="28" state="hidden" r:id="rId1"/>
    <sheet name="КВЛ EL7" sheetId="97" r:id="rId2"/>
    <sheet name="УНЦС (справочно)" sheetId="98" r:id="rId3"/>
    <sheet name="ЛСР №2 видеоэкран" sheetId="109" r:id="rId4"/>
    <sheet name="Пояснительная" sheetId="48" r:id="rId5"/>
    <sheet name="Протокол" sheetId="51" r:id="rId6"/>
    <sheet name="НМЦ" sheetId="47" r:id="rId7"/>
    <sheet name="НМЦК" sheetId="50" r:id="rId8"/>
    <sheet name="Cводная смета ПИР" sheetId="13" r:id="rId9"/>
    <sheet name="ПД EL7" sheetId="108" r:id="rId10"/>
    <sheet name="Экспертиза ПД и ИЗ" sheetId="35" r:id="rId11"/>
    <sheet name="Геодезия" sheetId="100" r:id="rId12"/>
    <sheet name="Геология" sheetId="101" r:id="rId13"/>
    <sheet name="Геофизика " sheetId="102" r:id="rId14"/>
    <sheet name="Гидромет" sheetId="103" r:id="rId15"/>
    <sheet name="Сели Лавины" sheetId="104" r:id="rId16"/>
    <sheet name="Экология" sheetId="105" r:id="rId17"/>
    <sheet name="Археология" sheetId="106" r:id="rId18"/>
    <sheet name="ВОП (по форме 3п)" sheetId="107" r:id="rId19"/>
    <sheet name="Сводная ИЗ" sheetId="87" r:id="rId20"/>
    <sheet name="ВОП " sheetId="67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\AUTOEXEC" localSheetId="18">#REF!</definedName>
    <definedName name="\AUTOEXEC" localSheetId="11">#REF!</definedName>
    <definedName name="\AUTOEXEC" localSheetId="19">#REF!</definedName>
    <definedName name="\AUTOEXEC" localSheetId="15">#REF!</definedName>
    <definedName name="\AUTOEXEC">#REF!</definedName>
    <definedName name="\k" localSheetId="18">#REF!</definedName>
    <definedName name="\k" localSheetId="11">#REF!</definedName>
    <definedName name="\k" localSheetId="19">#REF!</definedName>
    <definedName name="\k" localSheetId="15">#REF!</definedName>
    <definedName name="\k">#REF!</definedName>
    <definedName name="\m" localSheetId="18">#REF!</definedName>
    <definedName name="\m" localSheetId="11">#REF!</definedName>
    <definedName name="\m" localSheetId="19">#REF!</definedName>
    <definedName name="\m" localSheetId="15">#REF!</definedName>
    <definedName name="\m">#REF!</definedName>
    <definedName name="\s" localSheetId="18">#REF!</definedName>
    <definedName name="\s" localSheetId="11">#REF!</definedName>
    <definedName name="\s">#REF!</definedName>
    <definedName name="\z" localSheetId="18">#REF!</definedName>
    <definedName name="\z" localSheetId="11">#REF!</definedName>
    <definedName name="\z">#REF!</definedName>
    <definedName name="_a2" localSheetId="18">#REF!</definedName>
    <definedName name="_a2">#REF!</definedName>
    <definedName name="_AUTOEXEC" localSheetId="18">#REF!</definedName>
    <definedName name="_AUTOEXEC">#REF!</definedName>
    <definedName name="_AUTOEXEC_1" localSheetId="18">#REF!</definedName>
    <definedName name="_AUTOEXEC_1">#REF!</definedName>
    <definedName name="_AUTOEXEC_1_1" localSheetId="18">[1]Смета!#REF!</definedName>
    <definedName name="_AUTOEXEC_1_1">[2]Смета!#REF!</definedName>
    <definedName name="_AUTOEXEC_2" localSheetId="18">#REF!</definedName>
    <definedName name="_AUTOEXEC_2">#REF!</definedName>
    <definedName name="_k" localSheetId="18">#REF!</definedName>
    <definedName name="_k">#REF!</definedName>
    <definedName name="_k_1" localSheetId="18">#REF!</definedName>
    <definedName name="_k_1">#REF!</definedName>
    <definedName name="_k_1_1" localSheetId="18">[1]Смета!#REF!</definedName>
    <definedName name="_k_1_1">[2]Смета!#REF!</definedName>
    <definedName name="_k_2" localSheetId="18">#REF!</definedName>
    <definedName name="_k_2">#REF!</definedName>
    <definedName name="_m" localSheetId="18">#REF!</definedName>
    <definedName name="_m">#REF!</definedName>
    <definedName name="_m_1" localSheetId="18">#REF!</definedName>
    <definedName name="_m_1">#REF!</definedName>
    <definedName name="_m_1_1" localSheetId="18">[1]Смета!#REF!</definedName>
    <definedName name="_m_1_1">[2]Смета!#REF!</definedName>
    <definedName name="_m_2" localSheetId="18">#REF!</definedName>
    <definedName name="_m_2">#REF!</definedName>
    <definedName name="_s" localSheetId="18">#REF!</definedName>
    <definedName name="_s">#REF!</definedName>
    <definedName name="_s_1" localSheetId="18">#REF!</definedName>
    <definedName name="_s_1">#REF!</definedName>
    <definedName name="_s_1_1" localSheetId="18">[1]Смета!#REF!</definedName>
    <definedName name="_s_1_1">[2]Смета!#REF!</definedName>
    <definedName name="_s_2" localSheetId="18">#REF!</definedName>
    <definedName name="_s_2">#REF!</definedName>
    <definedName name="_z" localSheetId="18">#REF!</definedName>
    <definedName name="_z">#REF!</definedName>
    <definedName name="_z_1" localSheetId="18">#REF!</definedName>
    <definedName name="_z_1">#REF!</definedName>
    <definedName name="_z_1_1" localSheetId="18">[1]Смета!#REF!</definedName>
    <definedName name="_z_1_1">[2]Смета!#REF!</definedName>
    <definedName name="_z_2" localSheetId="18">#REF!</definedName>
    <definedName name="_z_2">#REF!</definedName>
    <definedName name="_xlnm._FilterDatabase" localSheetId="1" hidden="1">'КВЛ EL7'!$E$5:$I$50</definedName>
    <definedName name="a" localSheetId="18" hidden="1">{#N/A,#N/A,TRUE,"Смета на пасс. обор. №1"}</definedName>
    <definedName name="a" hidden="1">{#N/A,#N/A,TRUE,"Смета на пасс. обор. №1"}</definedName>
    <definedName name="a_1" localSheetId="18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8">#REF!</definedName>
    <definedName name="as" localSheetId="19">#REF!</definedName>
    <definedName name="as" localSheetId="16">#REF!</definedName>
    <definedName name="as">#REF!</definedName>
    <definedName name="asd" localSheetId="18">#REF!</definedName>
    <definedName name="asd">#REF!</definedName>
    <definedName name="ave_height" localSheetId="18">#REF!</definedName>
    <definedName name="ave_height">#REF!</definedName>
    <definedName name="ave_hight" localSheetId="18">#REF!</definedName>
    <definedName name="ave_hight">#REF!</definedName>
    <definedName name="b" localSheetId="18" hidden="1">{#N/A,#N/A,TRUE,"Смета на пасс. обор. №1"}</definedName>
    <definedName name="b" hidden="1">{#N/A,#N/A,TRUE,"Смета на пасс. обор. №1"}</definedName>
    <definedName name="b_1" localSheetId="18" hidden="1">{#N/A,#N/A,TRUE,"Смета на пасс. обор. №1"}</definedName>
    <definedName name="b_1" hidden="1">{#N/A,#N/A,TRUE,"Смета на пасс. обор. №1"}</definedName>
    <definedName name="ba" localSheetId="18" hidden="1">{#N/A,#N/A,TRUE,"Смета на пасс. обор. №1"}</definedName>
    <definedName name="ba" hidden="1">{#N/A,#N/A,TRUE,"Смета на пасс. обор. №1"}</definedName>
    <definedName name="ba_1" localSheetId="18" hidden="1">{#N/A,#N/A,TRUE,"Смета на пасс. обор. №1"}</definedName>
    <definedName name="ba_1" hidden="1">{#N/A,#N/A,TRUE,"Смета на пасс. обор. №1"}</definedName>
    <definedName name="bjbkl" localSheetId="18">[3]топография!#REF!</definedName>
    <definedName name="bjbkl">[3]топография!#REF!</definedName>
    <definedName name="ccc" localSheetId="18" hidden="1">{#N/A,#N/A,TRUE,"Смета на пасс. обор. №1"}</definedName>
    <definedName name="ccc" hidden="1">{#N/A,#N/A,TRUE,"Смета на пасс. обор. №1"}</definedName>
    <definedName name="ccc_1" localSheetId="18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8">[4]Lucent!#REF!</definedName>
    <definedName name="Dc">[4]Lucent!#REF!</definedName>
    <definedName name="dck" localSheetId="17">[3]топография!#REF!</definedName>
    <definedName name="dck" localSheetId="20">[3]топография!#REF!</definedName>
    <definedName name="dck" localSheetId="18">[3]топография!#REF!</definedName>
    <definedName name="dck" localSheetId="11">[3]топография!#REF!</definedName>
    <definedName name="dck" localSheetId="13">[3]топография!#REF!</definedName>
    <definedName name="dck" localSheetId="19">[3]топография!#REF!</definedName>
    <definedName name="dck" localSheetId="15">[3]топография!#REF!</definedName>
    <definedName name="dck">[3]топография!#REF!</definedName>
    <definedName name="dck_1" localSheetId="18">[3]топография!#REF!</definedName>
    <definedName name="dck_1">[3]топография!#REF!</definedName>
    <definedName name="ddduy" localSheetId="18">#REF!</definedName>
    <definedName name="ddduy">#REF!</definedName>
    <definedName name="Delivery">1.15</definedName>
    <definedName name="df" localSheetId="18">#REF!</definedName>
    <definedName name="df" localSheetId="19">#REF!</definedName>
    <definedName name="df" localSheetId="15">#REF!</definedName>
    <definedName name="df" localSheetId="16">#REF!</definedName>
    <definedName name="df">#REF!</definedName>
    <definedName name="Disc_Tbl" localSheetId="18">#REF!</definedName>
    <definedName name="Disc_Tbl">#REF!</definedName>
    <definedName name="Dl" localSheetId="18">[4]Lucent!#REF!</definedName>
    <definedName name="Dl">[4]Lucent!#REF!</definedName>
    <definedName name="Dsc_Vector" localSheetId="18">#REF!</definedName>
    <definedName name="Dsc_Vector">#REF!</definedName>
    <definedName name="e" localSheetId="18" hidden="1">{#N/A,#N/A,TRUE,"Смета на пасс. обор. №1"}</definedName>
    <definedName name="e" hidden="1">{#N/A,#N/A,TRUE,"Смета на пасс. обор. №1"}</definedName>
    <definedName name="e_1" localSheetId="18" hidden="1">{#N/A,#N/A,TRUE,"Смета на пасс. обор. №1"}</definedName>
    <definedName name="e_1" hidden="1">{#N/A,#N/A,TRUE,"Смета на пасс. обор. №1"}</definedName>
    <definedName name="EQUIP" localSheetId="18">[5]Спецификация!#REF!</definedName>
    <definedName name="EQUIP">[5]Спецификация!#REF!</definedName>
    <definedName name="ert" localSheetId="18">#REF!</definedName>
    <definedName name="ert" localSheetId="19">#REF!</definedName>
    <definedName name="ert" localSheetId="15">#REF!</definedName>
    <definedName name="ert" localSheetId="16">#REF!</definedName>
    <definedName name="ert">#REF!</definedName>
    <definedName name="Excel_BuiltIn_Print_Area" localSheetId="18">#REF!</definedName>
    <definedName name="Excel_BuiltIn_Print_Area">#REF!</definedName>
    <definedName name="Excel_BuiltIn_Print_Area_1" localSheetId="18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8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8">#REF!</definedName>
    <definedName name="Excel_BuiltIn_Print_Area_5">#REF!</definedName>
    <definedName name="Excel_BuiltIn_Print_Area_7">"$#ССЫЛ!.$A$2:$E$5"</definedName>
    <definedName name="Excel_BuiltIn_Print_Titles" localSheetId="18">#REF!</definedName>
    <definedName name="Excel_BuiltIn_Print_Titles">#REF!</definedName>
    <definedName name="Excel_BuiltIn_Print_Titles_1" localSheetId="18">#REF!</definedName>
    <definedName name="Excel_BuiltIn_Print_Titles_1">#REF!</definedName>
    <definedName name="Excel_BuiltIn_Print_Titles_2" localSheetId="18">#REF!</definedName>
    <definedName name="Excel_BuiltIn_Print_Titles_2" localSheetId="19">#REF!</definedName>
    <definedName name="Excel_BuiltIn_Print_Titles_2" localSheetId="15">#REF!</definedName>
    <definedName name="Excel_BuiltIn_Print_Titles_2" localSheetId="16">#REF!</definedName>
    <definedName name="Excel_BuiltIn_Print_Titles_2">#REF!</definedName>
    <definedName name="Excel_BuiltIn_Print_Titles_3" localSheetId="18">#REF!</definedName>
    <definedName name="Excel_BuiltIn_Print_Titles_3" localSheetId="19">#REF!</definedName>
    <definedName name="Excel_BuiltIn_Print_Titles_3" localSheetId="16">#REF!</definedName>
    <definedName name="Excel_BuiltIn_Print_Titles_3">#REF!</definedName>
    <definedName name="fg" localSheetId="18">#REF!</definedName>
    <definedName name="fg" localSheetId="19">#REF!</definedName>
    <definedName name="fg" localSheetId="16">#REF!</definedName>
    <definedName name="fg">#REF!</definedName>
    <definedName name="fl" localSheetId="18">[4]Lucent!#REF!</definedName>
    <definedName name="fl">[4]Lucent!#REF!</definedName>
    <definedName name="Grp_Vector" localSheetId="18">#REF!</definedName>
    <definedName name="Grp_Vector">#REF!</definedName>
    <definedName name="Importation_Cost" localSheetId="18">#REF!</definedName>
    <definedName name="Importation_Cost">#REF!</definedName>
    <definedName name="Itog" localSheetId="17">#REF!</definedName>
    <definedName name="Itog" localSheetId="20">#REF!</definedName>
    <definedName name="Itog" localSheetId="18">#REF!</definedName>
    <definedName name="Itog" localSheetId="11">#REF!</definedName>
    <definedName name="Itog" localSheetId="13">#REF!</definedName>
    <definedName name="Itog" localSheetId="15">#REF!</definedName>
    <definedName name="Itog">#REF!</definedName>
    <definedName name="Itog_1" localSheetId="18">#REF!</definedName>
    <definedName name="Itog_1">#REF!</definedName>
    <definedName name="j" localSheetId="18" hidden="1">{#N/A,#N/A,TRUE,"Смета на пасс. обор. №1"}</definedName>
    <definedName name="j" hidden="1">{#N/A,#N/A,TRUE,"Смета на пасс. обор. №1"}</definedName>
    <definedName name="j_1" localSheetId="18" hidden="1">{#N/A,#N/A,TRUE,"Смета на пасс. обор. №1"}</definedName>
    <definedName name="j_1" hidden="1">{#N/A,#N/A,TRUE,"Смета на пасс. обор. №1"}</definedName>
    <definedName name="kkkkk" localSheetId="18">#REF!</definedName>
    <definedName name="kkkkk">#REF!</definedName>
    <definedName name="Koeffcb" localSheetId="18">#REF!</definedName>
    <definedName name="Koeffcb">#REF!</definedName>
    <definedName name="KPlan" localSheetId="17">#REF!</definedName>
    <definedName name="KPlan" localSheetId="20">#REF!</definedName>
    <definedName name="KPlan" localSheetId="18">#REF!</definedName>
    <definedName name="KPlan" localSheetId="19">#REF!</definedName>
    <definedName name="KPlan">#REF!</definedName>
    <definedName name="lp">[6]Panduit!$E$4</definedName>
    <definedName name="m" localSheetId="18">[7]Microsoft!#REF!</definedName>
    <definedName name="m">[7]Microsoft!#REF!</definedName>
    <definedName name="MATER" localSheetId="18">[5]Спецификация!#REF!</definedName>
    <definedName name="MATER">[5]Спецификация!#REF!</definedName>
    <definedName name="mm" localSheetId="18">[7]Microsoft!#REF!</definedName>
    <definedName name="mm">[7]Microsoft!#REF!</definedName>
    <definedName name="mmm" localSheetId="18">[7]Microsoft!#REF!</definedName>
    <definedName name="mmm">[7]Microsoft!#REF!</definedName>
    <definedName name="n_1" localSheetId="18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8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8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8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8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8">IF('ВОП (по форме 3п)'!n_3=1,'ВОП (по форме 3п)'!n_2,'ВОП (по форме 3п)'!n_3&amp;'ВОП (по форме 3п)'!n_1)</definedName>
    <definedName name="n0x">IF(n_3=1,n_2,n_3&amp;n_1)</definedName>
    <definedName name="n1x" localSheetId="18">IF('ВОП (по форме 3п)'!n_3=1,'ВОП (по форме 3п)'!n_2,'ВОП (по форме 3п)'!n_3&amp;'ВОП (по форме 3п)'!n_5)</definedName>
    <definedName name="n1x">IF(n_3=1,n_2,n_3&amp;n_5)</definedName>
    <definedName name="name" localSheetId="18">#REF!</definedName>
    <definedName name="name">#REF!</definedName>
    <definedName name="p" localSheetId="18" hidden="1">{#N/A,#N/A,TRUE,"Смета на пасс. обор. №1"}</definedName>
    <definedName name="p" hidden="1">{#N/A,#N/A,TRUE,"Смета на пасс. обор. №1"}</definedName>
    <definedName name="p_1" localSheetId="18" hidden="1">{#N/A,#N/A,TRUE,"Смета на пасс. обор. №1"}</definedName>
    <definedName name="p_1" hidden="1">{#N/A,#N/A,TRUE,"Смета на пасс. обор. №1"}</definedName>
    <definedName name="ppp" localSheetId="18">#REF!</definedName>
    <definedName name="ppp">#REF!</definedName>
    <definedName name="pr" localSheetId="18">[5]Спецификация!#REF!</definedName>
    <definedName name="pr">[5]Спецификация!#REF!</definedName>
    <definedName name="Profit" localSheetId="18">[4]Lucent!#REF!</definedName>
    <definedName name="Profit">[4]Lucent!#REF!</definedName>
    <definedName name="profit2" localSheetId="18">[4]Lucent!#REF!</definedName>
    <definedName name="profit2">[4]Lucent!#REF!</definedName>
    <definedName name="ProfitLucent">1.65</definedName>
    <definedName name="PROJ" localSheetId="18">[5]Спецификация!#REF!</definedName>
    <definedName name="PROJ">[5]Спецификация!#REF!</definedName>
    <definedName name="q" localSheetId="18">#REF!</definedName>
    <definedName name="q" localSheetId="19">#REF!</definedName>
    <definedName name="q" localSheetId="16">#REF!</definedName>
    <definedName name="q">#REF!</definedName>
    <definedName name="qqq" localSheetId="18" hidden="1">{#N/A,#N/A,TRUE,"Смета на пасс. обор. №1"}</definedName>
    <definedName name="qqq" hidden="1">{#N/A,#N/A,TRUE,"Смета на пасс. обор. №1"}</definedName>
    <definedName name="qqq_1" localSheetId="18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8">#REF!</definedName>
    <definedName name="qwer" localSheetId="19">#REF!</definedName>
    <definedName name="qwer" localSheetId="16">#REF!</definedName>
    <definedName name="qwer">#REF!</definedName>
    <definedName name="R_Lst" localSheetId="18">#REF!</definedName>
    <definedName name="R_Lst">#REF!</definedName>
    <definedName name="R_Net" localSheetId="18">#REF!</definedName>
    <definedName name="R_Net">#REF!</definedName>
    <definedName name="Rate" localSheetId="18">#REF!</definedName>
    <definedName name="Rate">#REF!</definedName>
    <definedName name="Rit">[8]УКП!$H$3</definedName>
    <definedName name="rty" localSheetId="18">#REF!</definedName>
    <definedName name="rty" localSheetId="19">#REF!</definedName>
    <definedName name="rty" localSheetId="16">#REF!</definedName>
    <definedName name="rty">#REF!</definedName>
    <definedName name="sd" localSheetId="18">#REF!</definedName>
    <definedName name="sd" localSheetId="19">#REF!</definedName>
    <definedName name="sd" localSheetId="16">#REF!</definedName>
    <definedName name="sd">#REF!</definedName>
    <definedName name="SM" localSheetId="18">#REF!</definedName>
    <definedName name="SM" localSheetId="11">#REF!</definedName>
    <definedName name="SM" localSheetId="19">#REF!</definedName>
    <definedName name="SM">#REF!</definedName>
    <definedName name="SM_SM" localSheetId="18">#REF!</definedName>
    <definedName name="SM_SM" localSheetId="11">#REF!</definedName>
    <definedName name="SM_SM">#REF!</definedName>
    <definedName name="SM_STO" localSheetId="17">#REF!</definedName>
    <definedName name="SM_STO" localSheetId="20">#REF!</definedName>
    <definedName name="SM_STO" localSheetId="18">#REF!</definedName>
    <definedName name="SM_STO" localSheetId="11">Геодезия!#REF!</definedName>
    <definedName name="SM_STO" localSheetId="13">#REF!</definedName>
    <definedName name="SM_STO">#REF!</definedName>
    <definedName name="SM_STO_1" localSheetId="18">#REF!</definedName>
    <definedName name="SM_STO_1">'[9]СМЕТА проект'!#REF!</definedName>
    <definedName name="SM_STO1" localSheetId="17">#REF!</definedName>
    <definedName name="SM_STO1" localSheetId="20">#REF!</definedName>
    <definedName name="SM_STO1" localSheetId="18">#REF!</definedName>
    <definedName name="SM_STO1" localSheetId="11">#REF!</definedName>
    <definedName name="SM_STO1" localSheetId="13">#REF!</definedName>
    <definedName name="SM_STO1" localSheetId="19">#REF!</definedName>
    <definedName name="SM_STO1">#REF!</definedName>
    <definedName name="SM_STO1_1" localSheetId="18">#REF!</definedName>
    <definedName name="SM_STO1_1">#REF!</definedName>
    <definedName name="SM_STO1_1_1" localSheetId="18">#REF!</definedName>
    <definedName name="SM_STO1_1_1">#REF!</definedName>
    <definedName name="SM_STO2" localSheetId="17">#REF!</definedName>
    <definedName name="SM_STO2" localSheetId="20">#REF!</definedName>
    <definedName name="SM_STO2" localSheetId="18">#REF!</definedName>
    <definedName name="SM_STO2" localSheetId="11">#REF!</definedName>
    <definedName name="SM_STO2" localSheetId="13">#REF!</definedName>
    <definedName name="SM_STO2" localSheetId="19">#REF!</definedName>
    <definedName name="SM_STO2">#REF!</definedName>
    <definedName name="SM_STO2_1" localSheetId="18">#REF!</definedName>
    <definedName name="SM_STO2_1">#REF!</definedName>
    <definedName name="SM_STO3" localSheetId="17">#REF!</definedName>
    <definedName name="SM_STO3" localSheetId="20">#REF!</definedName>
    <definedName name="SM_STO3" localSheetId="18">#REF!</definedName>
    <definedName name="SM_STO3" localSheetId="11">#REF!</definedName>
    <definedName name="SM_STO3" localSheetId="13">#REF!</definedName>
    <definedName name="SM_STO3" localSheetId="19">#REF!</definedName>
    <definedName name="SM_STO3">#REF!</definedName>
    <definedName name="SM_STO3_1" localSheetId="18">#REF!</definedName>
    <definedName name="SM_STO3_1">#REF!</definedName>
    <definedName name="Smmmmmmmmmmmmmmm" localSheetId="18">#REF!</definedName>
    <definedName name="Smmmmmmmmmmmmmmm">#REF!</definedName>
    <definedName name="SUM_" localSheetId="17">#REF!</definedName>
    <definedName name="SUM_" localSheetId="20">#REF!</definedName>
    <definedName name="SUM_" localSheetId="18">#REF!</definedName>
    <definedName name="SUM_" localSheetId="11">Геодезия!$IU$2</definedName>
    <definedName name="SUM_" localSheetId="13">#REF!</definedName>
    <definedName name="SUM_">#REF!</definedName>
    <definedName name="SUM__1" localSheetId="18">#REF!</definedName>
    <definedName name="SUM__1">#REF!</definedName>
    <definedName name="SUM_1" localSheetId="17">#REF!</definedName>
    <definedName name="SUM_1" localSheetId="20">#REF!</definedName>
    <definedName name="SUM_1" localSheetId="18">#REF!</definedName>
    <definedName name="SUM_1" localSheetId="11">#REF!</definedName>
    <definedName name="SUM_1" localSheetId="13">#REF!</definedName>
    <definedName name="SUM_1">#REF!</definedName>
    <definedName name="SUM_1_1" localSheetId="18">#REF!</definedName>
    <definedName name="SUM_1_1">#REF!</definedName>
    <definedName name="SUM_1_1_1" localSheetId="18">#REF!</definedName>
    <definedName name="SUM_1_1_1">#REF!</definedName>
    <definedName name="sum_2" localSheetId="18">#REF!</definedName>
    <definedName name="sum_2">#REF!</definedName>
    <definedName name="SUM_3" localSheetId="17">#REF!</definedName>
    <definedName name="SUM_3" localSheetId="20">#REF!</definedName>
    <definedName name="SUM_3" localSheetId="18">#REF!</definedName>
    <definedName name="SUM_3" localSheetId="11">#REF!</definedName>
    <definedName name="SUM_3" localSheetId="13">#REF!</definedName>
    <definedName name="SUM_3">#REF!</definedName>
    <definedName name="SUM_3_1" localSheetId="18">#REF!</definedName>
    <definedName name="SUM_3_1">#REF!</definedName>
    <definedName name="sum_4" localSheetId="18">#REF!</definedName>
    <definedName name="sum_4">#REF!</definedName>
    <definedName name="SV" localSheetId="18">#REF!</definedName>
    <definedName name="SV">#REF!</definedName>
    <definedName name="SV_STO" localSheetId="18">#REF!</definedName>
    <definedName name="SV_STO">#REF!</definedName>
    <definedName name="Times" localSheetId="18">#REF!</definedName>
    <definedName name="Times">#REF!</definedName>
    <definedName name="Times_1" localSheetId="18">#REF!</definedName>
    <definedName name="Times_1">#REF!</definedName>
    <definedName name="Times_10" localSheetId="18">#REF!</definedName>
    <definedName name="Times_10">#REF!</definedName>
    <definedName name="Times_11" localSheetId="18">#REF!</definedName>
    <definedName name="Times_11">#REF!</definedName>
    <definedName name="Times_12" localSheetId="18">#REF!</definedName>
    <definedName name="Times_12">#REF!</definedName>
    <definedName name="Times_13" localSheetId="18">#REF!</definedName>
    <definedName name="Times_13">#REF!</definedName>
    <definedName name="Times_14" localSheetId="18">#REF!</definedName>
    <definedName name="Times_14">#REF!</definedName>
    <definedName name="Times_15" localSheetId="18">#REF!</definedName>
    <definedName name="Times_15">#REF!</definedName>
    <definedName name="Times_16" localSheetId="18">#REF!</definedName>
    <definedName name="Times_16">#REF!</definedName>
    <definedName name="Times_17" localSheetId="18">#REF!</definedName>
    <definedName name="Times_17">#REF!</definedName>
    <definedName name="Times_18" localSheetId="18">#REF!</definedName>
    <definedName name="Times_18">#REF!</definedName>
    <definedName name="Times_19" localSheetId="18">#REF!</definedName>
    <definedName name="Times_19">#REF!</definedName>
    <definedName name="Times_2" localSheetId="18">#REF!</definedName>
    <definedName name="Times_2">#REF!</definedName>
    <definedName name="Times_20" localSheetId="18">#REF!</definedName>
    <definedName name="Times_20">#REF!</definedName>
    <definedName name="Times_21" localSheetId="18">#REF!</definedName>
    <definedName name="Times_21">#REF!</definedName>
    <definedName name="Times_22" localSheetId="18">#REF!</definedName>
    <definedName name="Times_22">#REF!</definedName>
    <definedName name="Times_49" localSheetId="18">#REF!</definedName>
    <definedName name="Times_49">#REF!</definedName>
    <definedName name="Times_5" localSheetId="18">#REF!</definedName>
    <definedName name="Times_5">#REF!</definedName>
    <definedName name="Times_50" localSheetId="18">#REF!</definedName>
    <definedName name="Times_50">#REF!</definedName>
    <definedName name="Times_51" localSheetId="18">#REF!</definedName>
    <definedName name="Times_51">#REF!</definedName>
    <definedName name="Times_52" localSheetId="18">#REF!</definedName>
    <definedName name="Times_52">#REF!</definedName>
    <definedName name="Times_53" localSheetId="18">#REF!</definedName>
    <definedName name="Times_53">#REF!</definedName>
    <definedName name="Times_54" localSheetId="18">#REF!</definedName>
    <definedName name="Times_54">#REF!</definedName>
    <definedName name="Times_6" localSheetId="18">#REF!</definedName>
    <definedName name="Times_6">#REF!</definedName>
    <definedName name="Times_7" localSheetId="18">#REF!</definedName>
    <definedName name="Times_7">#REF!</definedName>
    <definedName name="Times_8" localSheetId="18">#REF!</definedName>
    <definedName name="Times_8">#REF!</definedName>
    <definedName name="Times_9" localSheetId="18">#REF!</definedName>
    <definedName name="Times_9">#REF!</definedName>
    <definedName name="tyu" localSheetId="18">#REF!</definedName>
    <definedName name="tyu" localSheetId="16">#REF!</definedName>
    <definedName name="tyu">#REF!</definedName>
    <definedName name="U_Lst" localSheetId="18">#REF!</definedName>
    <definedName name="U_Lst">#REF!</definedName>
    <definedName name="U_Net" localSheetId="18">#REF!</definedName>
    <definedName name="U_Net">#REF!</definedName>
    <definedName name="usd" localSheetId="18">#REF!</definedName>
    <definedName name="usd">#REF!</definedName>
    <definedName name="vsego" localSheetId="18">#REF!</definedName>
    <definedName name="vsego">#REF!</definedName>
    <definedName name="w" localSheetId="18">#REF!</definedName>
    <definedName name="w" localSheetId="16">#REF!</definedName>
    <definedName name="w">#REF!</definedName>
    <definedName name="we" localSheetId="18" hidden="1">{#N/A,#N/A,TRUE,"Смета на пасс. обор. №1"}</definedName>
    <definedName name="we" hidden="1">{#N/A,#N/A,TRUE,"Смета на пасс. обор. №1"}</definedName>
    <definedName name="we_1" localSheetId="18" hidden="1">{#N/A,#N/A,TRUE,"Смета на пасс. обор. №1"}</definedName>
    <definedName name="we_1" hidden="1">{#N/A,#N/A,TRUE,"Смета на пасс. обор. №1"}</definedName>
    <definedName name="wer" localSheetId="18">#REF!</definedName>
    <definedName name="wer" localSheetId="19">#REF!</definedName>
    <definedName name="wer" localSheetId="16">#REF!</definedName>
    <definedName name="wer">#REF!</definedName>
    <definedName name="WORK" localSheetId="18">[5]Спецификация!#REF!</definedName>
    <definedName name="WORK">[5]Спецификация!#REF!</definedName>
    <definedName name="wrn.1." localSheetId="17" hidden="1">{#N/A,#N/A,FALSE,"Шаблон_Спец1"}</definedName>
    <definedName name="wrn.1." localSheetId="20" hidden="1">{#N/A,#N/A,FALSE,"Шаблон_Спец1"}</definedName>
    <definedName name="wrn.1." localSheetId="18" hidden="1">{#N/A,#N/A,FALSE,"Шаблон_Спец1"}</definedName>
    <definedName name="wrn.1." localSheetId="14" hidden="1">{#N/A,#N/A,FALSE,"Шаблон_Спец1"}</definedName>
    <definedName name="wrn.1." localSheetId="19" hidden="1">{#N/A,#N/A,FALSE,"Шаблон_Спец1"}</definedName>
    <definedName name="wrn.1." localSheetId="15" hidden="1">{#N/A,#N/A,FALSE,"Шаблон_Спец1"}</definedName>
    <definedName name="wrn.1." hidden="1">{#N/A,#N/A,FALSE,"Шаблон_Спец1"}</definedName>
    <definedName name="wrn.sp2344." localSheetId="18" hidden="1">{#N/A,#N/A,TRUE,"Смета на пасс. обор. №1"}</definedName>
    <definedName name="wrn.sp2344." hidden="1">{#N/A,#N/A,TRUE,"Смета на пасс. обор. №1"}</definedName>
    <definedName name="wrn.sp2344._1" localSheetId="18" hidden="1">{#N/A,#N/A,TRUE,"Смета на пасс. обор. №1"}</definedName>
    <definedName name="wrn.sp2344._1" hidden="1">{#N/A,#N/A,TRUE,"Смета на пасс. обор. №1"}</definedName>
    <definedName name="wrn.sp2345" localSheetId="18" hidden="1">{#N/A,#N/A,TRUE,"Смета на пасс. обор. №1"}</definedName>
    <definedName name="wrn.sp2345" hidden="1">{#N/A,#N/A,TRUE,"Смета на пасс. обор. №1"}</definedName>
    <definedName name="wrn.sp2345_1" localSheetId="18" hidden="1">{#N/A,#N/A,TRUE,"Смета на пасс. обор. №1"}</definedName>
    <definedName name="wrn.sp2345_1" hidden="1">{#N/A,#N/A,TRUE,"Смета на пасс. обор. №1"}</definedName>
    <definedName name="ww" localSheetId="18">#REF!</definedName>
    <definedName name="ww">#REF!</definedName>
    <definedName name="yui" localSheetId="18">#REF!</definedName>
    <definedName name="yui" localSheetId="19">#REF!</definedName>
    <definedName name="yui" localSheetId="16">#REF!</definedName>
    <definedName name="yui">#REF!</definedName>
    <definedName name="ZAK1" localSheetId="17">#REF!</definedName>
    <definedName name="ZAK1" localSheetId="20">#REF!</definedName>
    <definedName name="ZAK1" localSheetId="18">#REF!</definedName>
    <definedName name="ZAK1" localSheetId="11">#REF!</definedName>
    <definedName name="ZAK1" localSheetId="13">#REF!</definedName>
    <definedName name="ZAK1" localSheetId="19">#REF!</definedName>
    <definedName name="ZAK1">#REF!</definedName>
    <definedName name="ZAK1_1" localSheetId="18">#REF!</definedName>
    <definedName name="ZAK1_1">#REF!</definedName>
    <definedName name="ZAK2" localSheetId="17">#REF!</definedName>
    <definedName name="ZAK2" localSheetId="20">#REF!</definedName>
    <definedName name="ZAK2" localSheetId="18">#REF!</definedName>
    <definedName name="ZAK2" localSheetId="11">#REF!</definedName>
    <definedName name="ZAK2" localSheetId="13">#REF!</definedName>
    <definedName name="ZAK2" localSheetId="19">#REF!</definedName>
    <definedName name="ZAK2">#REF!</definedName>
    <definedName name="ZAK2_1" localSheetId="18">#REF!</definedName>
    <definedName name="ZAK2_1">#REF!</definedName>
    <definedName name="zzzz" localSheetId="18">#REF!</definedName>
    <definedName name="zzzz">#REF!</definedName>
    <definedName name="а" localSheetId="18" hidden="1">{#N/A,#N/A,TRUE,"Смета на пасс. обор. №1"}</definedName>
    <definedName name="а" hidden="1">{#N/A,#N/A,TRUE,"Смета на пасс. обор. №1"}</definedName>
    <definedName name="а_1" localSheetId="18" hidden="1">{#N/A,#N/A,TRUE,"Смета на пасс. обор. №1"}</definedName>
    <definedName name="а_1" hidden="1">{#N/A,#N/A,TRUE,"Смета на пасс. обор. №1"}</definedName>
    <definedName name="а1" localSheetId="18">#REF!</definedName>
    <definedName name="а1">#REF!</definedName>
    <definedName name="А2" localSheetId="18">#REF!</definedName>
    <definedName name="А2">#REF!</definedName>
    <definedName name="а36" localSheetId="17">#REF!</definedName>
    <definedName name="а36" localSheetId="20">#REF!</definedName>
    <definedName name="а36" localSheetId="18">#REF!</definedName>
    <definedName name="а36" localSheetId="11">#REF!</definedName>
    <definedName name="а36" localSheetId="13">#REF!</definedName>
    <definedName name="а36" localSheetId="19">#REF!</definedName>
    <definedName name="а36">#REF!</definedName>
    <definedName name="а36_1" localSheetId="18">#REF!</definedName>
    <definedName name="а36_1">#REF!</definedName>
    <definedName name="аа" localSheetId="17">[3]топография!#REF!</definedName>
    <definedName name="аа" localSheetId="20">[3]топография!#REF!</definedName>
    <definedName name="аа" localSheetId="18">[3]топография!#REF!</definedName>
    <definedName name="аа" localSheetId="13">[3]топография!#REF!</definedName>
    <definedName name="аа" localSheetId="19">[3]топография!#REF!</definedName>
    <definedName name="аа">[3]топография!#REF!</definedName>
    <definedName name="ав" localSheetId="18">#REF!</definedName>
    <definedName name="ав">#REF!</definedName>
    <definedName name="ав_1" localSheetId="18">#REF!</definedName>
    <definedName name="ав_1">#REF!</definedName>
    <definedName name="авс" localSheetId="18">#REF!</definedName>
    <definedName name="авс">#REF!</definedName>
    <definedName name="автом" localSheetId="18">#REF!</definedName>
    <definedName name="автом">#REF!</definedName>
    <definedName name="Азб" localSheetId="18">#REF!</definedName>
    <definedName name="Азб">#REF!</definedName>
    <definedName name="АКСТ">'[10]Лист опроса'!$B$22</definedName>
    <definedName name="аолрмб">[11]Вспомогательный!$D$77</definedName>
    <definedName name="ап" localSheetId="18" hidden="1">{#N/A,#N/A,TRUE,"Смета на пасс. обор. №1"}</definedName>
    <definedName name="ап" hidden="1">{#N/A,#N/A,TRUE,"Смета на пасс. обор. №1"}</definedName>
    <definedName name="ап_1" localSheetId="18" hidden="1">{#N/A,#N/A,TRUE,"Смета на пасс. обор. №1"}</definedName>
    <definedName name="ап_1" hidden="1">{#N/A,#N/A,TRUE,"Смета на пасс. обор. №1"}</definedName>
    <definedName name="апр" localSheetId="18" hidden="1">{#N/A,#N/A,TRUE,"Смета на пасс. обор. №1"}</definedName>
    <definedName name="апр" hidden="1">{#N/A,#N/A,TRUE,"Смета на пасс. обор. №1"}</definedName>
    <definedName name="апр_1" localSheetId="18" hidden="1">{#N/A,#N/A,TRUE,"Смета на пасс. обор. №1"}</definedName>
    <definedName name="апр_1" hidden="1">{#N/A,#N/A,TRUE,"Смета на пасс. обор. №1"}</definedName>
    <definedName name="астр" localSheetId="18">#REF!</definedName>
    <definedName name="астр">#REF!</definedName>
    <definedName name="Астрахань" localSheetId="18">#REF!</definedName>
    <definedName name="Астрахань">#REF!</definedName>
    <definedName name="Астрахань_1" localSheetId="18">#REF!</definedName>
    <definedName name="Астрахань_1">#REF!</definedName>
    <definedName name="Астрахань_2" localSheetId="18">#REF!</definedName>
    <definedName name="Астрахань_2">#REF!</definedName>
    <definedName name="Астрахань_22" localSheetId="18">#REF!</definedName>
    <definedName name="Астрахань_22">#REF!</definedName>
    <definedName name="Астрахань_49" localSheetId="18">#REF!</definedName>
    <definedName name="Астрахань_49">#REF!</definedName>
    <definedName name="Астрахань_5" localSheetId="18">#REF!</definedName>
    <definedName name="Астрахань_5">#REF!</definedName>
    <definedName name="Астрахань_50" localSheetId="18">#REF!</definedName>
    <definedName name="Астрахань_50">#REF!</definedName>
    <definedName name="Астрахань_51" localSheetId="18">#REF!</definedName>
    <definedName name="Астрахань_51">#REF!</definedName>
    <definedName name="Астрахань_52" localSheetId="18">#REF!</definedName>
    <definedName name="Астрахань_52">#REF!</definedName>
    <definedName name="Астрахань_53" localSheetId="18">#REF!</definedName>
    <definedName name="Астрахань_53">#REF!</definedName>
    <definedName name="Астрахань_54" localSheetId="18">#REF!</definedName>
    <definedName name="Астрахань_54">#REF!</definedName>
    <definedName name="АСУТП2" localSheetId="18">#REF!</definedName>
    <definedName name="АСУТП2">#REF!</definedName>
    <definedName name="АСУТП2_1" localSheetId="18">#REF!</definedName>
    <definedName name="АСУТП2_1">#REF!</definedName>
    <definedName name="АСУТП2_2" localSheetId="18">#REF!</definedName>
    <definedName name="АСУТП2_2">#REF!</definedName>
    <definedName name="АСУТП2_22" localSheetId="18">#REF!</definedName>
    <definedName name="АСУТП2_22">#REF!</definedName>
    <definedName name="АСУТП2_49" localSheetId="18">#REF!</definedName>
    <definedName name="АСУТП2_49">#REF!</definedName>
    <definedName name="АСУТП2_5" localSheetId="18">#REF!</definedName>
    <definedName name="АСУТП2_5">#REF!</definedName>
    <definedName name="АСУТП2_50" localSheetId="18">#REF!</definedName>
    <definedName name="АСУТП2_50">#REF!</definedName>
    <definedName name="АСУТП2_51" localSheetId="18">#REF!</definedName>
    <definedName name="АСУТП2_51">#REF!</definedName>
    <definedName name="АСУТП2_52" localSheetId="18">#REF!</definedName>
    <definedName name="АСУТП2_52">#REF!</definedName>
    <definedName name="АСУТП2_53" localSheetId="18">#REF!</definedName>
    <definedName name="АСУТП2_53">#REF!</definedName>
    <definedName name="АСУТП2_54" localSheetId="18">#REF!</definedName>
    <definedName name="АСУТП2_54">#REF!</definedName>
    <definedName name="АСУТПАстрахань" localSheetId="18">#REF!</definedName>
    <definedName name="АСУТПАстрахань">#REF!</definedName>
    <definedName name="АСУТПАстрахань_1" localSheetId="18">#REF!</definedName>
    <definedName name="АСУТПАстрахань_1">#REF!</definedName>
    <definedName name="АСУТПАстрахань_2" localSheetId="18">#REF!</definedName>
    <definedName name="АСУТПАстрахань_2">#REF!</definedName>
    <definedName name="АСУТПАстрахань_22" localSheetId="18">#REF!</definedName>
    <definedName name="АСУТПАстрахань_22">#REF!</definedName>
    <definedName name="АСУТПАстрахань_49" localSheetId="18">#REF!</definedName>
    <definedName name="АСУТПАстрахань_49">#REF!</definedName>
    <definedName name="АСУТПАстрахань_5" localSheetId="18">#REF!</definedName>
    <definedName name="АСУТПАстрахань_5">#REF!</definedName>
    <definedName name="АСУТПАстрахань_50" localSheetId="18">#REF!</definedName>
    <definedName name="АСУТПАстрахань_50">#REF!</definedName>
    <definedName name="АСУТПАстрахань_51" localSheetId="18">#REF!</definedName>
    <definedName name="АСУТПАстрахань_51">#REF!</definedName>
    <definedName name="АСУТПАстрахань_52" localSheetId="18">#REF!</definedName>
    <definedName name="АСУТПАстрахань_52">#REF!</definedName>
    <definedName name="АСУТПАстрахань_53" localSheetId="18">#REF!</definedName>
    <definedName name="АСУТПАстрахань_53">#REF!</definedName>
    <definedName name="АСУТПАстрахань_54" localSheetId="18">#REF!</definedName>
    <definedName name="АСУТПАстрахань_54">#REF!</definedName>
    <definedName name="АСУТПН.Новгород" localSheetId="18">#REF!</definedName>
    <definedName name="АСУТПН.Новгород">#REF!</definedName>
    <definedName name="АСУТПН.Новгород_1" localSheetId="18">#REF!</definedName>
    <definedName name="АСУТПН.Новгород_1">#REF!</definedName>
    <definedName name="АСУТПН.Новгород_2" localSheetId="18">#REF!</definedName>
    <definedName name="АСУТПН.Новгород_2">#REF!</definedName>
    <definedName name="АСУТПН.Новгород_22" localSheetId="18">#REF!</definedName>
    <definedName name="АСУТПН.Новгород_22">#REF!</definedName>
    <definedName name="АСУТПН.Новгород_49" localSheetId="18">#REF!</definedName>
    <definedName name="АСУТПН.Новгород_49">#REF!</definedName>
    <definedName name="АСУТПН.Новгород_5" localSheetId="18">#REF!</definedName>
    <definedName name="АСУТПН.Новгород_5">#REF!</definedName>
    <definedName name="АСУТПН.Новгород_50" localSheetId="18">#REF!</definedName>
    <definedName name="АСУТПН.Новгород_50">#REF!</definedName>
    <definedName name="АСУТПН.Новгород_51" localSheetId="18">#REF!</definedName>
    <definedName name="АСУТПН.Новгород_51">#REF!</definedName>
    <definedName name="АСУТПН.Новгород_52" localSheetId="18">#REF!</definedName>
    <definedName name="АСУТПН.Новгород_52">#REF!</definedName>
    <definedName name="АСУТПН.Новгород_53" localSheetId="18">#REF!</definedName>
    <definedName name="АСУТПН.Новгород_53">#REF!</definedName>
    <definedName name="АСУТПН.Новгород_54" localSheetId="18">#REF!</definedName>
    <definedName name="АСУТПН.Новгород_54">#REF!</definedName>
    <definedName name="АСУТПСтаврополь" localSheetId="18">#REF!</definedName>
    <definedName name="АСУТПСтаврополь">#REF!</definedName>
    <definedName name="АСУТПСтаврополь_1" localSheetId="18">#REF!</definedName>
    <definedName name="АСУТПСтаврополь_1">#REF!</definedName>
    <definedName name="АСУТПСтаврополь_2" localSheetId="18">#REF!</definedName>
    <definedName name="АСУТПСтаврополь_2">#REF!</definedName>
    <definedName name="АСУТПСтаврополь_22" localSheetId="18">#REF!</definedName>
    <definedName name="АСУТПСтаврополь_22">#REF!</definedName>
    <definedName name="АСУТПСтаврополь_49" localSheetId="18">#REF!</definedName>
    <definedName name="АСУТПСтаврополь_49">#REF!</definedName>
    <definedName name="АСУТПСтаврополь_5" localSheetId="18">#REF!</definedName>
    <definedName name="АСУТПСтаврополь_5">#REF!</definedName>
    <definedName name="АСУТПСтаврополь_50" localSheetId="18">#REF!</definedName>
    <definedName name="АСУТПСтаврополь_50">#REF!</definedName>
    <definedName name="АСУТПСтаврополь_51" localSheetId="18">#REF!</definedName>
    <definedName name="АСУТПСтаврополь_51">#REF!</definedName>
    <definedName name="АСУТПСтаврополь_52" localSheetId="18">#REF!</definedName>
    <definedName name="АСУТПСтаврополь_52">#REF!</definedName>
    <definedName name="АСУТПСтаврополь_53" localSheetId="18">#REF!</definedName>
    <definedName name="АСУТПСтаврополь_53">#REF!</definedName>
    <definedName name="АСУТПСтаврополь_54" localSheetId="18">#REF!</definedName>
    <definedName name="АСУТПСтаврополь_54">#REF!</definedName>
    <definedName name="АФС" localSheetId="18">[3]топография!#REF!</definedName>
    <definedName name="АФС">[3]топография!#REF!</definedName>
    <definedName name="б" localSheetId="18" hidden="1">{#N/A,#N/A,TRUE,"Смета на пасс. обор. №1"}</definedName>
    <definedName name="б" hidden="1">{#N/A,#N/A,TRUE,"Смета на пасс. обор. №1"}</definedName>
    <definedName name="б_1" localSheetId="18" hidden="1">{#N/A,#N/A,TRUE,"Смета на пасс. обор. №1"}</definedName>
    <definedName name="б_1" hidden="1">{#N/A,#N/A,TRUE,"Смета на пасс. обор. №1"}</definedName>
    <definedName name="бабабла" localSheetId="18" hidden="1">{#N/A,#N/A,TRUE,"Смета на пасс. обор. №1"}</definedName>
    <definedName name="бабабла" hidden="1">{#N/A,#N/A,TRUE,"Смета на пасс. обор. №1"}</definedName>
    <definedName name="бабабла_1" localSheetId="18" hidden="1">{#N/A,#N/A,TRUE,"Смета на пасс. обор. №1"}</definedName>
    <definedName name="бабабла_1" hidden="1">{#N/A,#N/A,TRUE,"Смета на пасс. обор. №1"}</definedName>
    <definedName name="_xlnm.Database">'[12]ПС 110 кВ (доп)'!$B$1:$F$18</definedName>
    <definedName name="Бланк_сметы" localSheetId="18">#REF!</definedName>
    <definedName name="Бланк_сметы" localSheetId="19">#REF!</definedName>
    <definedName name="Бланк_сметы" localSheetId="15">#REF!</definedName>
    <definedName name="Бланк_сметы">#REF!</definedName>
    <definedName name="бол" localSheetId="18" hidden="1">{#N/A,#N/A,TRUE,"Смета на пасс. обор. №1"}</definedName>
    <definedName name="бол" hidden="1">{#N/A,#N/A,TRUE,"Смета на пасс. обор. №1"}</definedName>
    <definedName name="бол_1" localSheetId="18" hidden="1">{#N/A,#N/A,TRUE,"Смета на пасс. обор. №1"}</definedName>
    <definedName name="бол_1" hidden="1">{#N/A,#N/A,TRUE,"Смета на пасс. обор. №1"}</definedName>
    <definedName name="БСИР" localSheetId="18">#REF!</definedName>
    <definedName name="БСИР" localSheetId="19">#REF!</definedName>
    <definedName name="БСИР" localSheetId="15">#REF!</definedName>
    <definedName name="БСИР">#REF!</definedName>
    <definedName name="в" localSheetId="18" hidden="1">{#N/A,#N/A,TRUE,"Смета на пасс. обор. №1"}</definedName>
    <definedName name="в" hidden="1">{#N/A,#N/A,TRUE,"Смета на пасс. обор. №1"}</definedName>
    <definedName name="в_1" localSheetId="18" hidden="1">{#N/A,#N/A,TRUE,"Смета на пасс. обор. №1"}</definedName>
    <definedName name="в_1" hidden="1">{#N/A,#N/A,TRUE,"Смета на пасс. обор. №1"}</definedName>
    <definedName name="ва" localSheetId="18">#REF!</definedName>
    <definedName name="ва" localSheetId="19">#REF!</definedName>
    <definedName name="ва" localSheetId="15">#REF!</definedName>
    <definedName name="ва">#REF!</definedName>
    <definedName name="вап" localSheetId="18" hidden="1">{#N/A,#N/A,TRUE,"Смета на пасс. обор. №1"}</definedName>
    <definedName name="вап" hidden="1">{#N/A,#N/A,TRUE,"Смета на пасс. обор. №1"}</definedName>
    <definedName name="вап_1" localSheetId="18" hidden="1">{#N/A,#N/A,TRUE,"Смета на пасс. обор. №1"}</definedName>
    <definedName name="вап_1" hidden="1">{#N/A,#N/A,TRUE,"Смета на пасс. обор. №1"}</definedName>
    <definedName name="вапапо" localSheetId="18" hidden="1">{#N/A,#N/A,TRUE,"Смета на пасс. обор. №1"}</definedName>
    <definedName name="вапапо" hidden="1">{#N/A,#N/A,TRUE,"Смета на пасс. обор. №1"}</definedName>
    <definedName name="вапапо_1" localSheetId="18" hidden="1">{#N/A,#N/A,TRUE,"Смета на пасс. обор. №1"}</definedName>
    <definedName name="вапапо_1" hidden="1">{#N/A,#N/A,TRUE,"Смета на пасс. обор. №1"}</definedName>
    <definedName name="вв" localSheetId="17">[3]топография!#REF!</definedName>
    <definedName name="вв" localSheetId="20">[3]топография!#REF!</definedName>
    <definedName name="вв" localSheetId="18">[3]топография!#REF!</definedName>
    <definedName name="вв" localSheetId="13">[3]топография!#REF!</definedName>
    <definedName name="вв" localSheetId="15">[3]топография!#REF!</definedName>
    <definedName name="вв">[3]топография!#REF!</definedName>
    <definedName name="ввв" localSheetId="18">#REF!</definedName>
    <definedName name="ввв">#REF!</definedName>
    <definedName name="ввод" localSheetId="18">#REF!</definedName>
    <definedName name="ввод">#REF!</definedName>
    <definedName name="ввод_1" localSheetId="18">#REF!</definedName>
    <definedName name="ввод_1">#REF!</definedName>
    <definedName name="ввод_49" localSheetId="18">#REF!</definedName>
    <definedName name="ввод_49">#REF!</definedName>
    <definedName name="ввод_50" localSheetId="18">#REF!</definedName>
    <definedName name="ввод_50">#REF!</definedName>
    <definedName name="ввод_51" localSheetId="18">#REF!</definedName>
    <definedName name="ввод_51">#REF!</definedName>
    <definedName name="ввод_52" localSheetId="18">#REF!</definedName>
    <definedName name="ввод_52">#REF!</definedName>
    <definedName name="ввод_53" localSheetId="18">#REF!</definedName>
    <definedName name="ввод_53">#REF!</definedName>
    <definedName name="ввод_54" localSheetId="18">#REF!</definedName>
    <definedName name="ввод_54">#REF!</definedName>
    <definedName name="вика" localSheetId="18">#REF!</definedName>
    <definedName name="вика">#REF!</definedName>
    <definedName name="Внут_Т" localSheetId="18">#REF!</definedName>
    <definedName name="Внут_Т" localSheetId="19">#REF!</definedName>
    <definedName name="Внут_Т" localSheetId="15">#REF!</definedName>
    <definedName name="Внут_Т">#REF!</definedName>
    <definedName name="воп" localSheetId="18">[3]топография!#REF!</definedName>
    <definedName name="воп">[3]топография!#REF!</definedName>
    <definedName name="вравар" localSheetId="18">#REF!</definedName>
    <definedName name="вравар">#REF!</definedName>
    <definedName name="Времен">[13]Коэфф!$B$2</definedName>
    <definedName name="ВСЕГО" localSheetId="18">#REF!</definedName>
    <definedName name="ВСЕГО" localSheetId="19">#REF!</definedName>
    <definedName name="ВСЕГО" localSheetId="15">#REF!</definedName>
    <definedName name="ВСЕГО">#REF!</definedName>
    <definedName name="ВсегоРучБур">[14]СмРучБур!$J$40</definedName>
    <definedName name="ВсегоШурфов" localSheetId="18">#REF!</definedName>
    <definedName name="ВсегоШурфов">#REF!</definedName>
    <definedName name="Вспом" localSheetId="18">#REF!</definedName>
    <definedName name="Вспом" localSheetId="19">#REF!</definedName>
    <definedName name="Вспом" localSheetId="15">#REF!</definedName>
    <definedName name="Вспом">#REF!</definedName>
    <definedName name="Вторич" localSheetId="18">#REF!</definedName>
    <definedName name="Вторич">#REF!</definedName>
    <definedName name="ВЫЕЗД_всего">[15]РасчетКомандир1!$M$1:$M$65536</definedName>
    <definedName name="ВЫЕЗД_всего_1">[15]РасчетКомандир2!$O$1:$O$65536</definedName>
    <definedName name="ВЫЕЗД_период">[15]РасчетКомандир1!$E$1:$E$65536</definedName>
    <definedName name="ВЫЕЗД_период_1">[15]РасчетКомандир2!$E$1:$E$65536</definedName>
    <definedName name="ггггггггггггггггггггггггггггггггггггггггггггггг" localSheetId="18">[3]топография!#REF!</definedName>
    <definedName name="ггггггггггггггггггггггггггггггггггггггггггггггг">[3]топография!#REF!</definedName>
    <definedName name="гелог" localSheetId="18">#REF!</definedName>
    <definedName name="гелог">#REF!</definedName>
    <definedName name="гео" localSheetId="18">#REF!</definedName>
    <definedName name="гео">#REF!</definedName>
    <definedName name="геодез1">[16]геолог!$L$81</definedName>
    <definedName name="геол" localSheetId="18">[17]Смета!#REF!</definedName>
    <definedName name="геол">[18]Смета!#REF!</definedName>
    <definedName name="геол.1" localSheetId="18">#REF!</definedName>
    <definedName name="геол.1">#REF!</definedName>
    <definedName name="геол_1" localSheetId="18">[19]Смета!#REF!</definedName>
    <definedName name="геол_1">[19]Смета!#REF!</definedName>
    <definedName name="геол_2" localSheetId="18">[20]Смета!#REF!</definedName>
    <definedName name="геол_2">[20]Смета!#REF!</definedName>
    <definedName name="Геол_Лазаревск" localSheetId="18">[3]топография!#REF!</definedName>
    <definedName name="Геол_Лазаревск">[3]топография!#REF!</definedName>
    <definedName name="геол1" localSheetId="18">#REF!</definedName>
    <definedName name="геол1">#REF!</definedName>
    <definedName name="геоф" localSheetId="18">#REF!</definedName>
    <definedName name="геоф">#REF!</definedName>
    <definedName name="Геофиз" localSheetId="18">#REF!</definedName>
    <definedName name="Геофиз">#REF!</definedName>
    <definedName name="геофизика" localSheetId="18">#REF!</definedName>
    <definedName name="геофизика">#REF!</definedName>
    <definedName name="гид" localSheetId="18">[21]Смета!#REF!</definedName>
    <definedName name="гид">[22]Смета!#REF!</definedName>
    <definedName name="гид_1" localSheetId="18">[23]Смета!#REF!</definedName>
    <definedName name="гид_1">[23]Смета!#REF!</definedName>
    <definedName name="гид_2" localSheetId="18">[24]Смета!#REF!</definedName>
    <definedName name="гид_2">[24]Смета!#REF!</definedName>
    <definedName name="Гидро" localSheetId="18">[3]топография!#REF!</definedName>
    <definedName name="Гидро">[3]топография!#REF!</definedName>
    <definedName name="гидро1" localSheetId="18">#REF!</definedName>
    <definedName name="гидро1">#REF!</definedName>
    <definedName name="гидро1_1" localSheetId="18">#REF!</definedName>
    <definedName name="гидро1_1">#REF!</definedName>
    <definedName name="гидрол" localSheetId="18">#REF!</definedName>
    <definedName name="гидрол">#REF!</definedName>
    <definedName name="гидролог" localSheetId="18">#REF!</definedName>
    <definedName name="Гидролог">#REF!</definedName>
    <definedName name="гидролог_1" localSheetId="18">#REF!</definedName>
    <definedName name="гидролог_1">#REF!</definedName>
    <definedName name="Гидрология_7.03.08" localSheetId="18">[3]топография!#REF!</definedName>
    <definedName name="Гидрология_7.03.08">[3]топография!#REF!</definedName>
    <definedName name="ГИП" localSheetId="18">#REF!</definedName>
    <definedName name="ГИП">#REF!</definedName>
    <definedName name="ГИП_1" localSheetId="18">#REF!</definedName>
    <definedName name="ГИП_1">#REF!</definedName>
    <definedName name="город" localSheetId="18">#REF!</definedName>
    <definedName name="город">#REF!</definedName>
    <definedName name="город_49" localSheetId="18">#REF!</definedName>
    <definedName name="город_49">#REF!</definedName>
    <definedName name="город_50" localSheetId="18">#REF!</definedName>
    <definedName name="город_50">#REF!</definedName>
    <definedName name="город_51" localSheetId="18">#REF!</definedName>
    <definedName name="город_51">#REF!</definedName>
    <definedName name="город_52" localSheetId="18">#REF!</definedName>
    <definedName name="город_52">#REF!</definedName>
    <definedName name="город_53" localSheetId="18">#REF!</definedName>
    <definedName name="город_53">#REF!</definedName>
    <definedName name="город_54" localSheetId="18">#REF!</definedName>
    <definedName name="город_54">#REF!</definedName>
    <definedName name="ГРП" localSheetId="18">#REF!</definedName>
    <definedName name="ГРП" localSheetId="19">#REF!</definedName>
    <definedName name="ГРП" localSheetId="15">#REF!</definedName>
    <definedName name="ГРП" localSheetId="16">#REF!</definedName>
    <definedName name="ГРП">#REF!</definedName>
    <definedName name="ГРП1" localSheetId="18">#REF!</definedName>
    <definedName name="ГРП1" localSheetId="15">#REF!</definedName>
    <definedName name="ГРП1" localSheetId="16">#REF!</definedName>
    <definedName name="ГРП1">#REF!</definedName>
    <definedName name="гшшг">NA()</definedName>
    <definedName name="д1" localSheetId="17">#REF!</definedName>
    <definedName name="д1" localSheetId="20">#REF!</definedName>
    <definedName name="д1" localSheetId="18">#REF!</definedName>
    <definedName name="д1" localSheetId="19">#REF!</definedName>
    <definedName name="д1" localSheetId="15">#REF!</definedName>
    <definedName name="д1">#REF!</definedName>
    <definedName name="д10" localSheetId="17">#REF!</definedName>
    <definedName name="д10" localSheetId="20">#REF!</definedName>
    <definedName name="д10" localSheetId="18">#REF!</definedName>
    <definedName name="д10" localSheetId="19">#REF!</definedName>
    <definedName name="д10">#REF!</definedName>
    <definedName name="д2" localSheetId="17">#REF!</definedName>
    <definedName name="д2" localSheetId="20">#REF!</definedName>
    <definedName name="д2" localSheetId="18">#REF!</definedName>
    <definedName name="д2" localSheetId="19">#REF!</definedName>
    <definedName name="д2">#REF!</definedName>
    <definedName name="д3" localSheetId="17">#REF!</definedName>
    <definedName name="д3" localSheetId="20">#REF!</definedName>
    <definedName name="д3" localSheetId="18">#REF!</definedName>
    <definedName name="д3">#REF!</definedName>
    <definedName name="д4" localSheetId="17">#REF!</definedName>
    <definedName name="д4" localSheetId="20">#REF!</definedName>
    <definedName name="д4" localSheetId="18">#REF!</definedName>
    <definedName name="д4">#REF!</definedName>
    <definedName name="д5" localSheetId="17">#REF!</definedName>
    <definedName name="д5" localSheetId="20">#REF!</definedName>
    <definedName name="д5" localSheetId="18">#REF!</definedName>
    <definedName name="д5">#REF!</definedName>
    <definedName name="д6" localSheetId="17">#REF!</definedName>
    <definedName name="д6" localSheetId="20">#REF!</definedName>
    <definedName name="д6" localSheetId="18">#REF!</definedName>
    <definedName name="д6">#REF!</definedName>
    <definedName name="д7" localSheetId="17">#REF!</definedName>
    <definedName name="д7" localSheetId="20">#REF!</definedName>
    <definedName name="д7" localSheetId="18">#REF!</definedName>
    <definedName name="д7">#REF!</definedName>
    <definedName name="д8" localSheetId="17">#REF!</definedName>
    <definedName name="д8" localSheetId="20">#REF!</definedName>
    <definedName name="д8" localSheetId="18">#REF!</definedName>
    <definedName name="д8">#REF!</definedName>
    <definedName name="д9" localSheetId="17">#REF!</definedName>
    <definedName name="д9" localSheetId="20">#REF!</definedName>
    <definedName name="д9" localSheetId="18">#REF!</definedName>
    <definedName name="д9">#REF!</definedName>
    <definedName name="дд" localSheetId="18">[25]Смета!#REF!</definedName>
    <definedName name="дд">[26]Смета!#REF!</definedName>
    <definedName name="ддддд" localSheetId="18">#REF!</definedName>
    <definedName name="ддддд">#REF!</definedName>
    <definedName name="Дельта">[27]DATA!$B$4</definedName>
    <definedName name="Дефлятор" localSheetId="18">#REF!</definedName>
    <definedName name="Дефлятор">#REF!</definedName>
    <definedName name="Дефлятор_1" localSheetId="18">#REF!</definedName>
    <definedName name="Дефлятор_1">#REF!</definedName>
    <definedName name="дж">[11]Вспомогательный!$D$36</definedName>
    <definedName name="дж1">[11]Вспомогательный!$D$38</definedName>
    <definedName name="джэ" localSheetId="18" hidden="1">{#N/A,#N/A,TRUE,"Смета на пасс. обор. №1"}</definedName>
    <definedName name="джэ" hidden="1">{#N/A,#N/A,TRUE,"Смета на пасс. обор. №1"}</definedName>
    <definedName name="джэ_1" localSheetId="18" hidden="1">{#N/A,#N/A,TRUE,"Смета на пасс. обор. №1"}</definedName>
    <definedName name="джэ_1" hidden="1">{#N/A,#N/A,TRUE,"Смета на пасс. обор. №1"}</definedName>
    <definedName name="дл" localSheetId="18">#REF!</definedName>
    <definedName name="дл">#REF!</definedName>
    <definedName name="дл_1" localSheetId="18">#REF!</definedName>
    <definedName name="дл_1">#REF!</definedName>
    <definedName name="дл_10" localSheetId="18">#REF!</definedName>
    <definedName name="дл_10">#REF!</definedName>
    <definedName name="дл_11" localSheetId="18">#REF!</definedName>
    <definedName name="дл_11">#REF!</definedName>
    <definedName name="дл_12" localSheetId="18">#REF!</definedName>
    <definedName name="дл_12">#REF!</definedName>
    <definedName name="дл_13" localSheetId="18">#REF!</definedName>
    <definedName name="дл_13">#REF!</definedName>
    <definedName name="дл_14" localSheetId="18">#REF!</definedName>
    <definedName name="дл_14">#REF!</definedName>
    <definedName name="дл_15" localSheetId="18">#REF!</definedName>
    <definedName name="дл_15">#REF!</definedName>
    <definedName name="дл_16" localSheetId="18">#REF!</definedName>
    <definedName name="дл_16">#REF!</definedName>
    <definedName name="дл_17" localSheetId="18">#REF!</definedName>
    <definedName name="дл_17">#REF!</definedName>
    <definedName name="дл_18" localSheetId="18">#REF!</definedName>
    <definedName name="дл_18">#REF!</definedName>
    <definedName name="дл_19" localSheetId="18">#REF!</definedName>
    <definedName name="дл_19">#REF!</definedName>
    <definedName name="дл_2" localSheetId="18">#REF!</definedName>
    <definedName name="дл_2">#REF!</definedName>
    <definedName name="дл_20" localSheetId="18">#REF!</definedName>
    <definedName name="дл_20">#REF!</definedName>
    <definedName name="дл_21" localSheetId="18">#REF!</definedName>
    <definedName name="дл_21">#REF!</definedName>
    <definedName name="дл_49" localSheetId="18">#REF!</definedName>
    <definedName name="дл_49">#REF!</definedName>
    <definedName name="дл_50" localSheetId="18">#REF!</definedName>
    <definedName name="дл_50">#REF!</definedName>
    <definedName name="дл_51" localSheetId="18">#REF!</definedName>
    <definedName name="дл_51">#REF!</definedName>
    <definedName name="дл_52" localSheetId="18">#REF!</definedName>
    <definedName name="дл_52">#REF!</definedName>
    <definedName name="дл_53" localSheetId="18">#REF!</definedName>
    <definedName name="дл_53">#REF!</definedName>
    <definedName name="дл_54" localSheetId="18">#REF!</definedName>
    <definedName name="дл_54">#REF!</definedName>
    <definedName name="дл_6" localSheetId="18">#REF!</definedName>
    <definedName name="дл_6">#REF!</definedName>
    <definedName name="дл_7" localSheetId="18">#REF!</definedName>
    <definedName name="дл_7">#REF!</definedName>
    <definedName name="дл_8" localSheetId="18">#REF!</definedName>
    <definedName name="дл_8">#REF!</definedName>
    <definedName name="дл_9" localSheetId="18">#REF!</definedName>
    <definedName name="дл_9">#REF!</definedName>
    <definedName name="Длинна_границы" localSheetId="18">#REF!</definedName>
    <definedName name="Длинна_границы">#REF!</definedName>
    <definedName name="Длинна_границы_1" localSheetId="18">#REF!</definedName>
    <definedName name="Длинна_границы_1">#REF!</definedName>
    <definedName name="Длинна_трассы" localSheetId="18">#REF!</definedName>
    <definedName name="Длинна_трассы">#REF!</definedName>
    <definedName name="Длинна_трассы_1" localSheetId="18">#REF!</definedName>
    <definedName name="Длинна_трассы_1">#REF!</definedName>
    <definedName name="ДЛО" localSheetId="17">#REF!</definedName>
    <definedName name="ДЛО" localSheetId="20">#REF!</definedName>
    <definedName name="ДЛО" localSheetId="18">#REF!</definedName>
    <definedName name="ДЛО" localSheetId="19">#REF!</definedName>
    <definedName name="ДЛО" localSheetId="15">#REF!</definedName>
    <definedName name="ДЛО">#REF!</definedName>
    <definedName name="доп" localSheetId="18" hidden="1">{#N/A,#N/A,TRUE,"Смета на пасс. обор. №1"}</definedName>
    <definedName name="доп" hidden="1">{#N/A,#N/A,TRUE,"Смета на пасс. обор. №1"}</definedName>
    <definedName name="доп_1" localSheetId="18" hidden="1">{#N/A,#N/A,TRUE,"Смета на пасс. обор. №1"}</definedName>
    <definedName name="доп_1" hidden="1">{#N/A,#N/A,TRUE,"Смета на пасс. обор. №1"}</definedName>
    <definedName name="дп" localSheetId="17">#REF!</definedName>
    <definedName name="дп" localSheetId="20">#REF!</definedName>
    <definedName name="дп" localSheetId="18">#REF!</definedName>
    <definedName name="дп" localSheetId="19">#REF!</definedName>
    <definedName name="дп" localSheetId="15">#REF!</definedName>
    <definedName name="дп">#REF!</definedName>
    <definedName name="ДСК" localSheetId="17">[3]топография!#REF!</definedName>
    <definedName name="ДСК" localSheetId="20">[3]топография!#REF!</definedName>
    <definedName name="ДСК" localSheetId="18">[3]топография!#REF!</definedName>
    <definedName name="ДСК" localSheetId="11">[3]топография!#REF!</definedName>
    <definedName name="ДСК" localSheetId="13">[3]топография!#REF!</definedName>
    <definedName name="ДСК" localSheetId="15">[3]топография!#REF!</definedName>
    <definedName name="ДСК">[3]топография!#REF!</definedName>
    <definedName name="ДСК_1" localSheetId="18">[3]топография!#REF!</definedName>
    <definedName name="ДСК_1">[3]топография!#REF!</definedName>
    <definedName name="дэ" localSheetId="17">#REF!</definedName>
    <definedName name="дэ" localSheetId="20">#REF!</definedName>
    <definedName name="дэ" localSheetId="18">#REF!</definedName>
    <definedName name="дэ" localSheetId="19">#REF!</definedName>
    <definedName name="дэ" localSheetId="15">#REF!</definedName>
    <definedName name="дэ">#REF!</definedName>
    <definedName name="ен" localSheetId="18" hidden="1">{#N/A,#N/A,TRUE,"Смета на пасс. обор. №1"}</definedName>
    <definedName name="ен" hidden="1">{#N/A,#N/A,TRUE,"Смета на пасс. обор. №1"}</definedName>
    <definedName name="ен_1" localSheetId="18" hidden="1">{#N/A,#N/A,TRUE,"Смета на пасс. обор. №1"}</definedName>
    <definedName name="ен_1" hidden="1">{#N/A,#N/A,TRUE,"Смета на пасс. обор. №1"}</definedName>
    <definedName name="жж">[11]Вспомогательный!$D$80</definedName>
    <definedName name="жж_1" localSheetId="18" hidden="1">{#N/A,#N/A,TRUE,"Смета на пасс. обор. №1"}</definedName>
    <definedName name="жж_1" hidden="1">{#N/A,#N/A,TRUE,"Смета на пасс. обор. №1"}</definedName>
    <definedName name="жжж" localSheetId="18">#REF!</definedName>
    <definedName name="жжж">#REF!</definedName>
    <definedName name="жл" localSheetId="18">#REF!</definedName>
    <definedName name="жл">#REF!</definedName>
    <definedName name="жпф" localSheetId="18">#REF!</definedName>
    <definedName name="жпф">#REF!</definedName>
    <definedName name="жю" localSheetId="18" hidden="1">{#N/A,#N/A,TRUE,"Смета на пасс. обор. №1"}</definedName>
    <definedName name="жю" hidden="1">{#N/A,#N/A,TRUE,"Смета на пасс. обор. №1"}</definedName>
    <definedName name="жю_1" localSheetId="18" hidden="1">{#N/A,#N/A,TRUE,"Смета на пасс. обор. №1"}</definedName>
    <definedName name="жю_1" hidden="1">{#N/A,#N/A,TRUE,"Смета на пасс. обор. №1"}</definedName>
    <definedName name="_xlnm.Print_Titles" localSheetId="1">'КВЛ EL7'!$6:$6</definedName>
    <definedName name="_xlnm.Print_Titles" localSheetId="3">'ЛСР №2 видеоэкран'!$44:$44</definedName>
    <definedName name="_xlnm.Print_Titles" localSheetId="9">'ПД EL7'!$18:$18</definedName>
    <definedName name="_xlnm.Print_Titles" localSheetId="16">Экология!$12:$12</definedName>
    <definedName name="ЗаказДолжность">[28]ОбмОбслЗемОд!$B$67</definedName>
    <definedName name="ЗаказИмя">[28]ОбмОбслЗемОд!$C$69</definedName>
    <definedName name="Заказчик" localSheetId="18">#REF!</definedName>
    <definedName name="Заказчик">#REF!</definedName>
    <definedName name="Заказчик_1" localSheetId="18">#REF!</definedName>
    <definedName name="Заказчик_1">#REF!</definedName>
    <definedName name="Зимнее_удорожание">[13]Коэфф!$B$1</definedName>
    <definedName name="зол" localSheetId="18">#REF!</definedName>
    <definedName name="зол">#REF!</definedName>
    <definedName name="зол_1" localSheetId="18">#REF!</definedName>
    <definedName name="зол_1">#REF!</definedName>
    <definedName name="зол_10" localSheetId="18">#REF!</definedName>
    <definedName name="зол_10">#REF!</definedName>
    <definedName name="зол_11" localSheetId="18">#REF!</definedName>
    <definedName name="зол_11">#REF!</definedName>
    <definedName name="зол_12" localSheetId="18">#REF!</definedName>
    <definedName name="зол_12">#REF!</definedName>
    <definedName name="зол_13" localSheetId="18">#REF!</definedName>
    <definedName name="зол_13">#REF!</definedName>
    <definedName name="зол_14" localSheetId="18">#REF!</definedName>
    <definedName name="зол_14">#REF!</definedName>
    <definedName name="зол_15" localSheetId="18">#REF!</definedName>
    <definedName name="зол_15">#REF!</definedName>
    <definedName name="зол_16" localSheetId="18">#REF!</definedName>
    <definedName name="зол_16">#REF!</definedName>
    <definedName name="зол_17" localSheetId="18">#REF!</definedName>
    <definedName name="зол_17">#REF!</definedName>
    <definedName name="зол_18" localSheetId="18">#REF!</definedName>
    <definedName name="зол_18">#REF!</definedName>
    <definedName name="зол_19" localSheetId="18">#REF!</definedName>
    <definedName name="зол_19">#REF!</definedName>
    <definedName name="зол_2" localSheetId="18">#REF!</definedName>
    <definedName name="зол_2">#REF!</definedName>
    <definedName name="зол_20" localSheetId="18">#REF!</definedName>
    <definedName name="зол_20">#REF!</definedName>
    <definedName name="зол_21" localSheetId="18">#REF!</definedName>
    <definedName name="зол_21">#REF!</definedName>
    <definedName name="зол_49" localSheetId="18">#REF!</definedName>
    <definedName name="зол_49">#REF!</definedName>
    <definedName name="зол_50" localSheetId="18">#REF!</definedName>
    <definedName name="зол_50">#REF!</definedName>
    <definedName name="зол_51" localSheetId="18">#REF!</definedName>
    <definedName name="зол_51">#REF!</definedName>
    <definedName name="зол_52" localSheetId="18">#REF!</definedName>
    <definedName name="зол_52">#REF!</definedName>
    <definedName name="зол_53" localSheetId="18">#REF!</definedName>
    <definedName name="зол_53">#REF!</definedName>
    <definedName name="зол_54" localSheetId="18">#REF!</definedName>
    <definedName name="зол_54">#REF!</definedName>
    <definedName name="зол_6" localSheetId="18">#REF!</definedName>
    <definedName name="зол_6">#REF!</definedName>
    <definedName name="зол_7" localSheetId="18">#REF!</definedName>
    <definedName name="зол_7">#REF!</definedName>
    <definedName name="зол_8" localSheetId="18">#REF!</definedName>
    <definedName name="зол_8">#REF!</definedName>
    <definedName name="зол_9" localSheetId="18">#REF!</definedName>
    <definedName name="зол_9">#REF!</definedName>
    <definedName name="зщ" localSheetId="18" hidden="1">{#N/A,#N/A,TRUE,"Смета на пасс. обор. №1"}</definedName>
    <definedName name="зщ" hidden="1">{#N/A,#N/A,TRUE,"Смета на пасс. обор. №1"}</definedName>
    <definedName name="зщ_1" localSheetId="18" hidden="1">{#N/A,#N/A,TRUE,"Смета на пасс. обор. №1"}</definedName>
    <definedName name="зщ_1" hidden="1">{#N/A,#N/A,TRUE,"Смета на пасс. обор. №1"}</definedName>
    <definedName name="изыск" localSheetId="18">#REF!</definedName>
    <definedName name="изыск">#REF!</definedName>
    <definedName name="изыск_1" localSheetId="18">#REF!</definedName>
    <definedName name="изыск_1">#REF!</definedName>
    <definedName name="ии" localSheetId="17">#REF!</definedName>
    <definedName name="ии" localSheetId="20">#REF!</definedName>
    <definedName name="ии" localSheetId="18">#REF!</definedName>
    <definedName name="ии" localSheetId="19">#REF!</definedName>
    <definedName name="ии" localSheetId="15">#REF!</definedName>
    <definedName name="ии">#REF!</definedName>
    <definedName name="ик" localSheetId="18">#REF!</definedName>
    <definedName name="ик">#REF!</definedName>
    <definedName name="Индекс" localSheetId="18">'[29]Расч(подряд)'!#REF!</definedName>
    <definedName name="Индекс">'[29]Расч(подряд)'!#REF!</definedName>
    <definedName name="индекс_0" localSheetId="18">#REF!</definedName>
    <definedName name="индекс_0">#REF!</definedName>
    <definedName name="Индекс_1" localSheetId="18">#REF!</definedName>
    <definedName name="Индекс_1">#REF!</definedName>
    <definedName name="индекс_100" localSheetId="18">#REF!</definedName>
    <definedName name="индекс_100">#REF!</definedName>
    <definedName name="индекс_101" localSheetId="18">#REF!</definedName>
    <definedName name="индекс_101">#REF!</definedName>
    <definedName name="индекс_102" localSheetId="18">#REF!</definedName>
    <definedName name="индекс_102">#REF!</definedName>
    <definedName name="индекс_103" localSheetId="18">#REF!</definedName>
    <definedName name="индекс_103">#REF!</definedName>
    <definedName name="индекс_104" localSheetId="18">#REF!</definedName>
    <definedName name="индекс_104">#REF!</definedName>
    <definedName name="индекс_105" localSheetId="18">#REF!</definedName>
    <definedName name="индекс_105">#REF!</definedName>
    <definedName name="индекс_105032654" localSheetId="18">#REF!</definedName>
    <definedName name="индекс_105032654">#REF!</definedName>
    <definedName name="индекс_999" localSheetId="18">#REF!</definedName>
    <definedName name="индекс_999">#REF!</definedName>
    <definedName name="индекс_С3" localSheetId="18">#REF!</definedName>
    <definedName name="индекс_С3">#REF!</definedName>
    <definedName name="Индекс1" localSheetId="18">'[29]Расч(подряд)'!#REF!</definedName>
    <definedName name="Индекс1">'[29]Расч(подряд)'!#REF!</definedName>
    <definedName name="Индекс2" localSheetId="18">'[29]Расч(подряд)'!#REF!</definedName>
    <definedName name="Индекс2">'[29]Расч(подряд)'!#REF!</definedName>
    <definedName name="ИндексА" localSheetId="18">#REF!</definedName>
    <definedName name="ИндексА">#REF!</definedName>
    <definedName name="инж" localSheetId="18">#REF!</definedName>
    <definedName name="инж">#REF!</definedName>
    <definedName name="инж_1" localSheetId="18">#REF!</definedName>
    <definedName name="инж_1">#REF!</definedName>
    <definedName name="инфл" localSheetId="17">#REF!</definedName>
    <definedName name="инфл" localSheetId="20">#REF!</definedName>
    <definedName name="инфл" localSheetId="18">#REF!</definedName>
    <definedName name="инфл" localSheetId="19">#REF!</definedName>
    <definedName name="инфл" localSheetId="15">#REF!</definedName>
    <definedName name="инфл">#REF!</definedName>
    <definedName name="ип" localSheetId="17">#REF!</definedName>
    <definedName name="ип" localSheetId="20">#REF!</definedName>
    <definedName name="ип" localSheetId="18">#REF!</definedName>
    <definedName name="ип" localSheetId="15">#REF!</definedName>
    <definedName name="ип">#REF!</definedName>
    <definedName name="ИПусто" localSheetId="18">#REF!</definedName>
    <definedName name="ИПусто">#REF!</definedName>
    <definedName name="ИПусто_1" localSheetId="18">#REF!</definedName>
    <definedName name="ИПусто_1">#REF!</definedName>
    <definedName name="ит" localSheetId="18">#REF!</definedName>
    <definedName name="ит">#REF!</definedName>
    <definedName name="итого" localSheetId="18">#REF!</definedName>
    <definedName name="итого">#REF!</definedName>
    <definedName name="итого_Куст" localSheetId="18">#REF!</definedName>
    <definedName name="итого_Куст">#REF!</definedName>
    <definedName name="итого_Куст_П" localSheetId="18">#REF!</definedName>
    <definedName name="итого_Куст_П">#REF!</definedName>
    <definedName name="ить" localSheetId="18">#REF!</definedName>
    <definedName name="ить">#REF!</definedName>
    <definedName name="йцйу3йк" localSheetId="18">#REF!</definedName>
    <definedName name="йцйу3йк">#REF!</definedName>
    <definedName name="йцйц">NA()</definedName>
    <definedName name="йцу" localSheetId="18">#REF!</definedName>
    <definedName name="йцу">#REF!</definedName>
    <definedName name="к" localSheetId="18">#REF!</definedName>
    <definedName name="к">#REF!</definedName>
    <definedName name="к_1" localSheetId="18" hidden="1">{#N/A,#N/A,TRUE,"Смета на пасс. обор. №1"}</definedName>
    <definedName name="к_1" hidden="1">{#N/A,#N/A,TRUE,"Смета на пасс. обор. №1"}</definedName>
    <definedName name="к1" localSheetId="17">#REF!</definedName>
    <definedName name="к1" localSheetId="20">#REF!</definedName>
    <definedName name="к1" localSheetId="18">#REF!</definedName>
    <definedName name="к1" localSheetId="19">#REF!</definedName>
    <definedName name="к1">#REF!</definedName>
    <definedName name="к10" localSheetId="17">#REF!</definedName>
    <definedName name="к10" localSheetId="20">#REF!</definedName>
    <definedName name="к10" localSheetId="18">#REF!</definedName>
    <definedName name="к10" localSheetId="19">#REF!</definedName>
    <definedName name="к10">#REF!</definedName>
    <definedName name="к101" localSheetId="17">#REF!</definedName>
    <definedName name="к101" localSheetId="20">#REF!</definedName>
    <definedName name="к101" localSheetId="18">#REF!</definedName>
    <definedName name="к101" localSheetId="19">#REF!</definedName>
    <definedName name="к101">#REF!</definedName>
    <definedName name="К105" localSheetId="17">#REF!</definedName>
    <definedName name="К105" localSheetId="20">#REF!</definedName>
    <definedName name="К105" localSheetId="18">#REF!</definedName>
    <definedName name="К105">#REF!</definedName>
    <definedName name="к11" localSheetId="17">#REF!</definedName>
    <definedName name="к11" localSheetId="20">#REF!</definedName>
    <definedName name="к11" localSheetId="18">#REF!</definedName>
    <definedName name="к11">#REF!</definedName>
    <definedName name="к12" localSheetId="17">#REF!</definedName>
    <definedName name="к12" localSheetId="20">#REF!</definedName>
    <definedName name="к12" localSheetId="18">#REF!</definedName>
    <definedName name="к12">#REF!</definedName>
    <definedName name="к13" localSheetId="17">#REF!</definedName>
    <definedName name="к13" localSheetId="20">#REF!</definedName>
    <definedName name="к13" localSheetId="18">#REF!</definedName>
    <definedName name="к13">#REF!</definedName>
    <definedName name="к14" localSheetId="17">#REF!</definedName>
    <definedName name="к14" localSheetId="20">#REF!</definedName>
    <definedName name="к14" localSheetId="18">#REF!</definedName>
    <definedName name="к14">#REF!</definedName>
    <definedName name="к15" localSheetId="17">#REF!</definedName>
    <definedName name="к15" localSheetId="20">#REF!</definedName>
    <definedName name="к15" localSheetId="18">#REF!</definedName>
    <definedName name="к15">#REF!</definedName>
    <definedName name="к16" localSheetId="17">#REF!</definedName>
    <definedName name="к16" localSheetId="20">#REF!</definedName>
    <definedName name="к16" localSheetId="18">#REF!</definedName>
    <definedName name="к16">#REF!</definedName>
    <definedName name="к17" localSheetId="17">#REF!</definedName>
    <definedName name="к17" localSheetId="20">#REF!</definedName>
    <definedName name="к17" localSheetId="18">#REF!</definedName>
    <definedName name="к17">#REF!</definedName>
    <definedName name="к18" localSheetId="17">#REF!</definedName>
    <definedName name="к18" localSheetId="20">#REF!</definedName>
    <definedName name="к18" localSheetId="18">#REF!</definedName>
    <definedName name="к18">#REF!</definedName>
    <definedName name="к19" localSheetId="17">#REF!</definedName>
    <definedName name="к19" localSheetId="20">#REF!</definedName>
    <definedName name="к19" localSheetId="18">#REF!</definedName>
    <definedName name="к19">#REF!</definedName>
    <definedName name="к2" localSheetId="17">#REF!</definedName>
    <definedName name="к2" localSheetId="20">#REF!</definedName>
    <definedName name="к2" localSheetId="18">#REF!</definedName>
    <definedName name="к2">#REF!</definedName>
    <definedName name="к20" localSheetId="17">#REF!</definedName>
    <definedName name="к20" localSheetId="20">#REF!</definedName>
    <definedName name="к20" localSheetId="18">#REF!</definedName>
    <definedName name="к20">#REF!</definedName>
    <definedName name="к21" localSheetId="17">#REF!</definedName>
    <definedName name="к21" localSheetId="20">#REF!</definedName>
    <definedName name="к21" localSheetId="18">#REF!</definedName>
    <definedName name="к21">#REF!</definedName>
    <definedName name="к22" localSheetId="17">#REF!</definedName>
    <definedName name="к22" localSheetId="20">#REF!</definedName>
    <definedName name="к22" localSheetId="18">#REF!</definedName>
    <definedName name="к22">#REF!</definedName>
    <definedName name="к23" localSheetId="17">#REF!</definedName>
    <definedName name="к23" localSheetId="20">#REF!</definedName>
    <definedName name="к23" localSheetId="18">#REF!</definedName>
    <definedName name="к23">#REF!</definedName>
    <definedName name="к231" localSheetId="17">#REF!</definedName>
    <definedName name="к231" localSheetId="20">#REF!</definedName>
    <definedName name="к231" localSheetId="18">#REF!</definedName>
    <definedName name="к231">#REF!</definedName>
    <definedName name="к24" localSheetId="17">#REF!</definedName>
    <definedName name="к24" localSheetId="20">#REF!</definedName>
    <definedName name="к24" localSheetId="18">#REF!</definedName>
    <definedName name="к24">#REF!</definedName>
    <definedName name="к25" localSheetId="17">#REF!</definedName>
    <definedName name="к25" localSheetId="20">#REF!</definedName>
    <definedName name="к25" localSheetId="18">#REF!</definedName>
    <definedName name="к25">#REF!</definedName>
    <definedName name="к26" localSheetId="17">#REF!</definedName>
    <definedName name="к26" localSheetId="20">#REF!</definedName>
    <definedName name="к26" localSheetId="18">#REF!</definedName>
    <definedName name="к26">#REF!</definedName>
    <definedName name="к27" localSheetId="17">#REF!</definedName>
    <definedName name="к27" localSheetId="20">#REF!</definedName>
    <definedName name="к27" localSheetId="18">#REF!</definedName>
    <definedName name="к27">#REF!</definedName>
    <definedName name="к28" localSheetId="17">#REF!</definedName>
    <definedName name="к28" localSheetId="20">#REF!</definedName>
    <definedName name="к28" localSheetId="18">#REF!</definedName>
    <definedName name="к28">#REF!</definedName>
    <definedName name="к29" localSheetId="17">#REF!</definedName>
    <definedName name="к29" localSheetId="20">#REF!</definedName>
    <definedName name="к29" localSheetId="18">#REF!</definedName>
    <definedName name="к29">#REF!</definedName>
    <definedName name="к2п" localSheetId="17">#REF!</definedName>
    <definedName name="к2п" localSheetId="20">#REF!</definedName>
    <definedName name="к2п" localSheetId="18">#REF!</definedName>
    <definedName name="к2п">#REF!</definedName>
    <definedName name="к3" localSheetId="17">#REF!</definedName>
    <definedName name="к3" localSheetId="20">#REF!</definedName>
    <definedName name="к3" localSheetId="18">#REF!</definedName>
    <definedName name="к3">#REF!</definedName>
    <definedName name="к30" localSheetId="17">#REF!</definedName>
    <definedName name="к30" localSheetId="20">#REF!</definedName>
    <definedName name="к30" localSheetId="18">#REF!</definedName>
    <definedName name="к30">#REF!</definedName>
    <definedName name="к3п" localSheetId="17">#REF!</definedName>
    <definedName name="к3п" localSheetId="20">#REF!</definedName>
    <definedName name="к3п" localSheetId="18">#REF!</definedName>
    <definedName name="к3п">#REF!</definedName>
    <definedName name="к5" localSheetId="17">#REF!</definedName>
    <definedName name="к5" localSheetId="20">#REF!</definedName>
    <definedName name="к5" localSheetId="18">#REF!</definedName>
    <definedName name="к5">#REF!</definedName>
    <definedName name="к6" localSheetId="17">#REF!</definedName>
    <definedName name="к6" localSheetId="20">#REF!</definedName>
    <definedName name="к6" localSheetId="18">#REF!</definedName>
    <definedName name="к6">#REF!</definedName>
    <definedName name="к7" localSheetId="17">#REF!</definedName>
    <definedName name="к7" localSheetId="20">#REF!</definedName>
    <definedName name="к7" localSheetId="18">#REF!</definedName>
    <definedName name="к7">#REF!</definedName>
    <definedName name="к8" localSheetId="17">#REF!</definedName>
    <definedName name="к8" localSheetId="20">#REF!</definedName>
    <definedName name="к8" localSheetId="18">#REF!</definedName>
    <definedName name="к8">#REF!</definedName>
    <definedName name="к9" localSheetId="17">#REF!</definedName>
    <definedName name="к9" localSheetId="20">#REF!</definedName>
    <definedName name="к9" localSheetId="18">#REF!</definedName>
    <definedName name="к9">#REF!</definedName>
    <definedName name="кака" localSheetId="18">#REF!</definedName>
    <definedName name="кака">#REF!</definedName>
    <definedName name="калплан" localSheetId="18">#REF!</definedName>
    <definedName name="калплан" localSheetId="11">#REF!</definedName>
    <definedName name="калплан">#REF!</definedName>
    <definedName name="калплан_1" localSheetId="18">#REF!</definedName>
    <definedName name="калплан_1">#REF!</definedName>
    <definedName name="Кам_стац" localSheetId="18">#REF!</definedName>
    <definedName name="Кам_стац">#REF!</definedName>
    <definedName name="Камер_эксп_усл" localSheetId="18">#REF!</definedName>
    <definedName name="Камер_эксп_усл">#REF!</definedName>
    <definedName name="КАТ1" localSheetId="18">'[30]Смета-Т'!#REF!</definedName>
    <definedName name="КАТ1">'[30]Смета-Т'!#REF!</definedName>
    <definedName name="Категория_сложности" localSheetId="18">#REF!</definedName>
    <definedName name="Категория_сложности">#REF!</definedName>
    <definedName name="Категория_сложности_1" localSheetId="18">#REF!</definedName>
    <definedName name="Категория_сложности_1">#REF!</definedName>
    <definedName name="катя" localSheetId="18">#REF!</definedName>
    <definedName name="катя">#REF!</definedName>
    <definedName name="кгкг" localSheetId="18">#REF!</definedName>
    <definedName name="кгкг">#REF!</definedName>
    <definedName name="кеке" localSheetId="18">#REF!</definedName>
    <definedName name="кеке">#REF!</definedName>
    <definedName name="кенроолтьб" localSheetId="18">#REF!</definedName>
    <definedName name="кенроолтьб">#REF!</definedName>
    <definedName name="ккее" localSheetId="17">#REF!</definedName>
    <definedName name="ккее" localSheetId="20">#REF!</definedName>
    <definedName name="ккее" localSheetId="18">#REF!</definedName>
    <definedName name="ккее">#REF!</definedName>
    <definedName name="ккк" localSheetId="18">#REF!</definedName>
    <definedName name="ккк">#REF!</definedName>
    <definedName name="ккккк" localSheetId="18" hidden="1">{#N/A,#N/A,TRUE,"Смета на пасс. обор. №1"}</definedName>
    <definedName name="ккккк" hidden="1">{#N/A,#N/A,TRUE,"Смета на пасс. обор. №1"}</definedName>
    <definedName name="ккккк_1" localSheetId="18" hidden="1">{#N/A,#N/A,TRUE,"Смета на пасс. обор. №1"}</definedName>
    <definedName name="ккккк_1" hidden="1">{#N/A,#N/A,TRUE,"Смета на пасс. обор. №1"}</definedName>
    <definedName name="книга" localSheetId="18">#REF!</definedName>
    <definedName name="книга">#REF!</definedName>
    <definedName name="Количество_землепользователей" localSheetId="18">#REF!</definedName>
    <definedName name="Количество_землепользователей">#REF!</definedName>
    <definedName name="Количество_землепользователей_1" localSheetId="18">#REF!</definedName>
    <definedName name="Количество_землепользователей_1">#REF!</definedName>
    <definedName name="Количество_контуров" localSheetId="18">#REF!</definedName>
    <definedName name="Количество_контуров">#REF!</definedName>
    <definedName name="Количество_контуров_1" localSheetId="18">#REF!</definedName>
    <definedName name="Количество_контуров_1">#REF!</definedName>
    <definedName name="Количество_культур" localSheetId="18">#REF!</definedName>
    <definedName name="Количество_культур">#REF!</definedName>
    <definedName name="Количество_культур_1" localSheetId="18">#REF!</definedName>
    <definedName name="Количество_культур_1">#REF!</definedName>
    <definedName name="Количество_планшетов" localSheetId="18">#REF!</definedName>
    <definedName name="Количество_планшетов">#REF!</definedName>
    <definedName name="Количество_планшетов_1" localSheetId="18">#REF!</definedName>
    <definedName name="Количество_планшетов_1">#REF!</definedName>
    <definedName name="Количество_предприятий" localSheetId="18">#REF!</definedName>
    <definedName name="Количество_предприятий">#REF!</definedName>
    <definedName name="Количество_предприятий_1" localSheetId="18">#REF!</definedName>
    <definedName name="Количество_предприятий_1">#REF!</definedName>
    <definedName name="Количество_согласований" localSheetId="18">#REF!</definedName>
    <definedName name="Количество_согласований">#REF!</definedName>
    <definedName name="Количество_согласований_1" localSheetId="18">#REF!</definedName>
    <definedName name="Количество_согласований_1">#REF!</definedName>
    <definedName name="ком." localSheetId="18" hidden="1">{#N/A,#N/A,TRUE,"Смета на пасс. обор. №1"}</definedName>
    <definedName name="ком." hidden="1">{#N/A,#N/A,TRUE,"Смета на пасс. обор. №1"}</definedName>
    <definedName name="ком._1" localSheetId="18" hidden="1">{#N/A,#N/A,TRUE,"Смета на пасс. обор. №1"}</definedName>
    <definedName name="ком._1" hidden="1">{#N/A,#N/A,TRUE,"Смета на пасс. обор. №1"}</definedName>
    <definedName name="команд." localSheetId="18" hidden="1">{#N/A,#N/A,TRUE,"Смета на пасс. обор. №1"}</definedName>
    <definedName name="команд." hidden="1">{#N/A,#N/A,TRUE,"Смета на пасс. обор. №1"}</definedName>
    <definedName name="команд._1" localSheetId="18" hidden="1">{#N/A,#N/A,TRUE,"Смета на пасс. обор. №1"}</definedName>
    <definedName name="команд._1" hidden="1">{#N/A,#N/A,TRUE,"Смета на пасс. обор. №1"}</definedName>
    <definedName name="команд.обуч." localSheetId="18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8" hidden="1">{#N/A,#N/A,TRUE,"Смета на пасс. обор. №1"}</definedName>
    <definedName name="команд.обуч._1" hidden="1">{#N/A,#N/A,TRUE,"Смета на пасс. обор. №1"}</definedName>
    <definedName name="команд1" localSheetId="18">#REF!</definedName>
    <definedName name="команд1">#REF!</definedName>
    <definedName name="командировки" localSheetId="18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8">#REF!</definedName>
    <definedName name="Командировочные_расходы">#REF!</definedName>
    <definedName name="Командировочные_расходы_1" localSheetId="18">#REF!</definedName>
    <definedName name="Командировочные_расходы_1">#REF!</definedName>
    <definedName name="КОН_ИО" localSheetId="18">#REF!</definedName>
    <definedName name="КОН_ИО">#REF!</definedName>
    <definedName name="КОН_ИО_РД" localSheetId="18">#REF!</definedName>
    <definedName name="КОН_ИО_РД">#REF!</definedName>
    <definedName name="КОН_МО" localSheetId="18">#REF!</definedName>
    <definedName name="КОН_МО">#REF!</definedName>
    <definedName name="КОН_МО_РД" localSheetId="18">#REF!</definedName>
    <definedName name="КОН_МО_РД">#REF!</definedName>
    <definedName name="КОН_ОО" localSheetId="18">#REF!</definedName>
    <definedName name="КОН_ОО">#REF!</definedName>
    <definedName name="КОН_ОО_РД" localSheetId="18">#REF!</definedName>
    <definedName name="КОН_ОО_РД">#REF!</definedName>
    <definedName name="КОН_ОР" localSheetId="18">#REF!</definedName>
    <definedName name="КОН_ОР">#REF!</definedName>
    <definedName name="КОН_ОР_РД" localSheetId="18">#REF!</definedName>
    <definedName name="КОН_ОР_РД">#REF!</definedName>
    <definedName name="КОН_ПО" localSheetId="18">#REF!</definedName>
    <definedName name="КОН_ПО">#REF!</definedName>
    <definedName name="КОН_ПО_РД" localSheetId="18">#REF!</definedName>
    <definedName name="КОН_ПО_РД">#REF!</definedName>
    <definedName name="КОН_ТО" localSheetId="18">#REF!</definedName>
    <definedName name="КОН_ТО">#REF!</definedName>
    <definedName name="КОН_ТО_РД" localSheetId="18">#REF!</definedName>
    <definedName name="КОН_ТО_РД">#REF!</definedName>
    <definedName name="конкурс" localSheetId="17">#REF!</definedName>
    <definedName name="конкурс" localSheetId="20">#REF!</definedName>
    <definedName name="конкурс" localSheetId="18">#REF!</definedName>
    <definedName name="конкурс" localSheetId="19">#REF!</definedName>
    <definedName name="конкурс">#REF!</definedName>
    <definedName name="Конф" localSheetId="18">#REF!</definedName>
    <definedName name="Конф">#REF!</definedName>
    <definedName name="Конф_49" localSheetId="18">#REF!</definedName>
    <definedName name="Конф_49">#REF!</definedName>
    <definedName name="Конф_50" localSheetId="18">#REF!</definedName>
    <definedName name="Конф_50">#REF!</definedName>
    <definedName name="Конф_51" localSheetId="18">#REF!</definedName>
    <definedName name="Конф_51">#REF!</definedName>
    <definedName name="Конф_52" localSheetId="18">#REF!</definedName>
    <definedName name="Конф_52">#REF!</definedName>
    <definedName name="Конф_53" localSheetId="18">#REF!</definedName>
    <definedName name="Конф_53">#REF!</definedName>
    <definedName name="Конф_54" localSheetId="18">#REF!</definedName>
    <definedName name="Конф_54">#REF!</definedName>
    <definedName name="конфл" localSheetId="18">#REF!</definedName>
    <definedName name="конфл">#REF!</definedName>
    <definedName name="конфл_49" localSheetId="18">#REF!</definedName>
    <definedName name="конфл_49">#REF!</definedName>
    <definedName name="конфл_50" localSheetId="18">#REF!</definedName>
    <definedName name="конфл_50">#REF!</definedName>
    <definedName name="конфл_51" localSheetId="18">#REF!</definedName>
    <definedName name="конфл_51">#REF!</definedName>
    <definedName name="конфл_52" localSheetId="18">#REF!</definedName>
    <definedName name="конфл_52">#REF!</definedName>
    <definedName name="конфл_53" localSheetId="18">#REF!</definedName>
    <definedName name="конфл_53">#REF!</definedName>
    <definedName name="конфл_54" localSheetId="18">#REF!</definedName>
    <definedName name="конфл_54">#REF!</definedName>
    <definedName name="конфл2" localSheetId="18">#REF!</definedName>
    <definedName name="конфл2">#REF!</definedName>
    <definedName name="конфл2_49" localSheetId="18">#REF!</definedName>
    <definedName name="конфл2_49">#REF!</definedName>
    <definedName name="конфл2_50" localSheetId="18">#REF!</definedName>
    <definedName name="конфл2_50">#REF!</definedName>
    <definedName name="конфл2_51" localSheetId="18">#REF!</definedName>
    <definedName name="конфл2_51">#REF!</definedName>
    <definedName name="конфл2_52" localSheetId="18">#REF!</definedName>
    <definedName name="конфл2_52">#REF!</definedName>
    <definedName name="конфл2_53" localSheetId="18">#REF!</definedName>
    <definedName name="конфл2_53">#REF!</definedName>
    <definedName name="конфл2_54" localSheetId="18">#REF!</definedName>
    <definedName name="конфл2_54">#REF!</definedName>
    <definedName name="Копия" localSheetId="18" hidden="1">{#N/A,#N/A,TRUE,"Смета на пасс. обор. №1"}</definedName>
    <definedName name="Копия" hidden="1">{#N/A,#N/A,TRUE,"Смета на пасс. обор. №1"}</definedName>
    <definedName name="Копия2509" localSheetId="18" hidden="1">{#N/A,#N/A,TRUE,"Смета на пасс. обор. №1"}</definedName>
    <definedName name="Копия2509" hidden="1">{#N/A,#N/A,TRUE,"Смета на пасс. обор. №1"}</definedName>
    <definedName name="Корнеева" localSheetId="18">#REF!</definedName>
    <definedName name="Корнеева">#REF!</definedName>
    <definedName name="котофей" localSheetId="18" hidden="1">{#N/A,#N/A,TRUE,"Смета на пасс. обор. №1"}</definedName>
    <definedName name="котофей" hidden="1">{#N/A,#N/A,TRUE,"Смета на пасс. обор. №1"}</definedName>
    <definedName name="котофей_1" localSheetId="18" hidden="1">{#N/A,#N/A,TRUE,"Смета на пасс. обор. №1"}</definedName>
    <definedName name="котофей_1" hidden="1">{#N/A,#N/A,TRUE,"Смета на пасс. обор. №1"}</definedName>
    <definedName name="Коэф_монт">[13]Коэфф!$B$4</definedName>
    <definedName name="КоэфБезПоля" localSheetId="18">#REF!</definedName>
    <definedName name="КоэфБезПоля">#REF!</definedName>
    <definedName name="КоэфГорЗак" localSheetId="18">#REF!</definedName>
    <definedName name="КоэфГорЗак">#REF!</definedName>
    <definedName name="КоэфГорЗаказ">[28]ОбмОбслЗемОд!$E$29</definedName>
    <definedName name="КоэфУдорожания">[28]ОбмОбслЗемОд!$E$28</definedName>
    <definedName name="Коэффициент" localSheetId="18">#REF!</definedName>
    <definedName name="Коэффициент">#REF!</definedName>
    <definedName name="Коэффициент_1" localSheetId="18">#REF!</definedName>
    <definedName name="Коэффициент_1">#REF!</definedName>
    <definedName name="кп" localSheetId="17">#REF!</definedName>
    <definedName name="кп" localSheetId="20">#REF!</definedName>
    <definedName name="кп" localSheetId="18">#REF!</definedName>
    <definedName name="кп" localSheetId="19">#REF!</definedName>
    <definedName name="кп">#REF!</definedName>
    <definedName name="Кпроект" localSheetId="18">'[31]Исх. данные'!#REF!</definedName>
    <definedName name="Кпроект">'[32]Исх. данные'!#REF!</definedName>
    <definedName name="Крек">'[10]Лист опроса'!$B$17</definedName>
    <definedName name="Крп">'[10]Лист опроса'!$B$19</definedName>
    <definedName name="кук" localSheetId="18" hidden="1">{#N/A,#N/A,TRUE,"Смета на пасс. обор. №1"}</definedName>
    <definedName name="кук" hidden="1">{#N/A,#N/A,TRUE,"Смета на пасс. обор. №1"}</definedName>
    <definedName name="кук_1" localSheetId="18" hidden="1">{#N/A,#N/A,TRUE,"Смета на пасс. обор. №1"}</definedName>
    <definedName name="кук_1" hidden="1">{#N/A,#N/A,TRUE,"Смета на пасс. обор. №1"}</definedName>
    <definedName name="куку" localSheetId="18">#REF!</definedName>
    <definedName name="куку">#REF!</definedName>
    <definedName name="Курган" localSheetId="18">#REF!</definedName>
    <definedName name="Курган">#REF!</definedName>
    <definedName name="курорты" localSheetId="17">#REF!</definedName>
    <definedName name="курорты" localSheetId="20">#REF!</definedName>
    <definedName name="курорты" localSheetId="18">#REF!</definedName>
    <definedName name="курорты" localSheetId="19">#REF!</definedName>
    <definedName name="курорты" localSheetId="15">#REF!</definedName>
    <definedName name="курорты">#REF!</definedName>
    <definedName name="Курс">[13]Коэфф!$B$3</definedName>
    <definedName name="Курс_доллара">'[33]Курс доллара'!$A$2</definedName>
    <definedName name="Кэл">'[10]Лист опроса'!$B$20</definedName>
    <definedName name="л" localSheetId="18" hidden="1">{#N/A,#N/A,TRUE,"Смета на пасс. обор. №1"}</definedName>
    <definedName name="л" hidden="1">{#N/A,#N/A,TRUE,"Смета на пасс. обор. №1"}</definedName>
    <definedName name="л_1" localSheetId="18" hidden="1">{#N/A,#N/A,TRUE,"Смета на пасс. обор. №1"}</definedName>
    <definedName name="л_1" hidden="1">{#N/A,#N/A,TRUE,"Смета на пасс. обор. №1"}</definedName>
    <definedName name="лаб_иссл" localSheetId="18">#REF!</definedName>
    <definedName name="лаб_иссл" localSheetId="19">#REF!</definedName>
    <definedName name="лаб_иссл" localSheetId="15">#REF!</definedName>
    <definedName name="лаб_иссл">#REF!</definedName>
    <definedName name="Лаб_стац" localSheetId="18">#REF!</definedName>
    <definedName name="Лаб_стац" localSheetId="19">#REF!</definedName>
    <definedName name="Лаб_стац" localSheetId="15">#REF!</definedName>
    <definedName name="Лаб_стац">#REF!</definedName>
    <definedName name="Лаб_эксп_усл" localSheetId="18">#REF!</definedName>
    <definedName name="Лаб_эксп_усл" localSheetId="19">#REF!</definedName>
    <definedName name="Лаб_эксп_усл" localSheetId="15">#REF!</definedName>
    <definedName name="Лаб_эксп_усл">#REF!</definedName>
    <definedName name="ЛабМашБур" localSheetId="18">[28]СмМашБур!#REF!</definedName>
    <definedName name="ЛабМашБур">[28]СмМашБур!#REF!</definedName>
    <definedName name="ЛабШурфов" localSheetId="18">#REF!</definedName>
    <definedName name="ЛабШурфов">#REF!</definedName>
    <definedName name="лдж" localSheetId="18" hidden="1">{#N/A,#N/A,TRUE,"Смета на пасс. обор. №1"}</definedName>
    <definedName name="лдж" hidden="1">{#N/A,#N/A,TRUE,"Смета на пасс. обор. №1"}</definedName>
    <definedName name="лдж_1" localSheetId="18" hidden="1">{#N/A,#N/A,TRUE,"Смета на пасс. обор. №1"}</definedName>
    <definedName name="лдж_1" hidden="1">{#N/A,#N/A,TRUE,"Смета на пасс. обор. №1"}</definedName>
    <definedName name="лл">[11]Вспомогательный!$D$78</definedName>
    <definedName name="ллдж" localSheetId="18">#REF!</definedName>
    <definedName name="ллдж">#REF!</definedName>
    <definedName name="ло" localSheetId="18">#REF!</definedName>
    <definedName name="ло">#REF!</definedName>
    <definedName name="лол" localSheetId="18">#REF!</definedName>
    <definedName name="лол">#REF!</definedName>
    <definedName name="лор" localSheetId="18" hidden="1">{#N/A,#N/A,TRUE,"Смета на пасс. обор. №1"}</definedName>
    <definedName name="лор" hidden="1">{#N/A,#N/A,TRUE,"Смета на пасс. обор. №1"}</definedName>
    <definedName name="лор_1" localSheetId="18" hidden="1">{#N/A,#N/A,TRUE,"Смета на пасс. обор. №1"}</definedName>
    <definedName name="лор_1" hidden="1">{#N/A,#N/A,TRUE,"Смета на пасс. обор. №1"}</definedName>
    <definedName name="лот" localSheetId="18" hidden="1">{#N/A,#N/A,TRUE,"Смета на пасс. обор. №1"}</definedName>
    <definedName name="лот" hidden="1">{#N/A,#N/A,TRUE,"Смета на пасс. обор. №1"}</definedName>
    <definedName name="лот_1" localSheetId="18" hidden="1">{#N/A,#N/A,TRUE,"Смета на пасс. обор. №1"}</definedName>
    <definedName name="лот_1" hidden="1">{#N/A,#N/A,TRUE,"Смета на пасс. обор. №1"}</definedName>
    <definedName name="лрпораплтль" localSheetId="18">#REF!</definedName>
    <definedName name="лрпораплтль">#REF!</definedName>
    <definedName name="Лс" localSheetId="18">#REF!</definedName>
    <definedName name="Лс">#REF!</definedName>
    <definedName name="Махачкала" localSheetId="18">#REF!</definedName>
    <definedName name="Махачкала">#REF!</definedName>
    <definedName name="Махачкала_1" localSheetId="18">#REF!</definedName>
    <definedName name="Махачкала_1">#REF!</definedName>
    <definedName name="Махачкала_2" localSheetId="18">#REF!</definedName>
    <definedName name="Махачкала_2">#REF!</definedName>
    <definedName name="Махачкала_22" localSheetId="18">#REF!</definedName>
    <definedName name="Махачкала_22">#REF!</definedName>
    <definedName name="Махачкала_49" localSheetId="18">#REF!</definedName>
    <definedName name="Махачкала_49">#REF!</definedName>
    <definedName name="Махачкала_5" localSheetId="18">#REF!</definedName>
    <definedName name="Махачкала_5">#REF!</definedName>
    <definedName name="Махачкала_50" localSheetId="18">#REF!</definedName>
    <definedName name="Махачкала_50">#REF!</definedName>
    <definedName name="Махачкала_51" localSheetId="18">#REF!</definedName>
    <definedName name="Махачкала_51">#REF!</definedName>
    <definedName name="Махачкала_52" localSheetId="18">#REF!</definedName>
    <definedName name="Махачкала_52">#REF!</definedName>
    <definedName name="Махачкала_53" localSheetId="18">#REF!</definedName>
    <definedName name="Махачкала_53">#REF!</definedName>
    <definedName name="Махачкала_54" localSheetId="18">#REF!</definedName>
    <definedName name="Махачкала_54">#REF!</definedName>
    <definedName name="Металли_еская_дверца_для_напольного_монтажного_шкафа_VERO__600x600x42U__с_замком_и_клю_ами" localSheetId="18">#REF!</definedName>
    <definedName name="Металли_еская_дверца_для_напольного_монтажного_шкафа_VERO__600x600x42U__с_замком_и_клю_ами">#REF!</definedName>
    <definedName name="мж1">'[34]СметаСводная 1 оч'!$D$6</definedName>
    <definedName name="мил" localSheetId="18">{0,"овz";1,"z";2,"аz";5,"овz"}</definedName>
    <definedName name="мил">{0,"овz";1,"z";2,"аz";5,"овz"}</definedName>
    <definedName name="мир" localSheetId="18" hidden="1">{#N/A,#N/A,TRUE,"Смета на пасс. обор. №1"}</definedName>
    <definedName name="мир" hidden="1">{#N/A,#N/A,TRUE,"Смета на пасс. обор. №1"}</definedName>
    <definedName name="мир_1" localSheetId="18" hidden="1">{#N/A,#N/A,TRUE,"Смета на пасс. обор. №1"}</definedName>
    <definedName name="мир_1" hidden="1">{#N/A,#N/A,TRUE,"Смета на пасс. обор. №1"}</definedName>
    <definedName name="мит" localSheetId="18">#REF!</definedName>
    <definedName name="мит">#REF!</definedName>
    <definedName name="митюгов" localSheetId="18">'[35]Данные для расчёта сметы'!$J$33</definedName>
    <definedName name="митюгов">'[35]Данные для расчёта сметы'!$J$33</definedName>
    <definedName name="митюгов_1">'[36]Данные для расчёта сметы'!$J$33</definedName>
    <definedName name="митюгов_2" localSheetId="18">'[37]Данные для расчёта сметы'!$J$33</definedName>
    <definedName name="митюгов_2">'[37]Данные для расчёта сметы'!$J$33</definedName>
    <definedName name="мм" localSheetId="18">#REF!</definedName>
    <definedName name="мм">#REF!</definedName>
    <definedName name="МММММММММ" localSheetId="18">#REF!</definedName>
    <definedName name="МММММММММ">#REF!</definedName>
    <definedName name="Название_проекта" localSheetId="18">#REF!</definedName>
    <definedName name="Название_проекта">#REF!</definedName>
    <definedName name="Название_проекта_1" localSheetId="18">#REF!</definedName>
    <definedName name="Название_проекта_1">#REF!</definedName>
    <definedName name="НАЧ_ИО" localSheetId="18">#REF!</definedName>
    <definedName name="НАЧ_ИО">#REF!</definedName>
    <definedName name="НАЧ_ИО_РД" localSheetId="18">#REF!</definedName>
    <definedName name="НАЧ_ИО_РД">#REF!</definedName>
    <definedName name="НАЧ_МО" localSheetId="18">#REF!</definedName>
    <definedName name="НАЧ_МО">#REF!</definedName>
    <definedName name="НАЧ_МО_РД" localSheetId="18">#REF!</definedName>
    <definedName name="НАЧ_МО_РД">#REF!</definedName>
    <definedName name="НАЧ_ОО" localSheetId="18">#REF!</definedName>
    <definedName name="НАЧ_ОО">#REF!</definedName>
    <definedName name="НАЧ_ОО_РД" localSheetId="18">#REF!</definedName>
    <definedName name="НАЧ_ОО_РД">#REF!</definedName>
    <definedName name="НАЧ_ОР" localSheetId="18">#REF!</definedName>
    <definedName name="НАЧ_ОР">#REF!</definedName>
    <definedName name="НАЧ_ОР_РД" localSheetId="18">#REF!</definedName>
    <definedName name="НАЧ_ОР_РД">#REF!</definedName>
    <definedName name="НАЧ_ПО" localSheetId="18">#REF!</definedName>
    <definedName name="НАЧ_ПО">#REF!</definedName>
    <definedName name="НАЧ_ПО_РД" localSheetId="18">#REF!</definedName>
    <definedName name="НАЧ_ПО_РД">#REF!</definedName>
    <definedName name="НАЧ_ТО" localSheetId="18">#REF!</definedName>
    <definedName name="НАЧ_ТО">#REF!</definedName>
    <definedName name="НАЧ_ТО_РД" localSheetId="18">#REF!</definedName>
    <definedName name="НАЧ_ТО_РД">#REF!</definedName>
    <definedName name="ндс" localSheetId="17">#REF!</definedName>
    <definedName name="ндс" localSheetId="20">#REF!</definedName>
    <definedName name="ндс" localSheetId="18">#REF!</definedName>
    <definedName name="ндс" localSheetId="19">#REF!</definedName>
    <definedName name="ндс" localSheetId="15">#REF!</definedName>
    <definedName name="ндс">#REF!</definedName>
    <definedName name="неп" localSheetId="18">#REF!</definedName>
    <definedName name="неп">#REF!</definedName>
    <definedName name="неп_1" localSheetId="18">#REF!</definedName>
    <definedName name="неп_1">#REF!</definedName>
    <definedName name="неп_10" localSheetId="18">#REF!</definedName>
    <definedName name="неп_10">#REF!</definedName>
    <definedName name="неп_11" localSheetId="18">#REF!</definedName>
    <definedName name="неп_11">#REF!</definedName>
    <definedName name="неп_12" localSheetId="18">#REF!</definedName>
    <definedName name="неп_12">#REF!</definedName>
    <definedName name="неп_13" localSheetId="18">#REF!</definedName>
    <definedName name="неп_13">#REF!</definedName>
    <definedName name="неп_14" localSheetId="18">#REF!</definedName>
    <definedName name="неп_14">#REF!</definedName>
    <definedName name="неп_15" localSheetId="18">#REF!</definedName>
    <definedName name="неп_15">#REF!</definedName>
    <definedName name="неп_16" localSheetId="18">#REF!</definedName>
    <definedName name="неп_16">#REF!</definedName>
    <definedName name="неп_17" localSheetId="18">#REF!</definedName>
    <definedName name="неп_17">#REF!</definedName>
    <definedName name="неп_18" localSheetId="18">#REF!</definedName>
    <definedName name="неп_18">#REF!</definedName>
    <definedName name="неп_19" localSheetId="18">#REF!</definedName>
    <definedName name="неп_19">#REF!</definedName>
    <definedName name="неп_2" localSheetId="18">#REF!</definedName>
    <definedName name="неп_2">#REF!</definedName>
    <definedName name="неп_20" localSheetId="18">#REF!</definedName>
    <definedName name="неп_20">#REF!</definedName>
    <definedName name="неп_21" localSheetId="18">#REF!</definedName>
    <definedName name="неп_21">#REF!</definedName>
    <definedName name="неп_49" localSheetId="18">#REF!</definedName>
    <definedName name="неп_49">#REF!</definedName>
    <definedName name="неп_50" localSheetId="18">#REF!</definedName>
    <definedName name="неп_50">#REF!</definedName>
    <definedName name="неп_51" localSheetId="18">#REF!</definedName>
    <definedName name="неп_51">#REF!</definedName>
    <definedName name="неп_52" localSheetId="18">#REF!</definedName>
    <definedName name="неп_52">#REF!</definedName>
    <definedName name="неп_53" localSheetId="18">#REF!</definedName>
    <definedName name="неп_53">#REF!</definedName>
    <definedName name="неп_54" localSheetId="18">#REF!</definedName>
    <definedName name="неп_54">#REF!</definedName>
    <definedName name="неп_6" localSheetId="18">#REF!</definedName>
    <definedName name="неп_6">#REF!</definedName>
    <definedName name="неп_7" localSheetId="18">#REF!</definedName>
    <definedName name="неп_7">#REF!</definedName>
    <definedName name="неп_8" localSheetId="18">#REF!</definedName>
    <definedName name="неп_8">#REF!</definedName>
    <definedName name="неп_9" localSheetId="18">#REF!</definedName>
    <definedName name="неп_9">#REF!</definedName>
    <definedName name="Непредв">[13]Коэфф!$B$7</definedName>
    <definedName name="ННОвгород" localSheetId="18">#REF!</definedName>
    <definedName name="ННОвгород">#REF!</definedName>
    <definedName name="ННОвгород_1" localSheetId="18">#REF!</definedName>
    <definedName name="ННОвгород_1">#REF!</definedName>
    <definedName name="ННОвгород_2" localSheetId="18">#REF!</definedName>
    <definedName name="ННОвгород_2">#REF!</definedName>
    <definedName name="ННОвгород_22" localSheetId="18">#REF!</definedName>
    <definedName name="ННОвгород_22">#REF!</definedName>
    <definedName name="ННОвгород_49" localSheetId="18">#REF!</definedName>
    <definedName name="ННОвгород_49">#REF!</definedName>
    <definedName name="ННОвгород_5" localSheetId="18">#REF!</definedName>
    <definedName name="ННОвгород_5">#REF!</definedName>
    <definedName name="ННОвгород_50" localSheetId="18">#REF!</definedName>
    <definedName name="ННОвгород_50">#REF!</definedName>
    <definedName name="ННОвгород_51" localSheetId="18">#REF!</definedName>
    <definedName name="ННОвгород_51">#REF!</definedName>
    <definedName name="ННОвгород_52" localSheetId="18">#REF!</definedName>
    <definedName name="ННОвгород_52">#REF!</definedName>
    <definedName name="ННОвгород_53" localSheetId="18">#REF!</definedName>
    <definedName name="ННОвгород_53">#REF!</definedName>
    <definedName name="ННОвгород_54" localSheetId="18">#REF!</definedName>
    <definedName name="ННОвгород_54">#REF!</definedName>
    <definedName name="Номер_договора" localSheetId="18">#REF!</definedName>
    <definedName name="Номер_договора">#REF!</definedName>
    <definedName name="Номер_договора_1" localSheetId="18">#REF!</definedName>
    <definedName name="Номер_договора_1">#REF!</definedName>
    <definedName name="НомерДоговора">[28]ОбмОбслЗемОд!$F$2</definedName>
    <definedName name="Нсапк">'[10]Лист опроса'!$B$34</definedName>
    <definedName name="Нсстр">'[10]Лист опроса'!$B$32</definedName>
    <definedName name="о" localSheetId="18">#REF!</definedName>
    <definedName name="о">#REF!</definedName>
    <definedName name="о_1" localSheetId="18">#REF!</definedName>
    <definedName name="о_1">#REF!</definedName>
    <definedName name="_xlnm.Print_Area" localSheetId="8">'Cводная смета ПИР'!$A$1:$G$36</definedName>
    <definedName name="_xlnm.Print_Area" localSheetId="17">Археология!$A$1:$G$29</definedName>
    <definedName name="_xlnm.Print_Area" localSheetId="20">'ВОП '!$A$1:$G$26</definedName>
    <definedName name="_xlnm.Print_Area" localSheetId="18">'ВОП (по форме 3п)'!$A$1:$G$33</definedName>
    <definedName name="_xlnm.Print_Area" localSheetId="11">Геодезия!$A$1:$N$91</definedName>
    <definedName name="_xlnm.Print_Area" localSheetId="13">'Геофизика '!$A$1:$L$38</definedName>
    <definedName name="_xlnm.Print_Area" localSheetId="1">'КВЛ EL7'!$A$1:$M$64</definedName>
    <definedName name="_xlnm.Print_Area" localSheetId="6">НМЦ!$A$1:$E$22</definedName>
    <definedName name="_xlnm.Print_Area" localSheetId="7">НМЦК!$A$1:$G$49</definedName>
    <definedName name="_xlnm.Print_Area" localSheetId="4">Пояснительная!$A$1:$C$23</definedName>
    <definedName name="_xlnm.Print_Area" localSheetId="5">Протокол!$A$1:$K$36</definedName>
    <definedName name="_xlnm.Print_Area" localSheetId="10">'Экспертиза ПД и ИЗ'!$A$1:$H$21</definedName>
    <definedName name="Область_печати_ИМ" localSheetId="11">Геодезия!$A$1:$J$57</definedName>
    <definedName name="обуч" localSheetId="18" hidden="1">{#N/A,#N/A,TRUE,"Смета на пасс. обор. №1"}</definedName>
    <definedName name="обуч" hidden="1">{#N/A,#N/A,TRUE,"Смета на пасс. обор. №1"}</definedName>
    <definedName name="обуч_1" localSheetId="18" hidden="1">{#N/A,#N/A,TRUE,"Смета на пасс. обор. №1"}</definedName>
    <definedName name="обуч_1" hidden="1">{#N/A,#N/A,TRUE,"Смета на пасс. обор. №1"}</definedName>
    <definedName name="общ_МПА_П" localSheetId="18">#REF!</definedName>
    <definedName name="общ_МПА_П">#REF!</definedName>
    <definedName name="ОбъектАдрес">[28]ОбмОбслЗемОд!$A$4</definedName>
    <definedName name="Объекты" localSheetId="18">#REF!</definedName>
    <definedName name="Объекты">#REF!</definedName>
    <definedName name="объем" localSheetId="18">NA()</definedName>
    <definedName name="объем">#N/A</definedName>
    <definedName name="объем___0" localSheetId="18">NA()</definedName>
    <definedName name="объем___0">#REF!</definedName>
    <definedName name="объем___0___0" localSheetId="18">#REF!</definedName>
    <definedName name="объем___0___0">#REF!</definedName>
    <definedName name="объем___0___0___0" localSheetId="18">#REF!</definedName>
    <definedName name="объем___0___0___0">#REF!</definedName>
    <definedName name="объем___0___0___0___0" localSheetId="18">#REF!</definedName>
    <definedName name="объем___0___0___0___0">#REF!</definedName>
    <definedName name="объем___0___0___0___0___0" localSheetId="18">#REF!</definedName>
    <definedName name="объем___0___0___0___0___0">#REF!</definedName>
    <definedName name="объем___0___0___0___0___0_1" localSheetId="18">#REF!</definedName>
    <definedName name="объем___0___0___0___0___0_1">#REF!</definedName>
    <definedName name="объем___0___0___0___0_1" localSheetId="18">#REF!</definedName>
    <definedName name="объем___0___0___0___0_1">#REF!</definedName>
    <definedName name="объем___0___0___0___1" localSheetId="18">#REF!</definedName>
    <definedName name="объем___0___0___0___1">#REF!</definedName>
    <definedName name="объем___0___0___0___1_1" localSheetId="18">#REF!</definedName>
    <definedName name="объем___0___0___0___1_1">#REF!</definedName>
    <definedName name="объем___0___0___0___5" localSheetId="18">#REF!</definedName>
    <definedName name="объем___0___0___0___5">#REF!</definedName>
    <definedName name="объем___0___0___0___5_1" localSheetId="18">#REF!</definedName>
    <definedName name="объем___0___0___0___5_1">#REF!</definedName>
    <definedName name="объем___0___0___0_1" localSheetId="18">#REF!</definedName>
    <definedName name="объем___0___0___0_1">#REF!</definedName>
    <definedName name="объем___0___0___0_1_1" localSheetId="18">#REF!</definedName>
    <definedName name="объем___0___0___0_1_1">#REF!</definedName>
    <definedName name="объем___0___0___0_1_1_1" localSheetId="18">#REF!</definedName>
    <definedName name="объем___0___0___0_1_1_1">#REF!</definedName>
    <definedName name="объем___0___0___0_5" localSheetId="18">#REF!</definedName>
    <definedName name="объем___0___0___0_5">#REF!</definedName>
    <definedName name="объем___0___0___0_5_1" localSheetId="18">#REF!</definedName>
    <definedName name="объем___0___0___0_5_1">#REF!</definedName>
    <definedName name="объем___0___0___1" localSheetId="18">#REF!</definedName>
    <definedName name="объем___0___0___1">#REF!</definedName>
    <definedName name="объем___0___0___1_1" localSheetId="18">#REF!</definedName>
    <definedName name="объем___0___0___1_1">#REF!</definedName>
    <definedName name="объем___0___0___2" localSheetId="18">#REF!</definedName>
    <definedName name="объем___0___0___2">#REF!</definedName>
    <definedName name="объем___0___0___2_1" localSheetId="18">#REF!</definedName>
    <definedName name="объем___0___0___2_1">#REF!</definedName>
    <definedName name="объем___0___0___3" localSheetId="18">#REF!</definedName>
    <definedName name="объем___0___0___3">#REF!</definedName>
    <definedName name="объем___0___0___3_1" localSheetId="18">#REF!</definedName>
    <definedName name="объем___0___0___3_1">#REF!</definedName>
    <definedName name="объем___0___0___4" localSheetId="18">#REF!</definedName>
    <definedName name="объем___0___0___4">#REF!</definedName>
    <definedName name="объем___0___0___4_1" localSheetId="18">#REF!</definedName>
    <definedName name="объем___0___0___4_1">#REF!</definedName>
    <definedName name="объем___0___0___5" localSheetId="18">#REF!</definedName>
    <definedName name="объем___0___0___5">#REF!</definedName>
    <definedName name="объем___0___0___5_1" localSheetId="18">#REF!</definedName>
    <definedName name="объем___0___0___5_1">#REF!</definedName>
    <definedName name="объем___0___0_1" localSheetId="18">#REF!</definedName>
    <definedName name="объем___0___0_1">#REF!</definedName>
    <definedName name="объем___0___0_1_1" localSheetId="18">#REF!</definedName>
    <definedName name="объем___0___0_1_1">#REF!</definedName>
    <definedName name="объем___0___0_1_1_1" localSheetId="18">#REF!</definedName>
    <definedName name="объем___0___0_1_1_1">#REF!</definedName>
    <definedName name="объем___0___0_3" localSheetId="18">#REF!</definedName>
    <definedName name="объем___0___0_3">#REF!</definedName>
    <definedName name="объем___0___0_3_1" localSheetId="18">#REF!</definedName>
    <definedName name="объем___0___0_3_1">#REF!</definedName>
    <definedName name="объем___0___0_5" localSheetId="18">#REF!</definedName>
    <definedName name="объем___0___0_5">#REF!</definedName>
    <definedName name="объем___0___0_5_1" localSheetId="18">#REF!</definedName>
    <definedName name="объем___0___0_5_1">#REF!</definedName>
    <definedName name="объем___0___1" localSheetId="18">#REF!</definedName>
    <definedName name="объем___0___1">#REF!</definedName>
    <definedName name="объем___0___1___0" localSheetId="18">#REF!</definedName>
    <definedName name="объем___0___1___0">#REF!</definedName>
    <definedName name="объем___0___1___0_1" localSheetId="18">#REF!</definedName>
    <definedName name="объем___0___1___0_1">#REF!</definedName>
    <definedName name="объем___0___1_1" localSheetId="18">#REF!</definedName>
    <definedName name="объем___0___1_1">#REF!</definedName>
    <definedName name="объем___0___10" localSheetId="18">#REF!</definedName>
    <definedName name="объем___0___10">#REF!</definedName>
    <definedName name="объем___0___10_1" localSheetId="18">#REF!</definedName>
    <definedName name="объем___0___10_1">#REF!</definedName>
    <definedName name="объем___0___12" localSheetId="18">#REF!</definedName>
    <definedName name="объем___0___12">#REF!</definedName>
    <definedName name="объем___0___2" localSheetId="18">#REF!</definedName>
    <definedName name="объем___0___2">#REF!</definedName>
    <definedName name="объем___0___2___0" localSheetId="18">#REF!</definedName>
    <definedName name="объем___0___2___0">#REF!</definedName>
    <definedName name="объем___0___2___0___0" localSheetId="18">#REF!</definedName>
    <definedName name="объем___0___2___0___0">#REF!</definedName>
    <definedName name="объем___0___2___0___0_1" localSheetId="18">#REF!</definedName>
    <definedName name="объем___0___2___0___0_1">#REF!</definedName>
    <definedName name="объем___0___2___0_1" localSheetId="18">#REF!</definedName>
    <definedName name="объем___0___2___0_1">#REF!</definedName>
    <definedName name="объем___0___2___5" localSheetId="18">#REF!</definedName>
    <definedName name="объем___0___2___5">#REF!</definedName>
    <definedName name="объем___0___2___5_1" localSheetId="18">#REF!</definedName>
    <definedName name="объем___0___2___5_1">#REF!</definedName>
    <definedName name="объем___0___2_1" localSheetId="18">#REF!</definedName>
    <definedName name="объем___0___2_1">#REF!</definedName>
    <definedName name="объем___0___2_1_1" localSheetId="18">#REF!</definedName>
    <definedName name="объем___0___2_1_1">#REF!</definedName>
    <definedName name="объем___0___2_1_1_1" localSheetId="18">#REF!</definedName>
    <definedName name="объем___0___2_1_1_1">#REF!</definedName>
    <definedName name="объем___0___2_3" localSheetId="18">#REF!</definedName>
    <definedName name="объем___0___2_3">#REF!</definedName>
    <definedName name="объем___0___2_3_1" localSheetId="18">#REF!</definedName>
    <definedName name="объем___0___2_3_1">#REF!</definedName>
    <definedName name="объем___0___2_5" localSheetId="18">#REF!</definedName>
    <definedName name="объем___0___2_5">#REF!</definedName>
    <definedName name="объем___0___2_5_1" localSheetId="18">#REF!</definedName>
    <definedName name="объем___0___2_5_1">#REF!</definedName>
    <definedName name="объем___0___3" localSheetId="18">#REF!</definedName>
    <definedName name="объем___0___3">#REF!</definedName>
    <definedName name="объем___0___3___0" localSheetId="18">#REF!</definedName>
    <definedName name="объем___0___3___0">#REF!</definedName>
    <definedName name="объем___0___3___0_1" localSheetId="18">#REF!</definedName>
    <definedName name="объем___0___3___0_1">#REF!</definedName>
    <definedName name="объем___0___3___5" localSheetId="18">#REF!</definedName>
    <definedName name="объем___0___3___5">#REF!</definedName>
    <definedName name="объем___0___3___5_1" localSheetId="18">#REF!</definedName>
    <definedName name="объем___0___3___5_1">#REF!</definedName>
    <definedName name="объем___0___3_1" localSheetId="18">#REF!</definedName>
    <definedName name="объем___0___3_1">#REF!</definedName>
    <definedName name="объем___0___3_1_1" localSheetId="18">#REF!</definedName>
    <definedName name="объем___0___3_1_1">#REF!</definedName>
    <definedName name="объем___0___3_1_1_1" localSheetId="18">#REF!</definedName>
    <definedName name="объем___0___3_1_1_1">#REF!</definedName>
    <definedName name="объем___0___3_5" localSheetId="18">#REF!</definedName>
    <definedName name="объем___0___3_5">#REF!</definedName>
    <definedName name="объем___0___3_5_1" localSheetId="18">#REF!</definedName>
    <definedName name="объем___0___3_5_1">#REF!</definedName>
    <definedName name="объем___0___4" localSheetId="18">#REF!</definedName>
    <definedName name="объем___0___4">#REF!</definedName>
    <definedName name="объем___0___4___0" localSheetId="18">#REF!</definedName>
    <definedName name="объем___0___4___0">#REF!</definedName>
    <definedName name="объем___0___4___0_1" localSheetId="18">#REF!</definedName>
    <definedName name="объем___0___4___0_1">#REF!</definedName>
    <definedName name="объем___0___4___5" localSheetId="18">#REF!</definedName>
    <definedName name="объем___0___4___5">#REF!</definedName>
    <definedName name="объем___0___4___5_1" localSheetId="18">#REF!</definedName>
    <definedName name="объем___0___4___5_1">#REF!</definedName>
    <definedName name="объем___0___4_1" localSheetId="18">#REF!</definedName>
    <definedName name="объем___0___4_1">#REF!</definedName>
    <definedName name="объем___0___4_1_1" localSheetId="18">#REF!</definedName>
    <definedName name="объем___0___4_1_1">#REF!</definedName>
    <definedName name="объем___0___4_1_1_1" localSheetId="18">#REF!</definedName>
    <definedName name="объем___0___4_1_1_1">#REF!</definedName>
    <definedName name="объем___0___4_3" localSheetId="18">#REF!</definedName>
    <definedName name="объем___0___4_3">#REF!</definedName>
    <definedName name="объем___0___4_3_1" localSheetId="18">#REF!</definedName>
    <definedName name="объем___0___4_3_1">#REF!</definedName>
    <definedName name="объем___0___4_5" localSheetId="18">#REF!</definedName>
    <definedName name="объем___0___4_5">#REF!</definedName>
    <definedName name="объем___0___4_5_1" localSheetId="18">#REF!</definedName>
    <definedName name="объем___0___4_5_1">#REF!</definedName>
    <definedName name="объем___0___5" localSheetId="18">#REF!</definedName>
    <definedName name="объем___0___5">#REF!</definedName>
    <definedName name="объем___0___5_1" localSheetId="18">#REF!</definedName>
    <definedName name="объем___0___5_1">#REF!</definedName>
    <definedName name="объем___0___6" localSheetId="18">#REF!</definedName>
    <definedName name="объем___0___6">#REF!</definedName>
    <definedName name="объем___0___6_1" localSheetId="18">#REF!</definedName>
    <definedName name="объем___0___6_1">#REF!</definedName>
    <definedName name="объем___0___8" localSheetId="18">#REF!</definedName>
    <definedName name="объем___0___8">#REF!</definedName>
    <definedName name="объем___0___8_1" localSheetId="18">#REF!</definedName>
    <definedName name="объем___0___8_1">#REF!</definedName>
    <definedName name="объем___0_1" localSheetId="18">#REF!</definedName>
    <definedName name="объем___0_1">#REF!</definedName>
    <definedName name="объем___0_1_1" localSheetId="18">#REF!</definedName>
    <definedName name="объем___0_1_1">#REF!</definedName>
    <definedName name="объем___0_3" localSheetId="18">#REF!</definedName>
    <definedName name="объем___0_3">#REF!</definedName>
    <definedName name="объем___0_3_1" localSheetId="18">#REF!</definedName>
    <definedName name="объем___0_3_1">#REF!</definedName>
    <definedName name="объем___0_5" localSheetId="18">#REF!</definedName>
    <definedName name="объем___0_5">#REF!</definedName>
    <definedName name="объем___0_5_1" localSheetId="18">#REF!</definedName>
    <definedName name="объем___0_5_1">#REF!</definedName>
    <definedName name="объем___1" localSheetId="18">#REF!</definedName>
    <definedName name="объем___1">#REF!</definedName>
    <definedName name="объем___1___0" localSheetId="18">#REF!</definedName>
    <definedName name="объем___1___0">#REF!</definedName>
    <definedName name="объем___1___0___0" localSheetId="18">#REF!</definedName>
    <definedName name="объем___1___0___0">#REF!</definedName>
    <definedName name="объем___1___0___0_1" localSheetId="18">#REF!</definedName>
    <definedName name="объем___1___0___0_1">#REF!</definedName>
    <definedName name="объем___1___0_1" localSheetId="18">#REF!</definedName>
    <definedName name="объем___1___0_1">#REF!</definedName>
    <definedName name="объем___1___1" localSheetId="18">#REF!</definedName>
    <definedName name="объем___1___1">#REF!</definedName>
    <definedName name="объем___1___1_1" localSheetId="18">#REF!</definedName>
    <definedName name="объем___1___1_1">#REF!</definedName>
    <definedName name="объем___1___5" localSheetId="18">#REF!</definedName>
    <definedName name="объем___1___5">#REF!</definedName>
    <definedName name="объем___1___5_1" localSheetId="18">#REF!</definedName>
    <definedName name="объем___1___5_1">#REF!</definedName>
    <definedName name="объем___1_1" localSheetId="18">#REF!</definedName>
    <definedName name="объем___1_1">#REF!</definedName>
    <definedName name="объем___1_1_1" localSheetId="18">#REF!</definedName>
    <definedName name="объем___1_1_1">#REF!</definedName>
    <definedName name="объем___1_1_1_1" localSheetId="18">#REF!</definedName>
    <definedName name="объем___1_1_1_1">#REF!</definedName>
    <definedName name="объем___1_3" localSheetId="18">#REF!</definedName>
    <definedName name="объем___1_3">#REF!</definedName>
    <definedName name="объем___1_3_1" localSheetId="18">#REF!</definedName>
    <definedName name="объем___1_3_1">#REF!</definedName>
    <definedName name="объем___1_5" localSheetId="18">#REF!</definedName>
    <definedName name="объем___1_5">#REF!</definedName>
    <definedName name="объем___1_5_1" localSheetId="18">#REF!</definedName>
    <definedName name="объем___1_5_1">#REF!</definedName>
    <definedName name="объем___10" localSheetId="18">NA()</definedName>
    <definedName name="объем___10">#REF!</definedName>
    <definedName name="объем___10___0" localSheetId="18">#REF!</definedName>
    <definedName name="объем___10___0">NA()</definedName>
    <definedName name="объем___10___0___0" localSheetId="18">#REF!</definedName>
    <definedName name="объем___10___0___0">#REF!</definedName>
    <definedName name="объем___10___0___0___0" localSheetId="18">#REF!</definedName>
    <definedName name="объем___10___0___0___0">#REF!</definedName>
    <definedName name="объем___10___0___0___0_1" localSheetId="18">#REF!</definedName>
    <definedName name="объем___10___0___0___0_1">#REF!</definedName>
    <definedName name="объем___10___0___0_1" localSheetId="18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8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8">#REF!</definedName>
    <definedName name="объем___10___1">#REF!</definedName>
    <definedName name="объем___10___10" localSheetId="18">#REF!</definedName>
    <definedName name="объем___10___10">#REF!</definedName>
    <definedName name="объем___10___12" localSheetId="18">#REF!</definedName>
    <definedName name="объем___10___12">#REF!</definedName>
    <definedName name="объем___10___2">NA()</definedName>
    <definedName name="объем___10___4">NA()</definedName>
    <definedName name="объем___10___5" localSheetId="18">#REF!</definedName>
    <definedName name="объем___10___5">#REF!</definedName>
    <definedName name="объем___10___5_1" localSheetId="18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18">#REF!</definedName>
    <definedName name="объем___10_3">#REF!</definedName>
    <definedName name="объем___10_3_1" localSheetId="18">#REF!</definedName>
    <definedName name="объем___10_3_1">#REF!</definedName>
    <definedName name="объем___10_5" localSheetId="18">#REF!</definedName>
    <definedName name="объем___10_5">#REF!</definedName>
    <definedName name="объем___10_5_1" localSheetId="18">#REF!</definedName>
    <definedName name="объем___10_5_1">#REF!</definedName>
    <definedName name="объем___11" localSheetId="18">#REF!</definedName>
    <definedName name="объем___11">#REF!</definedName>
    <definedName name="объем___11___0">NA()</definedName>
    <definedName name="объем___11___10" localSheetId="18">#REF!</definedName>
    <definedName name="объем___11___10">#REF!</definedName>
    <definedName name="объем___11___2" localSheetId="18">#REF!</definedName>
    <definedName name="объем___11___2">#REF!</definedName>
    <definedName name="объем___11___4" localSheetId="18">#REF!</definedName>
    <definedName name="объем___11___4">#REF!</definedName>
    <definedName name="объем___11___6" localSheetId="18">#REF!</definedName>
    <definedName name="объем___11___6">#REF!</definedName>
    <definedName name="объем___11___8" localSheetId="18">#REF!</definedName>
    <definedName name="объем___11___8">#REF!</definedName>
    <definedName name="объем___11_1" localSheetId="18">#REF!</definedName>
    <definedName name="объем___11_1">#REF!</definedName>
    <definedName name="объем___12">NA()</definedName>
    <definedName name="объем___2" localSheetId="18">#REF!</definedName>
    <definedName name="объем___2">#REF!</definedName>
    <definedName name="объем___2___0" localSheetId="18">#REF!</definedName>
    <definedName name="объем___2___0">#REF!</definedName>
    <definedName name="объем___2___0___0" localSheetId="18">#REF!</definedName>
    <definedName name="объем___2___0___0">#REF!</definedName>
    <definedName name="объем___2___0___0___0" localSheetId="18">#REF!</definedName>
    <definedName name="объем___2___0___0___0">#REF!</definedName>
    <definedName name="объем___2___0___0___0___0" localSheetId="18">#REF!</definedName>
    <definedName name="объем___2___0___0___0___0">#REF!</definedName>
    <definedName name="объем___2___0___0___0___0_1" localSheetId="18">#REF!</definedName>
    <definedName name="объем___2___0___0___0___0_1">#REF!</definedName>
    <definedName name="объем___2___0___0___0_1" localSheetId="18">#REF!</definedName>
    <definedName name="объем___2___0___0___0_1">#REF!</definedName>
    <definedName name="объем___2___0___0___1" localSheetId="18">#REF!</definedName>
    <definedName name="объем___2___0___0___1">#REF!</definedName>
    <definedName name="объем___2___0___0___1_1" localSheetId="18">#REF!</definedName>
    <definedName name="объем___2___0___0___1_1">#REF!</definedName>
    <definedName name="объем___2___0___0___5" localSheetId="18">#REF!</definedName>
    <definedName name="объем___2___0___0___5">#REF!</definedName>
    <definedName name="объем___2___0___0___5_1" localSheetId="18">#REF!</definedName>
    <definedName name="объем___2___0___0___5_1">#REF!</definedName>
    <definedName name="объем___2___0___0_1" localSheetId="18">#REF!</definedName>
    <definedName name="объем___2___0___0_1">#REF!</definedName>
    <definedName name="объем___2___0___0_1_1" localSheetId="18">#REF!</definedName>
    <definedName name="объем___2___0___0_1_1">#REF!</definedName>
    <definedName name="объем___2___0___0_1_1_1" localSheetId="18">#REF!</definedName>
    <definedName name="объем___2___0___0_1_1_1">#REF!</definedName>
    <definedName name="объем___2___0___0_5" localSheetId="18">#REF!</definedName>
    <definedName name="объем___2___0___0_5">#REF!</definedName>
    <definedName name="объем___2___0___0_5_1" localSheetId="18">#REF!</definedName>
    <definedName name="объем___2___0___0_5_1">#REF!</definedName>
    <definedName name="объем___2___0___1" localSheetId="18">#REF!</definedName>
    <definedName name="объем___2___0___1">#REF!</definedName>
    <definedName name="объем___2___0___1_1" localSheetId="18">#REF!</definedName>
    <definedName name="объем___2___0___1_1">#REF!</definedName>
    <definedName name="объем___2___0___5" localSheetId="18">#REF!</definedName>
    <definedName name="объем___2___0___5">#REF!</definedName>
    <definedName name="объем___2___0___5_1" localSheetId="18">#REF!</definedName>
    <definedName name="объем___2___0___5_1">#REF!</definedName>
    <definedName name="объем___2___0_1" localSheetId="18">#REF!</definedName>
    <definedName name="объем___2___0_1">#REF!</definedName>
    <definedName name="объем___2___0_1_1" localSheetId="18">#REF!</definedName>
    <definedName name="объем___2___0_1_1">#REF!</definedName>
    <definedName name="объем___2___0_1_1_1" localSheetId="18">#REF!</definedName>
    <definedName name="объем___2___0_1_1_1">#REF!</definedName>
    <definedName name="объем___2___0_3" localSheetId="18">#REF!</definedName>
    <definedName name="объем___2___0_3">#REF!</definedName>
    <definedName name="объем___2___0_3_1" localSheetId="18">#REF!</definedName>
    <definedName name="объем___2___0_3_1">#REF!</definedName>
    <definedName name="объем___2___0_5" localSheetId="18">#REF!</definedName>
    <definedName name="объем___2___0_5">#REF!</definedName>
    <definedName name="объем___2___0_5_1" localSheetId="18">#REF!</definedName>
    <definedName name="объем___2___0_5_1">#REF!</definedName>
    <definedName name="объем___2___1" localSheetId="18">#REF!</definedName>
    <definedName name="объем___2___1">#REF!</definedName>
    <definedName name="объем___2___1_1" localSheetId="18">#REF!</definedName>
    <definedName name="объем___2___1_1">#REF!</definedName>
    <definedName name="объем___2___10" localSheetId="18">#REF!</definedName>
    <definedName name="объем___2___10">#REF!</definedName>
    <definedName name="объем___2___10_1" localSheetId="18">#REF!</definedName>
    <definedName name="объем___2___10_1">#REF!</definedName>
    <definedName name="объем___2___12" localSheetId="18">#REF!</definedName>
    <definedName name="объем___2___12">#REF!</definedName>
    <definedName name="объем___2___2" localSheetId="18">#REF!</definedName>
    <definedName name="объем___2___2">#REF!</definedName>
    <definedName name="объем___2___2_1" localSheetId="18">#REF!</definedName>
    <definedName name="объем___2___2_1">#REF!</definedName>
    <definedName name="объем___2___3" localSheetId="18">#REF!</definedName>
    <definedName name="объем___2___3">#REF!</definedName>
    <definedName name="объем___2___4" localSheetId="18">#REF!</definedName>
    <definedName name="объем___2___4">#REF!</definedName>
    <definedName name="объем___2___4___0" localSheetId="18">#REF!</definedName>
    <definedName name="объем___2___4___0">#REF!</definedName>
    <definedName name="объем___2___4___0_1" localSheetId="18">#REF!</definedName>
    <definedName name="объем___2___4___0_1">#REF!</definedName>
    <definedName name="объем___2___4___5" localSheetId="18">#REF!</definedName>
    <definedName name="объем___2___4___5">#REF!</definedName>
    <definedName name="объем___2___4___5_1" localSheetId="18">#REF!</definedName>
    <definedName name="объем___2___4___5_1">#REF!</definedName>
    <definedName name="объем___2___4_1" localSheetId="18">#REF!</definedName>
    <definedName name="объем___2___4_1">#REF!</definedName>
    <definedName name="объем___2___4_1_1" localSheetId="18">#REF!</definedName>
    <definedName name="объем___2___4_1_1">#REF!</definedName>
    <definedName name="объем___2___4_1_1_1" localSheetId="18">#REF!</definedName>
    <definedName name="объем___2___4_1_1_1">#REF!</definedName>
    <definedName name="объем___2___4_3" localSheetId="18">#REF!</definedName>
    <definedName name="объем___2___4_3">#REF!</definedName>
    <definedName name="объем___2___4_3_1" localSheetId="18">#REF!</definedName>
    <definedName name="объем___2___4_3_1">#REF!</definedName>
    <definedName name="объем___2___4_5" localSheetId="18">#REF!</definedName>
    <definedName name="объем___2___4_5">#REF!</definedName>
    <definedName name="объем___2___4_5_1" localSheetId="18">#REF!</definedName>
    <definedName name="объем___2___4_5_1">#REF!</definedName>
    <definedName name="объем___2___5" localSheetId="18">#REF!</definedName>
    <definedName name="объем___2___5">#REF!</definedName>
    <definedName name="объем___2___5_1" localSheetId="18">#REF!</definedName>
    <definedName name="объем___2___5_1">#REF!</definedName>
    <definedName name="объем___2___6" localSheetId="18">#REF!</definedName>
    <definedName name="объем___2___6">#REF!</definedName>
    <definedName name="объем___2___6_1" localSheetId="18">#REF!</definedName>
    <definedName name="объем___2___6_1">#REF!</definedName>
    <definedName name="объем___2___8" localSheetId="18">#REF!</definedName>
    <definedName name="объем___2___8">#REF!</definedName>
    <definedName name="объем___2___8_1" localSheetId="18">#REF!</definedName>
    <definedName name="объем___2___8_1">#REF!</definedName>
    <definedName name="объем___2_1" localSheetId="18">#REF!</definedName>
    <definedName name="объем___2_1">#REF!</definedName>
    <definedName name="объем___2_1_1" localSheetId="18">#REF!</definedName>
    <definedName name="объем___2_1_1">#REF!</definedName>
    <definedName name="объем___2_1_1_1" localSheetId="18">#REF!</definedName>
    <definedName name="объем___2_1_1_1">#REF!</definedName>
    <definedName name="объем___2_3" localSheetId="18">#REF!</definedName>
    <definedName name="объем___2_3">#REF!</definedName>
    <definedName name="объем___2_3_1" localSheetId="18">#REF!</definedName>
    <definedName name="объем___2_3_1">#REF!</definedName>
    <definedName name="объем___2_5" localSheetId="18">#REF!</definedName>
    <definedName name="объем___2_5">#REF!</definedName>
    <definedName name="объем___2_5_1" localSheetId="18">#REF!</definedName>
    <definedName name="объем___2_5_1">#REF!</definedName>
    <definedName name="объем___3" localSheetId="18">#REF!</definedName>
    <definedName name="объем___3">#REF!</definedName>
    <definedName name="объем___3___0" localSheetId="18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18">#REF!</definedName>
    <definedName name="объем___3___0___5">#REF!</definedName>
    <definedName name="объем___3___0___5_1" localSheetId="18">#REF!</definedName>
    <definedName name="объем___3___0___5_1">#REF!</definedName>
    <definedName name="объем___3___0_1" localSheetId="18">#REF!</definedName>
    <definedName name="объем___3___0_1">#REF!</definedName>
    <definedName name="объем___3___0_1_1">NA()</definedName>
    <definedName name="объем___3___0_3" localSheetId="18">#REF!</definedName>
    <definedName name="объем___3___0_3">#REF!</definedName>
    <definedName name="объем___3___0_3_1" localSheetId="18">#REF!</definedName>
    <definedName name="объем___3___0_3_1">#REF!</definedName>
    <definedName name="объем___3___0_5" localSheetId="18">#REF!</definedName>
    <definedName name="объем___3___0_5">#REF!</definedName>
    <definedName name="объем___3___0_5_1" localSheetId="18">#REF!</definedName>
    <definedName name="объем___3___0_5_1">#REF!</definedName>
    <definedName name="объем___3___10" localSheetId="18">#REF!</definedName>
    <definedName name="объем___3___10">#REF!</definedName>
    <definedName name="объем___3___2" localSheetId="18">#REF!</definedName>
    <definedName name="объем___3___2">#REF!</definedName>
    <definedName name="объем___3___2_1" localSheetId="18">#REF!</definedName>
    <definedName name="объем___3___2_1">#REF!</definedName>
    <definedName name="объем___3___3" localSheetId="18">#REF!</definedName>
    <definedName name="объем___3___3">#REF!</definedName>
    <definedName name="объем___3___3_1" localSheetId="18">#REF!</definedName>
    <definedName name="объем___3___3_1">#REF!</definedName>
    <definedName name="объем___3___4" localSheetId="18">#REF!</definedName>
    <definedName name="объем___3___4">#REF!</definedName>
    <definedName name="объем___3___5" localSheetId="18">#REF!</definedName>
    <definedName name="объем___3___5">#REF!</definedName>
    <definedName name="объем___3___5_1" localSheetId="18">#REF!</definedName>
    <definedName name="объем___3___5_1">#REF!</definedName>
    <definedName name="объем___3___6" localSheetId="18">#REF!</definedName>
    <definedName name="объем___3___6">#REF!</definedName>
    <definedName name="объем___3___8" localSheetId="18">#REF!</definedName>
    <definedName name="объем___3___8">#REF!</definedName>
    <definedName name="объем___3_1" localSheetId="18">#REF!</definedName>
    <definedName name="объем___3_1">#REF!</definedName>
    <definedName name="объем___3_1_1" localSheetId="18">#REF!</definedName>
    <definedName name="объем___3_1_1">#REF!</definedName>
    <definedName name="объем___3_1_1_1" localSheetId="18">#REF!</definedName>
    <definedName name="объем___3_1_1_1">#REF!</definedName>
    <definedName name="объем___3_3">NA()</definedName>
    <definedName name="объем___3_5" localSheetId="18">#REF!</definedName>
    <definedName name="объем___3_5">#REF!</definedName>
    <definedName name="объем___3_5_1" localSheetId="18">#REF!</definedName>
    <definedName name="объем___3_5_1">#REF!</definedName>
    <definedName name="объем___4" localSheetId="18">#REF!</definedName>
    <definedName name="объем___4">#REF!</definedName>
    <definedName name="объем___4___0" localSheetId="18">#REF!</definedName>
    <definedName name="объем___4___0">NA()</definedName>
    <definedName name="объем___4___0___0" localSheetId="18">#REF!</definedName>
    <definedName name="объем___4___0___0">#REF!</definedName>
    <definedName name="объем___4___0___0___0" localSheetId="18">#REF!</definedName>
    <definedName name="объем___4___0___0___0">#REF!</definedName>
    <definedName name="объем___4___0___0___0___0" localSheetId="18">#REF!</definedName>
    <definedName name="объем___4___0___0___0___0">#REF!</definedName>
    <definedName name="объем___4___0___0___0___0_1" localSheetId="18">#REF!</definedName>
    <definedName name="объем___4___0___0___0___0_1">#REF!</definedName>
    <definedName name="объем___4___0___0___0_1" localSheetId="18">#REF!</definedName>
    <definedName name="объем___4___0___0___0_1">#REF!</definedName>
    <definedName name="объем___4___0___0___1" localSheetId="18">#REF!</definedName>
    <definedName name="объем___4___0___0___1">#REF!</definedName>
    <definedName name="объем___4___0___0___1_1" localSheetId="18">#REF!</definedName>
    <definedName name="объем___4___0___0___1_1">#REF!</definedName>
    <definedName name="объем___4___0___0___5" localSheetId="18">#REF!</definedName>
    <definedName name="объем___4___0___0___5">#REF!</definedName>
    <definedName name="объем___4___0___0___5_1" localSheetId="18">#REF!</definedName>
    <definedName name="объем___4___0___0___5_1">#REF!</definedName>
    <definedName name="объем___4___0___0_1" localSheetId="18">#REF!</definedName>
    <definedName name="объем___4___0___0_1">#REF!</definedName>
    <definedName name="объем___4___0___0_1_1" localSheetId="18">#REF!</definedName>
    <definedName name="объем___4___0___0_1_1">#REF!</definedName>
    <definedName name="объем___4___0___0_1_1_1" localSheetId="18">#REF!</definedName>
    <definedName name="объем___4___0___0_1_1_1">#REF!</definedName>
    <definedName name="объем___4___0___0_5" localSheetId="18">#REF!</definedName>
    <definedName name="объем___4___0___0_5">#REF!</definedName>
    <definedName name="объем___4___0___0_5_1" localSheetId="18">#REF!</definedName>
    <definedName name="объем___4___0___0_5_1">#REF!</definedName>
    <definedName name="объем___4___0___1" localSheetId="18">#REF!</definedName>
    <definedName name="объем___4___0___1">#REF!</definedName>
    <definedName name="объем___4___0___1_1" localSheetId="18">#REF!</definedName>
    <definedName name="объем___4___0___1_1">#REF!</definedName>
    <definedName name="объем___4___0___5">NA()</definedName>
    <definedName name="объем___4___0_1" localSheetId="18">#REF!</definedName>
    <definedName name="объем___4___0_1">#REF!</definedName>
    <definedName name="объем___4___0_1_1" localSheetId="18">#REF!</definedName>
    <definedName name="объем___4___0_1_1">#REF!</definedName>
    <definedName name="объем___4___0_1_1_1" localSheetId="18">#REF!</definedName>
    <definedName name="объем___4___0_1_1_1">#REF!</definedName>
    <definedName name="объем___4___0_3" localSheetId="18">#REF!</definedName>
    <definedName name="объем___4___0_3">#REF!</definedName>
    <definedName name="объем___4___0_3_1" localSheetId="18">#REF!</definedName>
    <definedName name="объем___4___0_3_1">#REF!</definedName>
    <definedName name="объем___4___0_5">NA()</definedName>
    <definedName name="объем___4___1" localSheetId="18">#REF!</definedName>
    <definedName name="объем___4___1">#REF!</definedName>
    <definedName name="объем___4___1_1" localSheetId="18">#REF!</definedName>
    <definedName name="объем___4___1_1">#REF!</definedName>
    <definedName name="объем___4___10" localSheetId="18">#REF!</definedName>
    <definedName name="объем___4___10">#REF!</definedName>
    <definedName name="объем___4___10_1" localSheetId="18">#REF!</definedName>
    <definedName name="объем___4___10_1">#REF!</definedName>
    <definedName name="объем___4___12" localSheetId="18">#REF!</definedName>
    <definedName name="объем___4___12">#REF!</definedName>
    <definedName name="объем___4___2" localSheetId="18">#REF!</definedName>
    <definedName name="объем___4___2">#REF!</definedName>
    <definedName name="объем___4___2_1" localSheetId="18">#REF!</definedName>
    <definedName name="объем___4___2_1">#REF!</definedName>
    <definedName name="объем___4___3" localSheetId="18">#REF!</definedName>
    <definedName name="объем___4___3">#REF!</definedName>
    <definedName name="объем___4___3_1" localSheetId="18">#REF!</definedName>
    <definedName name="объем___4___3_1">#REF!</definedName>
    <definedName name="объем___4___4" localSheetId="18">#REF!</definedName>
    <definedName name="объем___4___4">#REF!</definedName>
    <definedName name="объем___4___4_1" localSheetId="18">#REF!</definedName>
    <definedName name="объем___4___4_1">#REF!</definedName>
    <definedName name="объем___4___5" localSheetId="18">#REF!</definedName>
    <definedName name="объем___4___5">#REF!</definedName>
    <definedName name="объем___4___5_1" localSheetId="18">#REF!</definedName>
    <definedName name="объем___4___5_1">#REF!</definedName>
    <definedName name="объем___4___6" localSheetId="18">#REF!</definedName>
    <definedName name="объем___4___6">#REF!</definedName>
    <definedName name="объем___4___6_1" localSheetId="18">#REF!</definedName>
    <definedName name="объем___4___6_1">#REF!</definedName>
    <definedName name="объем___4___8" localSheetId="18">#REF!</definedName>
    <definedName name="объем___4___8">#REF!</definedName>
    <definedName name="объем___4___8_1" localSheetId="18">#REF!</definedName>
    <definedName name="объем___4___8_1">#REF!</definedName>
    <definedName name="объем___4_1" localSheetId="18">#REF!</definedName>
    <definedName name="объем___4_1">#REF!</definedName>
    <definedName name="объем___4_1_1" localSheetId="18">#REF!</definedName>
    <definedName name="объем___4_1_1">#REF!</definedName>
    <definedName name="объем___4_1_1_1" localSheetId="18">#REF!</definedName>
    <definedName name="объем___4_1_1_1">#REF!</definedName>
    <definedName name="объем___4_3" localSheetId="18">#REF!</definedName>
    <definedName name="объем___4_3">#REF!</definedName>
    <definedName name="объем___4_3_1" localSheetId="18">#REF!</definedName>
    <definedName name="объем___4_3_1">#REF!</definedName>
    <definedName name="объем___4_5" localSheetId="18">#REF!</definedName>
    <definedName name="объем___4_5">#REF!</definedName>
    <definedName name="объем___4_5_1" localSheetId="18">#REF!</definedName>
    <definedName name="объем___4_5_1">#REF!</definedName>
    <definedName name="объем___5" localSheetId="18">#REF!</definedName>
    <definedName name="объем___5">NA()</definedName>
    <definedName name="объем___5___0" localSheetId="18">#REF!</definedName>
    <definedName name="объем___5___0">#REF!</definedName>
    <definedName name="объем___5___0___0" localSheetId="18">#REF!</definedName>
    <definedName name="объем___5___0___0">#REF!</definedName>
    <definedName name="объем___5___0___0___0" localSheetId="18">#REF!</definedName>
    <definedName name="объем___5___0___0___0">#REF!</definedName>
    <definedName name="объем___5___0___0___0___0" localSheetId="18">#REF!</definedName>
    <definedName name="объем___5___0___0___0___0">#REF!</definedName>
    <definedName name="объем___5___0___0___0___0_1" localSheetId="18">#REF!</definedName>
    <definedName name="объем___5___0___0___0___0_1">#REF!</definedName>
    <definedName name="объем___5___0___0___0_1" localSheetId="18">#REF!</definedName>
    <definedName name="объем___5___0___0___0_1">#REF!</definedName>
    <definedName name="объем___5___0___0_1" localSheetId="18">#REF!</definedName>
    <definedName name="объем___5___0___0_1">#REF!</definedName>
    <definedName name="объем___5___0___1" localSheetId="18">#REF!</definedName>
    <definedName name="объем___5___0___1">#REF!</definedName>
    <definedName name="объем___5___0___1_1" localSheetId="18">#REF!</definedName>
    <definedName name="объем___5___0___1_1">#REF!</definedName>
    <definedName name="объем___5___0___5" localSheetId="18">#REF!</definedName>
    <definedName name="объем___5___0___5">#REF!</definedName>
    <definedName name="объем___5___0___5_1" localSheetId="18">#REF!</definedName>
    <definedName name="объем___5___0___5_1">#REF!</definedName>
    <definedName name="объем___5___0_1" localSheetId="18">#REF!</definedName>
    <definedName name="объем___5___0_1">#REF!</definedName>
    <definedName name="объем___5___0_1_1" localSheetId="18">#REF!</definedName>
    <definedName name="объем___5___0_1_1">#REF!</definedName>
    <definedName name="объем___5___0_1_1_1" localSheetId="18">#REF!</definedName>
    <definedName name="объем___5___0_1_1_1">#REF!</definedName>
    <definedName name="объем___5___0_3" localSheetId="18">#REF!</definedName>
    <definedName name="объем___5___0_3">#REF!</definedName>
    <definedName name="объем___5___0_3_1" localSheetId="18">#REF!</definedName>
    <definedName name="объем___5___0_3_1">#REF!</definedName>
    <definedName name="объем___5___0_5" localSheetId="18">#REF!</definedName>
    <definedName name="объем___5___0_5">#REF!</definedName>
    <definedName name="объем___5___0_5_1" localSheetId="18">#REF!</definedName>
    <definedName name="объем___5___0_5_1">#REF!</definedName>
    <definedName name="объем___5___1" localSheetId="18">#REF!</definedName>
    <definedName name="объем___5___1">#REF!</definedName>
    <definedName name="объем___5___1_1" localSheetId="18">#REF!</definedName>
    <definedName name="объем___5___1_1">#REF!</definedName>
    <definedName name="объем___5___3">NA()</definedName>
    <definedName name="объем___5___5">NA()</definedName>
    <definedName name="объем___5_1" localSheetId="18">#REF!</definedName>
    <definedName name="объем___5_1">#REF!</definedName>
    <definedName name="объем___5_1_1" localSheetId="18">#REF!</definedName>
    <definedName name="объем___5_1_1">#REF!</definedName>
    <definedName name="объем___5_1_1_1" localSheetId="18">#REF!</definedName>
    <definedName name="объем___5_1_1_1">#REF!</definedName>
    <definedName name="объем___5_3">NA()</definedName>
    <definedName name="объем___5_5">NA()</definedName>
    <definedName name="объем___6" localSheetId="18">#REF!</definedName>
    <definedName name="объем___6">NA()</definedName>
    <definedName name="объем___6___0" localSheetId="18">#REF!</definedName>
    <definedName name="объем___6___0">#REF!</definedName>
    <definedName name="объем___6___0___0" localSheetId="18">#REF!</definedName>
    <definedName name="объем___6___0___0">#REF!</definedName>
    <definedName name="объем___6___0___0___0" localSheetId="18">#REF!</definedName>
    <definedName name="объем___6___0___0___0">#REF!</definedName>
    <definedName name="объем___6___0___0___0___0" localSheetId="18">#REF!</definedName>
    <definedName name="объем___6___0___0___0___0">#REF!</definedName>
    <definedName name="объем___6___0___0___0___0_1" localSheetId="18">#REF!</definedName>
    <definedName name="объем___6___0___0___0___0_1">#REF!</definedName>
    <definedName name="объем___6___0___0___0_1" localSheetId="18">#REF!</definedName>
    <definedName name="объем___6___0___0___0_1">#REF!</definedName>
    <definedName name="объем___6___0___0_1" localSheetId="18">#REF!</definedName>
    <definedName name="объем___6___0___0_1">#REF!</definedName>
    <definedName name="объем___6___0___1" localSheetId="18">#REF!</definedName>
    <definedName name="объем___6___0___1">#REF!</definedName>
    <definedName name="объем___6___0___1_1" localSheetId="18">#REF!</definedName>
    <definedName name="объем___6___0___1_1">#REF!</definedName>
    <definedName name="объем___6___0___5" localSheetId="18">#REF!</definedName>
    <definedName name="объем___6___0___5">#REF!</definedName>
    <definedName name="объем___6___0___5_1" localSheetId="18">#REF!</definedName>
    <definedName name="объем___6___0___5_1">#REF!</definedName>
    <definedName name="объем___6___0_1" localSheetId="18">#REF!</definedName>
    <definedName name="объем___6___0_1">#REF!</definedName>
    <definedName name="объем___6___0_1_1" localSheetId="18">#REF!</definedName>
    <definedName name="объем___6___0_1_1">#REF!</definedName>
    <definedName name="объем___6___0_1_1_1" localSheetId="18">#REF!</definedName>
    <definedName name="объем___6___0_1_1_1">#REF!</definedName>
    <definedName name="объем___6___0_3" localSheetId="18">#REF!</definedName>
    <definedName name="объем___6___0_3">#REF!</definedName>
    <definedName name="объем___6___0_3_1" localSheetId="18">#REF!</definedName>
    <definedName name="объем___6___0_3_1">#REF!</definedName>
    <definedName name="объем___6___0_5" localSheetId="18">#REF!</definedName>
    <definedName name="объем___6___0_5">#REF!</definedName>
    <definedName name="объем___6___0_5_1" localSheetId="18">#REF!</definedName>
    <definedName name="объем___6___0_5_1">#REF!</definedName>
    <definedName name="объем___6___1" localSheetId="18">#REF!</definedName>
    <definedName name="объем___6___1">#REF!</definedName>
    <definedName name="объем___6___10" localSheetId="18">#REF!</definedName>
    <definedName name="объем___6___10">#REF!</definedName>
    <definedName name="объем___6___10_1" localSheetId="18">#REF!</definedName>
    <definedName name="объем___6___10_1">#REF!</definedName>
    <definedName name="объем___6___12" localSheetId="18">#REF!</definedName>
    <definedName name="объем___6___12">#REF!</definedName>
    <definedName name="объем___6___2" localSheetId="18">#REF!</definedName>
    <definedName name="объем___6___2">#REF!</definedName>
    <definedName name="объем___6___2_1" localSheetId="18">#REF!</definedName>
    <definedName name="объем___6___2_1">#REF!</definedName>
    <definedName name="объем___6___4" localSheetId="18">#REF!</definedName>
    <definedName name="объем___6___4">#REF!</definedName>
    <definedName name="объем___6___4_1" localSheetId="18">#REF!</definedName>
    <definedName name="объем___6___4_1">#REF!</definedName>
    <definedName name="объем___6___5">NA()</definedName>
    <definedName name="объем___6___6" localSheetId="18">#REF!</definedName>
    <definedName name="объем___6___6">#REF!</definedName>
    <definedName name="объем___6___6_1" localSheetId="18">#REF!</definedName>
    <definedName name="объем___6___6_1">#REF!</definedName>
    <definedName name="объем___6___8" localSheetId="18">#REF!</definedName>
    <definedName name="объем___6___8">#REF!</definedName>
    <definedName name="объем___6___8_1" localSheetId="18">#REF!</definedName>
    <definedName name="объем___6___8_1">#REF!</definedName>
    <definedName name="объем___6_1" localSheetId="18">#REF!</definedName>
    <definedName name="объем___6_1">#REF!</definedName>
    <definedName name="объем___6_1_1" localSheetId="18">#REF!</definedName>
    <definedName name="объем___6_1_1">#REF!</definedName>
    <definedName name="объем___6_1_1_1" localSheetId="18">#REF!</definedName>
    <definedName name="объем___6_1_1_1">#REF!</definedName>
    <definedName name="объем___6_3" localSheetId="18">#REF!</definedName>
    <definedName name="объем___6_3">#REF!</definedName>
    <definedName name="объем___6_3_1" localSheetId="18">#REF!</definedName>
    <definedName name="объем___6_3_1">#REF!</definedName>
    <definedName name="объем___6_5">NA()</definedName>
    <definedName name="объем___7" localSheetId="18">#REF!</definedName>
    <definedName name="объем___7">#REF!</definedName>
    <definedName name="объем___7___0" localSheetId="18">#REF!</definedName>
    <definedName name="объем___7___0">#REF!</definedName>
    <definedName name="объем___7___10" localSheetId="18">#REF!</definedName>
    <definedName name="объем___7___10">#REF!</definedName>
    <definedName name="объем___7___2" localSheetId="18">#REF!</definedName>
    <definedName name="объем___7___2">#REF!</definedName>
    <definedName name="объем___7___4" localSheetId="18">#REF!</definedName>
    <definedName name="объем___7___4">#REF!</definedName>
    <definedName name="объем___7___6" localSheetId="18">#REF!</definedName>
    <definedName name="объем___7___6">#REF!</definedName>
    <definedName name="объем___7___8" localSheetId="18">#REF!</definedName>
    <definedName name="объем___7___8">#REF!</definedName>
    <definedName name="объем___7_1" localSheetId="18">#REF!</definedName>
    <definedName name="объем___7_1">#REF!</definedName>
    <definedName name="объем___8" localSheetId="18">#REF!</definedName>
    <definedName name="объем___8">#REF!</definedName>
    <definedName name="объем___8___0" localSheetId="18">#REF!</definedName>
    <definedName name="объем___8___0">#REF!</definedName>
    <definedName name="объем___8___0___0" localSheetId="18">#REF!</definedName>
    <definedName name="объем___8___0___0">#REF!</definedName>
    <definedName name="объем___8___0___0___0" localSheetId="18">#REF!</definedName>
    <definedName name="объем___8___0___0___0">#REF!</definedName>
    <definedName name="объем___8___0___0___0___0" localSheetId="18">#REF!</definedName>
    <definedName name="объем___8___0___0___0___0">#REF!</definedName>
    <definedName name="объем___8___0___0___0___0_1" localSheetId="18">#REF!</definedName>
    <definedName name="объем___8___0___0___0___0_1">#REF!</definedName>
    <definedName name="объем___8___0___0___0_1" localSheetId="18">#REF!</definedName>
    <definedName name="объем___8___0___0___0_1">#REF!</definedName>
    <definedName name="объем___8___0___0_1" localSheetId="18">#REF!</definedName>
    <definedName name="объем___8___0___0_1">#REF!</definedName>
    <definedName name="объем___8___0___1" localSheetId="18">#REF!</definedName>
    <definedName name="объем___8___0___1">#REF!</definedName>
    <definedName name="объем___8___0___1_1" localSheetId="18">#REF!</definedName>
    <definedName name="объем___8___0___1_1">#REF!</definedName>
    <definedName name="объем___8___0___5" localSheetId="18">#REF!</definedName>
    <definedName name="объем___8___0___5">#REF!</definedName>
    <definedName name="объем___8___0___5_1" localSheetId="18">#REF!</definedName>
    <definedName name="объем___8___0___5_1">#REF!</definedName>
    <definedName name="объем___8___0_1" localSheetId="18">#REF!</definedName>
    <definedName name="объем___8___0_1">#REF!</definedName>
    <definedName name="объем___8___0_1_1" localSheetId="18">#REF!</definedName>
    <definedName name="объем___8___0_1_1">#REF!</definedName>
    <definedName name="объем___8___0_1_1_1" localSheetId="18">#REF!</definedName>
    <definedName name="объем___8___0_1_1_1">#REF!</definedName>
    <definedName name="объем___8___0_3" localSheetId="18">#REF!</definedName>
    <definedName name="объем___8___0_3">#REF!</definedName>
    <definedName name="объем___8___0_3_1" localSheetId="18">#REF!</definedName>
    <definedName name="объем___8___0_3_1">#REF!</definedName>
    <definedName name="объем___8___0_5" localSheetId="18">#REF!</definedName>
    <definedName name="объем___8___0_5">#REF!</definedName>
    <definedName name="объем___8___0_5_1" localSheetId="18">#REF!</definedName>
    <definedName name="объем___8___0_5_1">#REF!</definedName>
    <definedName name="объем___8___1" localSheetId="18">#REF!</definedName>
    <definedName name="объем___8___1">#REF!</definedName>
    <definedName name="объем___8___10" localSheetId="18">#REF!</definedName>
    <definedName name="объем___8___10">#REF!</definedName>
    <definedName name="объем___8___10_1" localSheetId="18">#REF!</definedName>
    <definedName name="объем___8___10_1">#REF!</definedName>
    <definedName name="объем___8___12" localSheetId="18">#REF!</definedName>
    <definedName name="объем___8___12">#REF!</definedName>
    <definedName name="объем___8___2" localSheetId="18">#REF!</definedName>
    <definedName name="объем___8___2">#REF!</definedName>
    <definedName name="объем___8___2_1" localSheetId="18">#REF!</definedName>
    <definedName name="объем___8___2_1">#REF!</definedName>
    <definedName name="объем___8___4" localSheetId="18">#REF!</definedName>
    <definedName name="объем___8___4">#REF!</definedName>
    <definedName name="объем___8___4_1" localSheetId="18">#REF!</definedName>
    <definedName name="объем___8___4_1">#REF!</definedName>
    <definedName name="объем___8___5" localSheetId="18">#REF!</definedName>
    <definedName name="объем___8___5">#REF!</definedName>
    <definedName name="объем___8___5_1" localSheetId="18">#REF!</definedName>
    <definedName name="объем___8___5_1">#REF!</definedName>
    <definedName name="объем___8___6" localSheetId="18">#REF!</definedName>
    <definedName name="объем___8___6">#REF!</definedName>
    <definedName name="объем___8___6_1" localSheetId="18">#REF!</definedName>
    <definedName name="объем___8___6_1">#REF!</definedName>
    <definedName name="объем___8___8" localSheetId="18">#REF!</definedName>
    <definedName name="объем___8___8">#REF!</definedName>
    <definedName name="объем___8___8_1" localSheetId="18">#REF!</definedName>
    <definedName name="объем___8___8_1">#REF!</definedName>
    <definedName name="объем___8_1" localSheetId="18">#REF!</definedName>
    <definedName name="объем___8_1">#REF!</definedName>
    <definedName name="объем___8_1_1" localSheetId="18">#REF!</definedName>
    <definedName name="объем___8_1_1">#REF!</definedName>
    <definedName name="объем___8_1_1_1" localSheetId="18">#REF!</definedName>
    <definedName name="объем___8_1_1_1">#REF!</definedName>
    <definedName name="объем___8_3" localSheetId="18">#REF!</definedName>
    <definedName name="объем___8_3">#REF!</definedName>
    <definedName name="объем___8_3_1" localSheetId="18">#REF!</definedName>
    <definedName name="объем___8_3_1">#REF!</definedName>
    <definedName name="объем___8_5" localSheetId="18">#REF!</definedName>
    <definedName name="объем___8_5">#REF!</definedName>
    <definedName name="объем___8_5_1" localSheetId="18">#REF!</definedName>
    <definedName name="объем___8_5_1">#REF!</definedName>
    <definedName name="объем___9" localSheetId="18">#REF!</definedName>
    <definedName name="объем___9">#REF!</definedName>
    <definedName name="объем___9___0" localSheetId="18">#REF!</definedName>
    <definedName name="объем___9___0">#REF!</definedName>
    <definedName name="объем___9___0___0" localSheetId="18">#REF!</definedName>
    <definedName name="объем___9___0___0">#REF!</definedName>
    <definedName name="объем___9___0___0___0" localSheetId="18">#REF!</definedName>
    <definedName name="объем___9___0___0___0">#REF!</definedName>
    <definedName name="объем___9___0___0___0___0" localSheetId="18">#REF!</definedName>
    <definedName name="объем___9___0___0___0___0">#REF!</definedName>
    <definedName name="объем___9___0___0___0___0_1" localSheetId="18">#REF!</definedName>
    <definedName name="объем___9___0___0___0___0_1">#REF!</definedName>
    <definedName name="объем___9___0___0___0_1" localSheetId="18">#REF!</definedName>
    <definedName name="объем___9___0___0___0_1">#REF!</definedName>
    <definedName name="объем___9___0___0_1" localSheetId="18">#REF!</definedName>
    <definedName name="объем___9___0___0_1">#REF!</definedName>
    <definedName name="объем___9___0___5" localSheetId="18">#REF!</definedName>
    <definedName name="объем___9___0___5">#REF!</definedName>
    <definedName name="объем___9___0___5_1" localSheetId="18">#REF!</definedName>
    <definedName name="объем___9___0___5_1">#REF!</definedName>
    <definedName name="объем___9___0_1" localSheetId="18">#REF!</definedName>
    <definedName name="объем___9___0_1">#REF!</definedName>
    <definedName name="объем___9___0_5" localSheetId="18">#REF!</definedName>
    <definedName name="объем___9___0_5">#REF!</definedName>
    <definedName name="объем___9___0_5_1" localSheetId="18">#REF!</definedName>
    <definedName name="объем___9___0_5_1">#REF!</definedName>
    <definedName name="объем___9___10" localSheetId="18">#REF!</definedName>
    <definedName name="объем___9___10">#REF!</definedName>
    <definedName name="объем___9___2" localSheetId="18">#REF!</definedName>
    <definedName name="объем___9___2">#REF!</definedName>
    <definedName name="объем___9___4" localSheetId="18">#REF!</definedName>
    <definedName name="объем___9___4">#REF!</definedName>
    <definedName name="объем___9___5" localSheetId="18">#REF!</definedName>
    <definedName name="объем___9___5">#REF!</definedName>
    <definedName name="объем___9___5_1" localSheetId="18">#REF!</definedName>
    <definedName name="объем___9___5_1">#REF!</definedName>
    <definedName name="объем___9___6" localSheetId="18">#REF!</definedName>
    <definedName name="объем___9___6">#REF!</definedName>
    <definedName name="объем___9___8" localSheetId="18">#REF!</definedName>
    <definedName name="объем___9___8">#REF!</definedName>
    <definedName name="объем___9_1" localSheetId="18">#REF!</definedName>
    <definedName name="объем___9_1">#REF!</definedName>
    <definedName name="объем___9_1_1" localSheetId="18">#REF!</definedName>
    <definedName name="объем___9_1_1">#REF!</definedName>
    <definedName name="объем___9_1_1_1" localSheetId="18">#REF!</definedName>
    <definedName name="объем___9_1_1_1">#REF!</definedName>
    <definedName name="объем___9_3" localSheetId="18">#REF!</definedName>
    <definedName name="объем___9_3">#REF!</definedName>
    <definedName name="объем___9_3_1" localSheetId="18">#REF!</definedName>
    <definedName name="объем___9_3_1">#REF!</definedName>
    <definedName name="объем___9_5" localSheetId="18">#REF!</definedName>
    <definedName name="объем___9_5">#REF!</definedName>
    <definedName name="объем___9_5_1" localSheetId="18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8">#REF!</definedName>
    <definedName name="объем1">#REF!</definedName>
    <definedName name="ог" localSheetId="18" hidden="1">{#N/A,#N/A,TRUE,"Смета на пасс. обор. №1"}</definedName>
    <definedName name="ог" hidden="1">{#N/A,#N/A,TRUE,"Смета на пасс. обор. №1"}</definedName>
    <definedName name="ог_1" localSheetId="18" hidden="1">{#N/A,#N/A,TRUE,"Смета на пасс. обор. №1"}</definedName>
    <definedName name="ог_1" hidden="1">{#N/A,#N/A,TRUE,"Смета на пасс. обор. №1"}</definedName>
    <definedName name="ок" localSheetId="18">#REF!</definedName>
    <definedName name="ок">#REF!</definedName>
    <definedName name="ок_1" localSheetId="18">#REF!</definedName>
    <definedName name="ок_1">#REF!</definedName>
    <definedName name="Окончательно" localSheetId="18">#REF!</definedName>
    <definedName name="Окончательно">#REF!</definedName>
    <definedName name="олд" localSheetId="18" hidden="1">{#N/A,#N/A,TRUE,"Смета на пасс. обор. №1"}</definedName>
    <definedName name="олд" hidden="1">{#N/A,#N/A,TRUE,"Смета на пасс. обор. №1"}</definedName>
    <definedName name="олд_1" localSheetId="18" hidden="1">{#N/A,#N/A,TRUE,"Смета на пасс. обор. №1"}</definedName>
    <definedName name="олд_1" hidden="1">{#N/A,#N/A,TRUE,"Смета на пасс. обор. №1"}</definedName>
    <definedName name="олпрол" localSheetId="18">#REF!</definedName>
    <definedName name="олпрол">#REF!</definedName>
    <definedName name="олролрт" localSheetId="18">#REF!</definedName>
    <definedName name="олролрт">#REF!</definedName>
    <definedName name="ОЛЯ" localSheetId="18">#REF!</definedName>
    <definedName name="ОЛЯ">#REF!</definedName>
    <definedName name="ооо" localSheetId="18">#REF!</definedName>
    <definedName name="ооо">#REF!</definedName>
    <definedName name="ООО_НИИПРИИ___Севзапинжтехнология" localSheetId="17">#REF!</definedName>
    <definedName name="ООО_НИИПРИИ___Севзапинжтехнология" localSheetId="20">#REF!</definedName>
    <definedName name="ООО_НИИПРИИ___Севзапинжтехнология" localSheetId="18">#REF!</definedName>
    <definedName name="ООО_НИИПРИИ___Севзапинжтехнология" localSheetId="19">#REF!</definedName>
    <definedName name="ООО_НИИПРИИ___Севзапинжтехнология" localSheetId="15">#REF!</definedName>
    <definedName name="ООО_НИИПРИИ___Севзапинжтехнология">#REF!</definedName>
    <definedName name="оооо" localSheetId="18">#REF!</definedName>
    <definedName name="оооо">#REF!</definedName>
    <definedName name="Опер">[38]Орг!$C$50:$C$86</definedName>
    <definedName name="орп" localSheetId="18">[39]Смета!#REF!</definedName>
    <definedName name="орп" hidden="1">{#N/A,#N/A,TRUE,"Смета на пасс. обор. №1"}</definedName>
    <definedName name="орп_1" localSheetId="18" hidden="1">{#N/A,#N/A,TRUE,"Смета на пасс. обор. №1"}</definedName>
    <definedName name="орп_1" hidden="1">{#N/A,#N/A,TRUE,"Смета на пасс. обор. №1"}</definedName>
    <definedName name="Осн_Камер" localSheetId="18">#REF!</definedName>
    <definedName name="Осн_Камер" localSheetId="19">#REF!</definedName>
    <definedName name="Осн_Камер" localSheetId="15">#REF!</definedName>
    <definedName name="Осн_Камер">#REF!</definedName>
    <definedName name="от" localSheetId="18" hidden="1">{#N/A,#N/A,TRUE,"Смета на пасс. обор. №1"}</definedName>
    <definedName name="от" hidden="1">{#N/A,#N/A,TRUE,"Смета на пасс. обор. №1"}</definedName>
    <definedName name="от_1" localSheetId="18" hidden="1">{#N/A,#N/A,TRUE,"Смета на пасс. обор. №1"}</definedName>
    <definedName name="от_1" hidden="1">{#N/A,#N/A,TRUE,"Смета на пасс. обор. №1"}</definedName>
    <definedName name="Отч_пож">[13]Коэфф!$B$6</definedName>
    <definedName name="Отчет" localSheetId="18">#REF!</definedName>
    <definedName name="Отчет" localSheetId="19">#REF!</definedName>
    <definedName name="Отчет" localSheetId="15">#REF!</definedName>
    <definedName name="Отчет">#REF!</definedName>
    <definedName name="п" localSheetId="18">#REF!</definedName>
    <definedName name="п">#REF!</definedName>
    <definedName name="п_1" localSheetId="18">#REF!</definedName>
    <definedName name="п_1">#REF!</definedName>
    <definedName name="п1111111" localSheetId="18">#REF!</definedName>
    <definedName name="п1111111" localSheetId="19">#REF!</definedName>
    <definedName name="п1111111" localSheetId="16">#REF!</definedName>
    <definedName name="п1111111">#REF!</definedName>
    <definedName name="п45" localSheetId="18">#REF!</definedName>
    <definedName name="п45">#REF!</definedName>
    <definedName name="ПА3" localSheetId="18">#REF!</definedName>
    <definedName name="ПА3" localSheetId="16">#REF!</definedName>
    <definedName name="ПА3">#REF!</definedName>
    <definedName name="ПА4" localSheetId="18">#REF!</definedName>
    <definedName name="ПА4" localSheetId="16">#REF!</definedName>
    <definedName name="ПА4">#REF!</definedName>
    <definedName name="паша" localSheetId="18">#REF!</definedName>
    <definedName name="паша">#REF!</definedName>
    <definedName name="ПБ" localSheetId="18">#REF!</definedName>
    <definedName name="ПБ">#REF!</definedName>
    <definedName name="ПД" localSheetId="18">#REF!</definedName>
    <definedName name="ПД" localSheetId="16">#REF!</definedName>
    <definedName name="ПД">#REF!</definedName>
    <definedName name="ПереченьДолжностей">[40]Должности!$A$2:$A$31</definedName>
    <definedName name="ПЗ2" localSheetId="18">#REF!</definedName>
    <definedName name="ПЗ2">#REF!</definedName>
    <definedName name="пионер" localSheetId="17">#REF!</definedName>
    <definedName name="пионер" localSheetId="20">#REF!</definedName>
    <definedName name="пионер" localSheetId="18">#REF!</definedName>
    <definedName name="пионер" localSheetId="19">#REF!</definedName>
    <definedName name="пионер">#REF!</definedName>
    <definedName name="ПИР" localSheetId="18">#REF!</definedName>
    <definedName name="ПИР">#REF!</definedName>
    <definedName name="ПИСС_стац" localSheetId="18">#REF!</definedName>
    <definedName name="ПИСС_стац" localSheetId="19">#REF!</definedName>
    <definedName name="ПИСС_стац">#REF!</definedName>
    <definedName name="ПИСС_эксп" localSheetId="18">#REF!</definedName>
    <definedName name="ПИСС_эксп">#REF!</definedName>
    <definedName name="Пкр">'[10]Лист опроса'!$B$41</definedName>
    <definedName name="план" localSheetId="18">[3]топография!#REF!</definedName>
    <definedName name="план" localSheetId="11">[3]топография!#REF!</definedName>
    <definedName name="план" localSheetId="15">[3]топография!#REF!</definedName>
    <definedName name="План">'[41]Смета 7'!$F$1</definedName>
    <definedName name="Площадь" localSheetId="18">#REF!</definedName>
    <definedName name="Площадь">#REF!</definedName>
    <definedName name="Площадь_1" localSheetId="18">#REF!</definedName>
    <definedName name="Площадь_1">#REF!</definedName>
    <definedName name="Площадь_нелинейных_объектов" localSheetId="18">#REF!</definedName>
    <definedName name="Площадь_нелинейных_объектов">#REF!</definedName>
    <definedName name="Площадь_нелинейных_объектов_1" localSheetId="18">#REF!</definedName>
    <definedName name="Площадь_нелинейных_объектов_1">#REF!</definedName>
    <definedName name="Площадь_планшетов" localSheetId="18">#REF!</definedName>
    <definedName name="Площадь_планшетов">#REF!</definedName>
    <definedName name="Площадь_планшетов_1" localSheetId="18">#REF!</definedName>
    <definedName name="Площадь_планшетов_1">#REF!</definedName>
    <definedName name="пнр" localSheetId="18">#REF!</definedName>
    <definedName name="пнр">#REF!</definedName>
    <definedName name="ПодрядДолжн">[28]ОбмОбслЗемОд!$F$67</definedName>
    <definedName name="ПодрядИмя">[28]ОбмОбслЗемОд!$H$69</definedName>
    <definedName name="Подрядчик">[28]ОбмОбслЗемОд!$A$7</definedName>
    <definedName name="Полевые" localSheetId="18">#REF!</definedName>
    <definedName name="Полевые" localSheetId="19">#REF!</definedName>
    <definedName name="Полевые" localSheetId="15">#REF!</definedName>
    <definedName name="Полевые">#REF!</definedName>
    <definedName name="Полно" localSheetId="18">#REF!</definedName>
    <definedName name="Полно">#REF!</definedName>
    <definedName name="попр" localSheetId="18">#REF!</definedName>
    <definedName name="попр">#REF!</definedName>
    <definedName name="Поправочные_коэффициенты_по_письму_Госстроя_от_25.12.90" localSheetId="18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8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8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8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8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18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18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18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18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18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18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18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18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18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18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18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18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18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18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8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18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8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18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8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18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18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18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18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18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18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18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18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18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18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8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18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18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18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8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18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8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8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8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18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18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18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18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18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18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18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18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18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18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18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18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8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8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18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18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18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18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18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18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18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18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18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18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18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18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18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18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18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18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18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18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8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18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18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18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18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18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18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18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18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18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18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18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8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18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8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18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8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1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18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18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18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18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18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18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8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8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18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18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18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18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18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8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18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18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18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18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18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18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18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18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8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8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8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18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18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18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8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8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8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8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18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18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18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18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18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18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8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8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8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8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8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8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1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8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8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8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8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18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18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18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18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18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18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18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18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18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18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18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18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18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18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18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18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18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18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18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18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18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18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18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8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18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8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18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8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8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18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8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18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8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18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18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18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18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18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18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18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18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18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18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18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18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18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8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18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8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1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18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18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18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18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18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18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18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8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8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8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18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18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18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18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18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18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18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18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18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8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18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18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18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18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18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18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18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18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18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18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8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8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18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8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18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8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18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18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8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8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1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18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18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18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18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8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8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8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8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18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18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18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18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18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18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18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18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18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18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18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18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18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18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8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18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8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18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18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18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18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8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18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8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8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18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8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8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18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18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18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18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18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18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18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18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18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18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8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18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18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18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8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18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8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1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8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18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18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18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18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8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8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8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18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18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18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18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18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18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18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18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18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18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18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18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18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18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18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18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18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18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18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18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8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8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8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8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18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18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18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18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18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18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18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18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18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18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18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18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18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18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18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8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8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18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8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8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18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8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18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8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18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8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1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18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18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18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18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18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8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8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18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8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8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8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8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8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1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8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8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18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18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18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18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18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18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18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18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18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18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18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18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18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18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18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8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8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18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8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8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18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8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18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18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18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8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18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8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1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18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18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18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18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18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18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18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8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8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8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8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18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18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18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18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18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18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18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18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18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8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8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8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18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18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8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8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1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18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18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8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8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18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18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8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18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18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8" hidden="1">{#N/A,#N/A,TRUE,"Смета на пасс. обор. №1"}</definedName>
    <definedName name="пор" hidden="1">{#N/A,#N/A,TRUE,"Смета на пасс. обор. №1"}</definedName>
    <definedName name="пор_1" localSheetId="18" hidden="1">{#N/A,#N/A,TRUE,"Смета на пасс. обор. №1"}</definedName>
    <definedName name="пор_1" hidden="1">{#N/A,#N/A,TRUE,"Смета на пасс. обор. №1"}</definedName>
    <definedName name="пояснит." localSheetId="18">#REF!</definedName>
    <definedName name="пояснит.">#REF!</definedName>
    <definedName name="ппп" localSheetId="18">#REF!</definedName>
    <definedName name="ппп">#REF!</definedName>
    <definedName name="пппп" localSheetId="17">#REF!</definedName>
    <definedName name="пппп" localSheetId="20">#REF!</definedName>
    <definedName name="пппп" localSheetId="18">#REF!</definedName>
    <definedName name="пппп" localSheetId="13">#REF!</definedName>
    <definedName name="пппп" localSheetId="19">#REF!</definedName>
    <definedName name="пппп" localSheetId="15">#REF!</definedName>
    <definedName name="пппп">#REF!</definedName>
    <definedName name="пр" localSheetId="18">[3]топография!#REF!</definedName>
    <definedName name="пр" localSheetId="19">[3]топография!#REF!</definedName>
    <definedName name="пр" localSheetId="15">[3]топография!#REF!</definedName>
    <definedName name="пр">[3]топография!#REF!</definedName>
    <definedName name="про" localSheetId="18" hidden="1">{#N/A,#N/A,TRUE,"Смета на пасс. обор. №1"}</definedName>
    <definedName name="про" hidden="1">{#N/A,#N/A,TRUE,"Смета на пасс. обор. №1"}</definedName>
    <definedName name="про_1" localSheetId="18" hidden="1">{#N/A,#N/A,TRUE,"Смета на пасс. обор. №1"}</definedName>
    <definedName name="про_1" hidden="1">{#N/A,#N/A,TRUE,"Смета на пасс. обор. №1"}</definedName>
    <definedName name="пробная" localSheetId="17">#REF!</definedName>
    <definedName name="пробная" localSheetId="20">#REF!</definedName>
    <definedName name="пробная" localSheetId="18">#REF!</definedName>
    <definedName name="пробная" localSheetId="11">#REF!</definedName>
    <definedName name="пробная" localSheetId="13">#REF!</definedName>
    <definedName name="пробная" localSheetId="19">#REF!</definedName>
    <definedName name="пробная" localSheetId="15">#REF!</definedName>
    <definedName name="пробная">#REF!</definedName>
    <definedName name="пробная_1" localSheetId="18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8">#REF!</definedName>
    <definedName name="Проектные2" localSheetId="15">#REF!</definedName>
    <definedName name="Проектные2" localSheetId="16">#REF!</definedName>
    <definedName name="Проектные2">#REF!</definedName>
    <definedName name="прол" localSheetId="18" hidden="1">{#N/A,#N/A,TRUE,"Смета на пасс. обор. №1"}</definedName>
    <definedName name="прол" hidden="1">{#N/A,#N/A,TRUE,"Смета на пасс. обор. №1"}</definedName>
    <definedName name="пролдж" localSheetId="18" hidden="1">{#N/A,#N/A,TRUE,"Смета на пасс. обор. №1"}</definedName>
    <definedName name="пролдж" hidden="1">{#N/A,#N/A,TRUE,"Смета на пасс. обор. №1"}</definedName>
    <definedName name="пролдж_1" localSheetId="18" hidden="1">{#N/A,#N/A,TRUE,"Смета на пасс. обор. №1"}</definedName>
    <definedName name="пролдж_1" hidden="1">{#N/A,#N/A,TRUE,"Смета на пасс. обор. №1"}</definedName>
    <definedName name="промбез" localSheetId="18">[3]топография!#REF!</definedName>
    <definedName name="промбез">[3]топография!#REF!</definedName>
    <definedName name="Промбезоп" localSheetId="18">#REF!</definedName>
    <definedName name="Промбезоп">#REF!</definedName>
    <definedName name="Прот">'[10]Лист опроса'!$B$6</definedName>
    <definedName name="протоколРМВК" localSheetId="18">#REF!</definedName>
    <definedName name="протоколРМВК">#REF!</definedName>
    <definedName name="пуск" localSheetId="18">#REF!</definedName>
    <definedName name="пуск">#REF!</definedName>
    <definedName name="р" localSheetId="18">#REF!</definedName>
    <definedName name="р">#REF!</definedName>
    <definedName name="Расчёт1">'[42]Смета 7'!$F$1</definedName>
    <definedName name="ргл" localSheetId="18">#REF!</definedName>
    <definedName name="ргл">#REF!</definedName>
    <definedName name="РД" localSheetId="18">#REF!</definedName>
    <definedName name="РД">#REF!</definedName>
    <definedName name="рек" localSheetId="17">#REF!</definedName>
    <definedName name="рек" localSheetId="20">#REF!</definedName>
    <definedName name="рек" localSheetId="18">#REF!</definedName>
    <definedName name="рек" localSheetId="19">#REF!</definedName>
    <definedName name="рек" localSheetId="15">#REF!</definedName>
    <definedName name="рек">#REF!</definedName>
    <definedName name="рига">'[43]СметаСводная снег'!$E$7</definedName>
    <definedName name="рл" localSheetId="18">[3]топография!#REF!</definedName>
    <definedName name="рл">[3]топография!#REF!</definedName>
    <definedName name="рол" localSheetId="18" hidden="1">{#N/A,#N/A,TRUE,"Смета на пасс. обор. №1"}</definedName>
    <definedName name="рол" hidden="1">{#N/A,#N/A,TRUE,"Смета на пасс. обор. №1"}</definedName>
    <definedName name="рол_1" localSheetId="18" hidden="1">{#N/A,#N/A,TRUE,"Смета на пасс. обор. №1"}</definedName>
    <definedName name="рол_1" hidden="1">{#N/A,#N/A,TRUE,"Смета на пасс. обор. №1"}</definedName>
    <definedName name="роло" localSheetId="18">#REF!</definedName>
    <definedName name="роло">#REF!</definedName>
    <definedName name="ропгнлпеглн" localSheetId="18">#REF!</definedName>
    <definedName name="ропгнлпеглн">#REF!</definedName>
    <definedName name="рот" localSheetId="18">#REF!</definedName>
    <definedName name="рот">#REF!</definedName>
    <definedName name="рпв" localSheetId="18">#REF!</definedName>
    <definedName name="рпв">#REF!</definedName>
    <definedName name="рр" localSheetId="18" hidden="1">{#N/A,#N/A,TRUE,"Смета на пасс. обор. №1"}</definedName>
    <definedName name="рр" hidden="1">{#N/A,#N/A,TRUE,"Смета на пасс. обор. №1"}</definedName>
    <definedName name="рр_1" localSheetId="18" hidden="1">{#N/A,#N/A,TRUE,"Смета на пасс. обор. №1"}</definedName>
    <definedName name="рр_1" hidden="1">{#N/A,#N/A,TRUE,"Смета на пасс. обор. №1"}</definedName>
    <definedName name="РРК" localSheetId="18">#REF!</definedName>
    <definedName name="РРК" localSheetId="19">#REF!</definedName>
    <definedName name="РРК" localSheetId="15">#REF!</definedName>
    <definedName name="РРК">#REF!</definedName>
    <definedName name="РСЛ" localSheetId="18">#REF!</definedName>
    <definedName name="РСЛ" localSheetId="19">#REF!</definedName>
    <definedName name="РСЛ" localSheetId="15">#REF!</definedName>
    <definedName name="РСЛ">#REF!</definedName>
    <definedName name="Руководитель" localSheetId="18">#REF!</definedName>
    <definedName name="Руководитель">#REF!</definedName>
    <definedName name="Руководитель_1" localSheetId="18">#REF!</definedName>
    <definedName name="Руководитель_1">#REF!</definedName>
    <definedName name="С" localSheetId="17" hidden="1">{#N/A,#N/A,FALSE,"Шаблон_Спец1"}</definedName>
    <definedName name="С" localSheetId="20" hidden="1">{#N/A,#N/A,FALSE,"Шаблон_Спец1"}</definedName>
    <definedName name="С" localSheetId="18" hidden="1">{#N/A,#N/A,FALSE,"Шаблон_Спец1"}</definedName>
    <definedName name="С" localSheetId="14" hidden="1">{#N/A,#N/A,FALSE,"Шаблон_Спец1"}</definedName>
    <definedName name="С" localSheetId="19" hidden="1">{#N/A,#N/A,FALSE,"Шаблон_Спец1"}</definedName>
    <definedName name="С" localSheetId="15" hidden="1">{#N/A,#N/A,FALSE,"Шаблон_Спец1"}</definedName>
    <definedName name="С" hidden="1">{#N/A,#N/A,FALSE,"Шаблон_Спец1"}</definedName>
    <definedName name="с_1" localSheetId="18" hidden="1">{#N/A,#N/A,TRUE,"Смета на пасс. обор. №1"}</definedName>
    <definedName name="с_1" hidden="1">{#N/A,#N/A,TRUE,"Смета на пасс. обор. №1"}</definedName>
    <definedName name="с1" localSheetId="17">#REF!</definedName>
    <definedName name="с1" localSheetId="20">#REF!</definedName>
    <definedName name="с1" localSheetId="18">#REF!</definedName>
    <definedName name="с1">#REF!</definedName>
    <definedName name="с10" localSheetId="17">#REF!</definedName>
    <definedName name="с10" localSheetId="20">#REF!</definedName>
    <definedName name="с10" localSheetId="18">#REF!</definedName>
    <definedName name="с10">#REF!</definedName>
    <definedName name="с2" localSheetId="17">#REF!</definedName>
    <definedName name="с2" localSheetId="20">#REF!</definedName>
    <definedName name="с2" localSheetId="18">#REF!</definedName>
    <definedName name="с2">#REF!</definedName>
    <definedName name="с3" localSheetId="17">#REF!</definedName>
    <definedName name="с3" localSheetId="20">#REF!</definedName>
    <definedName name="с3" localSheetId="18">#REF!</definedName>
    <definedName name="с3">#REF!</definedName>
    <definedName name="с4" localSheetId="17">#REF!</definedName>
    <definedName name="с4" localSheetId="20">#REF!</definedName>
    <definedName name="с4" localSheetId="18">#REF!</definedName>
    <definedName name="с4">#REF!</definedName>
    <definedName name="с5" localSheetId="17">#REF!</definedName>
    <definedName name="с5" localSheetId="20">#REF!</definedName>
    <definedName name="с5" localSheetId="18">#REF!</definedName>
    <definedName name="с5">#REF!</definedName>
    <definedName name="с6" localSheetId="17">#REF!</definedName>
    <definedName name="с6" localSheetId="20">#REF!</definedName>
    <definedName name="с6" localSheetId="18">#REF!</definedName>
    <definedName name="с6">#REF!</definedName>
    <definedName name="с7" localSheetId="17">#REF!</definedName>
    <definedName name="с7" localSheetId="20">#REF!</definedName>
    <definedName name="с7" localSheetId="18">#REF!</definedName>
    <definedName name="с7">#REF!</definedName>
    <definedName name="с8" localSheetId="17">#REF!</definedName>
    <definedName name="с8" localSheetId="20">#REF!</definedName>
    <definedName name="с8" localSheetId="18">#REF!</definedName>
    <definedName name="с8">#REF!</definedName>
    <definedName name="с9" localSheetId="17">#REF!</definedName>
    <definedName name="с9" localSheetId="20">#REF!</definedName>
    <definedName name="с9" localSheetId="18">#REF!</definedName>
    <definedName name="с9">#REF!</definedName>
    <definedName name="сам" localSheetId="18" hidden="1">{#N/A,#N/A,TRUE,"Смета на пасс. обор. №1"}</definedName>
    <definedName name="сам" hidden="1">{#N/A,#N/A,TRUE,"Смета на пасс. обор. №1"}</definedName>
    <definedName name="сам_1" localSheetId="18" hidden="1">{#N/A,#N/A,TRUE,"Смета на пасс. обор. №1"}</definedName>
    <definedName name="сам_1" hidden="1">{#N/A,#N/A,TRUE,"Смета на пасс. обор. №1"}</definedName>
    <definedName name="СВ1" localSheetId="18">#REF!</definedName>
    <definedName name="СВ1" localSheetId="19">#REF!</definedName>
    <definedName name="СВ1" localSheetId="16">#REF!</definedName>
    <definedName name="СВ1">#REF!</definedName>
    <definedName name="Свод1" localSheetId="18">#REF!</definedName>
    <definedName name="свод1" localSheetId="11">[3]топография!#REF!</definedName>
    <definedName name="Свод1" localSheetId="19">#REF!</definedName>
    <definedName name="свод1" localSheetId="15">[3]топография!#REF!</definedName>
    <definedName name="Свод1" localSheetId="16">#REF!</definedName>
    <definedName name="Свод1">#REF!</definedName>
    <definedName name="Сводная" localSheetId="18">#REF!</definedName>
    <definedName name="Сводная" localSheetId="19">#REF!</definedName>
    <definedName name="Сводная" localSheetId="15">#REF!</definedName>
    <definedName name="Сводная" localSheetId="16">#REF!</definedName>
    <definedName name="Сводная">#REF!</definedName>
    <definedName name="Сводная_новая1" localSheetId="18">#REF!</definedName>
    <definedName name="Сводная_новая1" localSheetId="19">#REF!</definedName>
    <definedName name="Сводная_новая1" localSheetId="15">#REF!</definedName>
    <definedName name="Сводная_новая1" localSheetId="16">#REF!</definedName>
    <definedName name="Сводная_новая1">#REF!</definedName>
    <definedName name="Сводная1" localSheetId="18">#REF!</definedName>
    <definedName name="Сводная1" localSheetId="16">#REF!</definedName>
    <definedName name="Сводная1">#REF!</definedName>
    <definedName name="Сводно_сметный_расчет" localSheetId="18">#REF!</definedName>
    <definedName name="Сводно_сметный_расчет">#REF!</definedName>
    <definedName name="Сводно_сметный_расчет_49" localSheetId="18">#REF!</definedName>
    <definedName name="Сводно_сметный_расчет_49">#REF!</definedName>
    <definedName name="Сводно_сметный_расчет_50" localSheetId="18">#REF!</definedName>
    <definedName name="Сводно_сметный_расчет_50">#REF!</definedName>
    <definedName name="Сводно_сметный_расчет_51" localSheetId="18">#REF!</definedName>
    <definedName name="Сводно_сметный_расчет_51">#REF!</definedName>
    <definedName name="Сводно_сметный_расчет_52" localSheetId="18">#REF!</definedName>
    <definedName name="Сводно_сметный_расчет_52">#REF!</definedName>
    <definedName name="Сводно_сметный_расчет_53" localSheetId="18">#REF!</definedName>
    <definedName name="Сводно_сметный_расчет_53">#REF!</definedName>
    <definedName name="Сводно_сметный_расчет_54" localSheetId="18">#REF!</definedName>
    <definedName name="Сводно_сметный_расчет_54">#REF!</definedName>
    <definedName name="сврд" localSheetId="18">[3]топография!#REF!</definedName>
    <definedName name="сврд">[3]топография!#REF!</definedName>
    <definedName name="СВсм">[11]Вспомогательный!$D$36</definedName>
    <definedName name="сев" localSheetId="17">#REF!</definedName>
    <definedName name="сев" localSheetId="20">#REF!</definedName>
    <definedName name="сев" localSheetId="18">#REF!</definedName>
    <definedName name="сев" localSheetId="19">#REF!</definedName>
    <definedName name="сев" localSheetId="15">#REF!</definedName>
    <definedName name="сев">#REF!</definedName>
    <definedName name="Север" localSheetId="18">#REF!</definedName>
    <definedName name="Север" localSheetId="19">#REF!</definedName>
    <definedName name="Север" localSheetId="15">#REF!</definedName>
    <definedName name="Север" localSheetId="16">#REF!</definedName>
    <definedName name="Север">#REF!</definedName>
    <definedName name="Семь" localSheetId="18">#REF!</definedName>
    <definedName name="Семь">#REF!</definedName>
    <definedName name="СМ" localSheetId="18">#REF!</definedName>
    <definedName name="СМ">#REF!</definedName>
    <definedName name="см.расч.Ставрополь" localSheetId="18">#REF!</definedName>
    <definedName name="см.расч.Ставрополь">#REF!</definedName>
    <definedName name="см.расч.Ставрополь_1" localSheetId="18">#REF!</definedName>
    <definedName name="см.расч.Ставрополь_1">#REF!</definedName>
    <definedName name="см.расч.Ставрополь_2" localSheetId="18">#REF!</definedName>
    <definedName name="см.расч.Ставрополь_2">#REF!</definedName>
    <definedName name="см.расч.Ставрополь_22" localSheetId="18">#REF!</definedName>
    <definedName name="см.расч.Ставрополь_22">#REF!</definedName>
    <definedName name="см.расч.Ставрополь_49" localSheetId="18">#REF!</definedName>
    <definedName name="см.расч.Ставрополь_49">#REF!</definedName>
    <definedName name="см.расч.Ставрополь_5" localSheetId="18">#REF!</definedName>
    <definedName name="см.расч.Ставрополь_5">#REF!</definedName>
    <definedName name="см.расч.Ставрополь_50" localSheetId="18">#REF!</definedName>
    <definedName name="см.расч.Ставрополь_50">#REF!</definedName>
    <definedName name="см.расч.Ставрополь_51" localSheetId="18">#REF!</definedName>
    <definedName name="см.расч.Ставрополь_51">#REF!</definedName>
    <definedName name="см.расч.Ставрополь_52" localSheetId="18">#REF!</definedName>
    <definedName name="см.расч.Ставрополь_52">#REF!</definedName>
    <definedName name="см.расч.Ставрополь_53" localSheetId="18">#REF!</definedName>
    <definedName name="см.расч.Ставрополь_53">#REF!</definedName>
    <definedName name="см.расч.Ставрополь_54" localSheetId="18">#REF!</definedName>
    <definedName name="см.расч.Ставрополь_54">#REF!</definedName>
    <definedName name="см.расчетАстрахань" localSheetId="18">#REF!</definedName>
    <definedName name="см.расчетАстрахань">#REF!</definedName>
    <definedName name="см.расчетАстрахань_1" localSheetId="18">#REF!</definedName>
    <definedName name="см.расчетАстрахань_1">#REF!</definedName>
    <definedName name="см.расчетАстрахань_2" localSheetId="18">#REF!</definedName>
    <definedName name="см.расчетАстрахань_2">#REF!</definedName>
    <definedName name="см.расчетАстрахань_22" localSheetId="18">#REF!</definedName>
    <definedName name="см.расчетАстрахань_22">#REF!</definedName>
    <definedName name="см.расчетАстрахань_49" localSheetId="18">#REF!</definedName>
    <definedName name="см.расчетАстрахань_49">#REF!</definedName>
    <definedName name="см.расчетАстрахань_5" localSheetId="18">#REF!</definedName>
    <definedName name="см.расчетАстрахань_5">#REF!</definedName>
    <definedName name="см.расчетАстрахань_50" localSheetId="18">#REF!</definedName>
    <definedName name="см.расчетАстрахань_50">#REF!</definedName>
    <definedName name="см.расчетАстрахань_51" localSheetId="18">#REF!</definedName>
    <definedName name="см.расчетАстрахань_51">#REF!</definedName>
    <definedName name="см.расчетАстрахань_52" localSheetId="18">#REF!</definedName>
    <definedName name="см.расчетАстрахань_52">#REF!</definedName>
    <definedName name="см.расчетАстрахань_53" localSheetId="18">#REF!</definedName>
    <definedName name="см.расчетАстрахань_53">#REF!</definedName>
    <definedName name="см.расчетАстрахань_54" localSheetId="18">#REF!</definedName>
    <definedName name="см.расчетАстрахань_54">#REF!</definedName>
    <definedName name="см.расчетМахачкала" localSheetId="18">#REF!</definedName>
    <definedName name="см.расчетМахачкала">#REF!</definedName>
    <definedName name="см.расчетМахачкала_1" localSheetId="18">#REF!</definedName>
    <definedName name="см.расчетМахачкала_1">#REF!</definedName>
    <definedName name="см.расчетМахачкала_2" localSheetId="18">#REF!</definedName>
    <definedName name="см.расчетМахачкала_2">#REF!</definedName>
    <definedName name="см.расчетМахачкала_22" localSheetId="18">#REF!</definedName>
    <definedName name="см.расчетМахачкала_22">#REF!</definedName>
    <definedName name="см.расчетМахачкала_49" localSheetId="18">#REF!</definedName>
    <definedName name="см.расчетМахачкала_49">#REF!</definedName>
    <definedName name="см.расчетМахачкала_5" localSheetId="18">#REF!</definedName>
    <definedName name="см.расчетМахачкала_5">#REF!</definedName>
    <definedName name="см.расчетМахачкала_50" localSheetId="18">#REF!</definedName>
    <definedName name="см.расчетМахачкала_50">#REF!</definedName>
    <definedName name="см.расчетМахачкала_51" localSheetId="18">#REF!</definedName>
    <definedName name="см.расчетМахачкала_51">#REF!</definedName>
    <definedName name="см.расчетМахачкала_52" localSheetId="18">#REF!</definedName>
    <definedName name="см.расчетМахачкала_52">#REF!</definedName>
    <definedName name="см.расчетМахачкала_53" localSheetId="18">#REF!</definedName>
    <definedName name="см.расчетМахачкала_53">#REF!</definedName>
    <definedName name="см.расчетМахачкала_54" localSheetId="18">#REF!</definedName>
    <definedName name="см.расчетМахачкала_54">#REF!</definedName>
    <definedName name="см.расчетН.Новгород" localSheetId="18">#REF!</definedName>
    <definedName name="см.расчетН.Новгород">#REF!</definedName>
    <definedName name="см.расчетН.Новгород_1" localSheetId="18">#REF!</definedName>
    <definedName name="см.расчетН.Новгород_1">#REF!</definedName>
    <definedName name="см.расчетН.Новгород_2" localSheetId="18">#REF!</definedName>
    <definedName name="см.расчетН.Новгород_2">#REF!</definedName>
    <definedName name="см.расчетН.Новгород_22" localSheetId="18">#REF!</definedName>
    <definedName name="см.расчетН.Новгород_22">#REF!</definedName>
    <definedName name="см.расчетН.Новгород_49" localSheetId="18">#REF!</definedName>
    <definedName name="см.расчетН.Новгород_49">#REF!</definedName>
    <definedName name="см.расчетН.Новгород_5" localSheetId="18">#REF!</definedName>
    <definedName name="см.расчетН.Новгород_5">#REF!</definedName>
    <definedName name="см.расчетН.Новгород_50" localSheetId="18">#REF!</definedName>
    <definedName name="см.расчетН.Новгород_50">#REF!</definedName>
    <definedName name="см.расчетН.Новгород_51" localSheetId="18">#REF!</definedName>
    <definedName name="см.расчетН.Новгород_51">#REF!</definedName>
    <definedName name="см.расчетН.Новгород_52" localSheetId="18">#REF!</definedName>
    <definedName name="см.расчетН.Новгород_52">#REF!</definedName>
    <definedName name="см.расчетН.Новгород_53" localSheetId="18">#REF!</definedName>
    <definedName name="см.расчетН.Новгород_53">#REF!</definedName>
    <definedName name="см.расчетН.Новгород_54" localSheetId="18">#REF!</definedName>
    <definedName name="см.расчетН.Новгород_54">#REF!</definedName>
    <definedName name="см_1" localSheetId="18">#REF!</definedName>
    <definedName name="см_1">#REF!</definedName>
    <definedName name="см_конк" localSheetId="17">#REF!</definedName>
    <definedName name="см_конк" localSheetId="20">#REF!</definedName>
    <definedName name="см_конк" localSheetId="18">#REF!</definedName>
    <definedName name="см_конк" localSheetId="15">#REF!</definedName>
    <definedName name="см_конк">#REF!</definedName>
    <definedName name="См6">'[44]Смета 7'!$F$1</definedName>
    <definedName name="Смет" localSheetId="18" hidden="1">{#N/A,#N/A,TRUE,"Смета на пасс. обор. №1"}</definedName>
    <definedName name="Смет" hidden="1">{#N/A,#N/A,TRUE,"Смета на пасс. обор. №1"}</definedName>
    <definedName name="Смет_1" localSheetId="18" hidden="1">{#N/A,#N/A,TRUE,"Смета на пасс. обор. №1"}</definedName>
    <definedName name="Смет_1" hidden="1">{#N/A,#N/A,TRUE,"Смета на пасс. обор. №1"}</definedName>
    <definedName name="смета" localSheetId="18">#REF!</definedName>
    <definedName name="смета" hidden="1">{#N/A,#N/A,TRUE,"Смета на пасс. обор. №1"}</definedName>
    <definedName name="смета_1" localSheetId="18" hidden="1">{#N/A,#N/A,TRUE,"Смета на пасс. обор. №1"}</definedName>
    <definedName name="смета_1" hidden="1">{#N/A,#N/A,TRUE,"Смета на пасс. обор. №1"}</definedName>
    <definedName name="Смета_2">'[42]Смета 7'!$F$1</definedName>
    <definedName name="смета1" localSheetId="18">#REF!</definedName>
    <definedName name="смета1">#REF!</definedName>
    <definedName name="Смета11">'[45]Смета 7'!$F$1</definedName>
    <definedName name="Смета21">'[46]Смета 7'!$F$1</definedName>
    <definedName name="Смета3">[11]Вспомогательный!$D$78</definedName>
    <definedName name="сми" localSheetId="18">#REF!</definedName>
    <definedName name="сми">#REF!</definedName>
    <definedName name="Согласование" localSheetId="18">#REF!</definedName>
    <definedName name="Согласование">#REF!</definedName>
    <definedName name="Согласование_1" localSheetId="18">#REF!</definedName>
    <definedName name="Согласование_1">#REF!</definedName>
    <definedName name="содерж." localSheetId="18">#REF!</definedName>
    <definedName name="содерж.">#REF!</definedName>
    <definedName name="Содерж_Осн_Базы" localSheetId="18">#REF!</definedName>
    <definedName name="Содерж_Осн_Базы" localSheetId="19">#REF!</definedName>
    <definedName name="Содерж_Осн_Базы" localSheetId="15">#REF!</definedName>
    <definedName name="Содерж_Осн_Базы">#REF!</definedName>
    <definedName name="Составитель" localSheetId="18">#REF!</definedName>
    <definedName name="Составитель">#REF!</definedName>
    <definedName name="Составитель_1" localSheetId="18">#REF!</definedName>
    <definedName name="Составитель_1">#REF!</definedName>
    <definedName name="сп1" localSheetId="17">#REF!</definedName>
    <definedName name="сп1" localSheetId="20">#REF!</definedName>
    <definedName name="сп1" localSheetId="18">#REF!</definedName>
    <definedName name="сп1" localSheetId="15">#REF!</definedName>
    <definedName name="сп1">#REF!</definedName>
    <definedName name="сп2" localSheetId="17">#REF!</definedName>
    <definedName name="сп2" localSheetId="20">#REF!</definedName>
    <definedName name="сп2" localSheetId="18">#REF!</definedName>
    <definedName name="сп2" localSheetId="15">#REF!</definedName>
    <definedName name="сп2">#REF!</definedName>
    <definedName name="сс" localSheetId="18" hidden="1">{#N/A,#N/A,TRUE,"Смета на пасс. обор. №1"}</definedName>
    <definedName name="сс" hidden="1">{#N/A,#N/A,TRUE,"Смета на пасс. обор. №1"}</definedName>
    <definedName name="сс_1" localSheetId="18" hidden="1">{#N/A,#N/A,TRUE,"Смета на пасс. обор. №1"}</definedName>
    <definedName name="сс_1" hidden="1">{#N/A,#N/A,TRUE,"Смета на пасс. обор. №1"}</definedName>
    <definedName name="ссп" localSheetId="18" hidden="1">{#N/A,#N/A,TRUE,"Смета на пасс. обор. №1"}</definedName>
    <definedName name="ссп" hidden="1">{#N/A,#N/A,TRUE,"Смета на пасс. обор. №1"}</definedName>
    <definedName name="ссп_1" localSheetId="18" hidden="1">{#N/A,#N/A,TRUE,"Смета на пасс. обор. №1"}</definedName>
    <definedName name="ссп_1" hidden="1">{#N/A,#N/A,TRUE,"Смета на пасс. обор. №1"}</definedName>
    <definedName name="сср" localSheetId="18">#REF!</definedName>
    <definedName name="ССР">#REF!</definedName>
    <definedName name="ССР_ИИ_Д1_корр" localSheetId="18">#REF!</definedName>
    <definedName name="ССР_ИИ_Д1_корр" localSheetId="19">#REF!</definedName>
    <definedName name="ССР_ИИ_Д1_корр">#REF!</definedName>
    <definedName name="ссс" localSheetId="18">#REF!</definedName>
    <definedName name="ссс">#REF!</definedName>
    <definedName name="ссср" localSheetId="18">#REF!</definedName>
    <definedName name="ссср">#REF!</definedName>
    <definedName name="ссссс" localSheetId="18" hidden="1">{#N/A,#N/A,TRUE,"Смета на пасс. обор. №1"}</definedName>
    <definedName name="ссссс" hidden="1">{#N/A,#N/A,TRUE,"Смета на пасс. обор. №1"}</definedName>
    <definedName name="ссссс_1" localSheetId="18" hidden="1">{#N/A,#N/A,TRUE,"Смета на пасс. обор. №1"}</definedName>
    <definedName name="ссссс_1" hidden="1">{#N/A,#N/A,TRUE,"Смета на пасс. обор. №1"}</definedName>
    <definedName name="Ставрополь" localSheetId="18">#REF!</definedName>
    <definedName name="Ставрополь">#REF!</definedName>
    <definedName name="Ставрополь_1" localSheetId="18">#REF!</definedName>
    <definedName name="Ставрополь_1">#REF!</definedName>
    <definedName name="Ставрополь_2" localSheetId="18">#REF!</definedName>
    <definedName name="Ставрополь_2">#REF!</definedName>
    <definedName name="Ставрополь_22" localSheetId="18">#REF!</definedName>
    <definedName name="Ставрополь_22">#REF!</definedName>
    <definedName name="Ставрополь_49" localSheetId="18">#REF!</definedName>
    <definedName name="Ставрополь_49">#REF!</definedName>
    <definedName name="Ставрополь_5" localSheetId="18">#REF!</definedName>
    <definedName name="Ставрополь_5">#REF!</definedName>
    <definedName name="Ставрополь_50" localSheetId="18">#REF!</definedName>
    <definedName name="Ставрополь_50">#REF!</definedName>
    <definedName name="Ставрополь_51" localSheetId="18">#REF!</definedName>
    <definedName name="Ставрополь_51">#REF!</definedName>
    <definedName name="Ставрополь_52" localSheetId="18">#REF!</definedName>
    <definedName name="Ставрополь_52">#REF!</definedName>
    <definedName name="Ставрополь_53" localSheetId="18">#REF!</definedName>
    <definedName name="Ставрополь_53">#REF!</definedName>
    <definedName name="Ставрополь_54" localSheetId="18">#REF!</definedName>
    <definedName name="Ставрополь_54">#REF!</definedName>
    <definedName name="Станц10">'[10]Лист опроса'!$B$23</definedName>
    <definedName name="СтОф" localSheetId="18">NA()</definedName>
    <definedName name="СтОф">NA()</definedName>
    <definedName name="СтОф_1">NA()</definedName>
    <definedName name="СтОф_2">NA()</definedName>
    <definedName name="СтПр" localSheetId="18">NA()</definedName>
    <definedName name="СтПр">NA()</definedName>
    <definedName name="СтПр_1">NA()</definedName>
    <definedName name="СтПр_2">NA()</definedName>
    <definedName name="Стр10">'[10]Лист опроса'!$B$24</definedName>
    <definedName name="СтрАУ">'[10]Лист опроса'!$B$12</definedName>
    <definedName name="СтрДУ">'[10]Лист опроса'!$B$11</definedName>
    <definedName name="Стрелки">'[10]Лист опроса'!$B$10</definedName>
    <definedName name="Строительная_полоса" localSheetId="18">#REF!</definedName>
    <definedName name="Строительная_полоса">#REF!</definedName>
    <definedName name="Строительная_полоса_1" localSheetId="18">#REF!</definedName>
    <definedName name="Строительная_полоса_1">#REF!</definedName>
    <definedName name="структ." localSheetId="18">#REF!</definedName>
    <definedName name="структ.">#REF!</definedName>
    <definedName name="Сургут">NA()</definedName>
    <definedName name="сусусу" localSheetId="18" hidden="1">{#N/A,#N/A,TRUE,"Смета на пасс. обор. №1"}</definedName>
    <definedName name="сусусу" hidden="1">{#N/A,#N/A,TRUE,"Смета на пасс. обор. №1"}</definedName>
    <definedName name="сусусу_1" localSheetId="18" hidden="1">{#N/A,#N/A,TRUE,"Смета на пасс. обор. №1"}</definedName>
    <definedName name="сусусу_1" hidden="1">{#N/A,#N/A,TRUE,"Смета на пасс. обор. №1"}</definedName>
    <definedName name="Т5" localSheetId="18">#REF!</definedName>
    <definedName name="Т5" localSheetId="19">#REF!</definedName>
    <definedName name="Т5" localSheetId="15">#REF!</definedName>
    <definedName name="Т5" localSheetId="16">#REF!</definedName>
    <definedName name="Т5">#REF!</definedName>
    <definedName name="Т6" localSheetId="18">#REF!</definedName>
    <definedName name="Т6" localSheetId="19">#REF!</definedName>
    <definedName name="Т6" localSheetId="15">#REF!</definedName>
    <definedName name="Т6" localSheetId="16">#REF!</definedName>
    <definedName name="Т6">#REF!</definedName>
    <definedName name="тасс" localSheetId="18" hidden="1">{#N/A,#N/A,TRUE,"Смета на пасс. обор. №1"}</definedName>
    <definedName name="тасс" hidden="1">{#N/A,#N/A,TRUE,"Смета на пасс. обор. №1"}</definedName>
    <definedName name="тасс_1" localSheetId="18" hidden="1">{#N/A,#N/A,TRUE,"Смета на пасс. обор. №1"}</definedName>
    <definedName name="тасс_1" hidden="1">{#N/A,#N/A,TRUE,"Смета на пасс. обор. №1"}</definedName>
    <definedName name="ТекДата" localSheetId="18">[47]информация!$B$8</definedName>
    <definedName name="ТекДата">[47]информация!$B$8</definedName>
    <definedName name="ТекДата_1">[48]информация!$B$8</definedName>
    <definedName name="ТекДата_2" localSheetId="18">[49]информация!$B$8</definedName>
    <definedName name="ТекДата_2">[49]информация!$B$8</definedName>
    <definedName name="теодкккккккккккк" localSheetId="18">#REF!</definedName>
    <definedName name="теодкккккккккккк" localSheetId="19">#REF!</definedName>
    <definedName name="теодкккккккккккк" localSheetId="15">#REF!</definedName>
    <definedName name="теодкккккккккккк" localSheetId="16">#REF!</definedName>
    <definedName name="теодкккккккккккк">#REF!</definedName>
    <definedName name="ТолкоМашЛаб" localSheetId="18">[28]СмМашБур!#REF!</definedName>
    <definedName name="ТолкоМашЛаб">[28]СмМашБур!#REF!</definedName>
    <definedName name="ТолькоМашБур" localSheetId="18">[28]СмМашБур!#REF!</definedName>
    <definedName name="ТолькоМашБур">[28]СмМашБур!#REF!</definedName>
    <definedName name="ТолькоРучБур" localSheetId="18">[28]СмРучБур!#REF!</definedName>
    <definedName name="ТолькоРучБур">[28]СмРучБур!#REF!</definedName>
    <definedName name="ТолькоРучЛаб">[28]СмРучБур!$K$39</definedName>
    <definedName name="топ1" localSheetId="18">#REF!</definedName>
    <definedName name="топ1">#REF!</definedName>
    <definedName name="топ2" localSheetId="18">#REF!</definedName>
    <definedName name="топ2">#REF!</definedName>
    <definedName name="топо" localSheetId="18">#REF!</definedName>
    <definedName name="топо">#REF!</definedName>
    <definedName name="топо_1" localSheetId="18">#REF!</definedName>
    <definedName name="топо_1">#REF!</definedName>
    <definedName name="топогр1" localSheetId="18">#REF!</definedName>
    <definedName name="топогр1">#REF!</definedName>
    <definedName name="топограф" localSheetId="18">#REF!</definedName>
    <definedName name="топограф">#REF!</definedName>
    <definedName name="тор" localSheetId="18">#REF!</definedName>
    <definedName name="тор">#REF!</definedName>
    <definedName name="трп" localSheetId="18" hidden="1">{#N/A,#N/A,TRUE,"Смета на пасс. обор. №1"}</definedName>
    <definedName name="трп" hidden="1">{#N/A,#N/A,TRUE,"Смета на пасс. обор. №1"}</definedName>
    <definedName name="трп_1" localSheetId="18" hidden="1">{#N/A,#N/A,TRUE,"Смета на пасс. обор. №1"}</definedName>
    <definedName name="трп_1" hidden="1">{#N/A,#N/A,TRUE,"Смета на пасс. обор. №1"}</definedName>
    <definedName name="ТС1" localSheetId="18">#REF!</definedName>
    <definedName name="ТС1">#REF!</definedName>
    <definedName name="тыс" localSheetId="18">{0,"тысячz";1,"тысячаz";2,"тысячиz";5,"тысячz"}</definedName>
    <definedName name="тыс">{0,"тысячz";1,"тысячаz";2,"тысячиz";5,"тысячz"}</definedName>
    <definedName name="тьбю" localSheetId="18">#REF!</definedName>
    <definedName name="тьбю">#REF!</definedName>
    <definedName name="ТЭО" localSheetId="18">#REF!</definedName>
    <definedName name="ТЭО" localSheetId="19">#REF!</definedName>
    <definedName name="ТЭО" localSheetId="16">#REF!</definedName>
    <definedName name="ТЭО">#REF!</definedName>
    <definedName name="ТЭО1" localSheetId="18">#REF!</definedName>
    <definedName name="ТЭО1" localSheetId="16">#REF!</definedName>
    <definedName name="ТЭО1">#REF!</definedName>
    <definedName name="ТЭО2" localSheetId="18">#REF!</definedName>
    <definedName name="ТЭО2" localSheetId="16">#REF!</definedName>
    <definedName name="ТЭО2">#REF!</definedName>
    <definedName name="ТЭОДКК" localSheetId="18">#REF!</definedName>
    <definedName name="ТЭОДКК" localSheetId="16">#REF!</definedName>
    <definedName name="ТЭОДКК">#REF!</definedName>
    <definedName name="ТЭОДККК" localSheetId="18">#REF!</definedName>
    <definedName name="ТЭОДККК" localSheetId="16">#REF!</definedName>
    <definedName name="ТЭОДККК">#REF!</definedName>
    <definedName name="ук" localSheetId="18" hidden="1">{#N/A,#N/A,TRUE,"Смета на пасс. обор. №1"}</definedName>
    <definedName name="ук" hidden="1">{#N/A,#N/A,TRUE,"Смета на пасс. обор. №1"}</definedName>
    <definedName name="ук_1" localSheetId="18" hidden="1">{#N/A,#N/A,TRUE,"Смета на пасс. обор. №1"}</definedName>
    <definedName name="ук_1" hidden="1">{#N/A,#N/A,TRUE,"Смета на пасс. обор. №1"}</definedName>
    <definedName name="уукк" localSheetId="18">#REF!</definedName>
    <definedName name="уукк">#REF!</definedName>
    <definedName name="ууу" localSheetId="18">#REF!</definedName>
    <definedName name="ууу">#REF!</definedName>
    <definedName name="уцуц" localSheetId="18">#REF!</definedName>
    <definedName name="уцуц">#REF!</definedName>
    <definedName name="Участок" localSheetId="18">#REF!</definedName>
    <definedName name="Участок">#REF!</definedName>
    <definedName name="Участок_1" localSheetId="18">#REF!</definedName>
    <definedName name="Участок_1">#REF!</definedName>
    <definedName name="уы" localSheetId="18" hidden="1">{#N/A,#N/A,TRUE,"Смета на пасс. обор. №1"}</definedName>
    <definedName name="уы" hidden="1">{#N/A,#N/A,TRUE,"Смета на пасс. обор. №1"}</definedName>
    <definedName name="уы_1" localSheetId="18" hidden="1">{#N/A,#N/A,TRUE,"Смета на пасс. обор. №1"}</definedName>
    <definedName name="уы_1" hidden="1">{#N/A,#N/A,TRUE,"Смета на пасс. обор. №1"}</definedName>
    <definedName name="ф" localSheetId="18" hidden="1">{#N/A,#N/A,TRUE,"Смета на пасс. обор. №1"}</definedName>
    <definedName name="ф" hidden="1">{#N/A,#N/A,TRUE,"Смета на пасс. обор. №1"}</definedName>
    <definedName name="ф_1" localSheetId="18" hidden="1">{#N/A,#N/A,TRUE,"Смета на пасс. обор. №1"}</definedName>
    <definedName name="ф_1" hidden="1">{#N/A,#N/A,TRUE,"Смета на пасс. обор. №1"}</definedName>
    <definedName name="ффыв" localSheetId="18">#REF!</definedName>
    <definedName name="ффыв">#REF!</definedName>
    <definedName name="фы" localSheetId="18">[3]топография!#REF!</definedName>
    <definedName name="фы">[3]топография!#REF!</definedName>
    <definedName name="фыв" localSheetId="18" hidden="1">{#N/A,#N/A,TRUE,"Смета на пасс. обор. №1"}</definedName>
    <definedName name="фыв" hidden="1">{#N/A,#N/A,TRUE,"Смета на пасс. обор. №1"}</definedName>
    <definedName name="фыв_1" localSheetId="18" hidden="1">{#N/A,#N/A,TRUE,"Смета на пасс. обор. №1"}</definedName>
    <definedName name="фыв_1" hidden="1">{#N/A,#N/A,TRUE,"Смета на пасс. обор. №1"}</definedName>
    <definedName name="хэ" localSheetId="18" hidden="1">{#N/A,#N/A,TRUE,"Смета на пасс. обор. №1"}</definedName>
    <definedName name="хэ" hidden="1">{#N/A,#N/A,TRUE,"Смета на пасс. обор. №1"}</definedName>
    <definedName name="хэ_1" localSheetId="18" hidden="1">{#N/A,#N/A,TRUE,"Смета на пасс. обор. №1"}</definedName>
    <definedName name="хэ_1" hidden="1">{#N/A,#N/A,TRUE,"Смета на пасс. обор. №1"}</definedName>
    <definedName name="цвет" localSheetId="18" hidden="1">{#N/A,#N/A,TRUE,"Смета на пасс. обор. №1"}</definedName>
    <definedName name="цвет" hidden="1">{#N/A,#N/A,TRUE,"Смета на пасс. обор. №1"}</definedName>
    <definedName name="цвет_1" localSheetId="18" hidden="1">{#N/A,#N/A,TRUE,"Смета на пасс. обор. №1"}</definedName>
    <definedName name="цвет_1" hidden="1">{#N/A,#N/A,TRUE,"Смета на пасс. обор. №1"}</definedName>
    <definedName name="цена" localSheetId="18">NA()</definedName>
    <definedName name="цена">#N/A</definedName>
    <definedName name="цена___0" localSheetId="18">NA()</definedName>
    <definedName name="цена___0">#REF!</definedName>
    <definedName name="цена___0___0" localSheetId="18">#REF!</definedName>
    <definedName name="цена___0___0">#REF!</definedName>
    <definedName name="цена___0___0___0" localSheetId="18">#REF!</definedName>
    <definedName name="цена___0___0___0">#REF!</definedName>
    <definedName name="цена___0___0___0___0" localSheetId="18">#REF!</definedName>
    <definedName name="цена___0___0___0___0">#REF!</definedName>
    <definedName name="цена___0___0___0___0___0" localSheetId="18">#REF!</definedName>
    <definedName name="цена___0___0___0___0___0">#REF!</definedName>
    <definedName name="цена___0___0___0___0___0_1" localSheetId="18">#REF!</definedName>
    <definedName name="цена___0___0___0___0___0_1">#REF!</definedName>
    <definedName name="цена___0___0___0___0_1" localSheetId="18">#REF!</definedName>
    <definedName name="цена___0___0___0___0_1">#REF!</definedName>
    <definedName name="цена___0___0___0___1" localSheetId="18">#REF!</definedName>
    <definedName name="цена___0___0___0___1">#REF!</definedName>
    <definedName name="цена___0___0___0___1_1" localSheetId="18">#REF!</definedName>
    <definedName name="цена___0___0___0___1_1">#REF!</definedName>
    <definedName name="цена___0___0___0___5" localSheetId="18">#REF!</definedName>
    <definedName name="цена___0___0___0___5">#REF!</definedName>
    <definedName name="цена___0___0___0___5_1" localSheetId="18">#REF!</definedName>
    <definedName name="цена___0___0___0___5_1">#REF!</definedName>
    <definedName name="цена___0___0___0_1" localSheetId="18">#REF!</definedName>
    <definedName name="цена___0___0___0_1">#REF!</definedName>
    <definedName name="цена___0___0___0_1_1" localSheetId="18">#REF!</definedName>
    <definedName name="цена___0___0___0_1_1">#REF!</definedName>
    <definedName name="цена___0___0___0_1_1_1" localSheetId="18">#REF!</definedName>
    <definedName name="цена___0___0___0_1_1_1">#REF!</definedName>
    <definedName name="цена___0___0___0_5" localSheetId="18">#REF!</definedName>
    <definedName name="цена___0___0___0_5">#REF!</definedName>
    <definedName name="цена___0___0___0_5_1" localSheetId="18">#REF!</definedName>
    <definedName name="цена___0___0___0_5_1">#REF!</definedName>
    <definedName name="цена___0___0___1" localSheetId="18">#REF!</definedName>
    <definedName name="цена___0___0___1">#REF!</definedName>
    <definedName name="цена___0___0___1_1" localSheetId="18">#REF!</definedName>
    <definedName name="цена___0___0___1_1">#REF!</definedName>
    <definedName name="цена___0___0___2" localSheetId="18">#REF!</definedName>
    <definedName name="цена___0___0___2">#REF!</definedName>
    <definedName name="цена___0___0___2_1" localSheetId="18">#REF!</definedName>
    <definedName name="цена___0___0___2_1">#REF!</definedName>
    <definedName name="цена___0___0___3" localSheetId="18">#REF!</definedName>
    <definedName name="цена___0___0___3">#REF!</definedName>
    <definedName name="цена___0___0___3_1" localSheetId="18">#REF!</definedName>
    <definedName name="цена___0___0___3_1">#REF!</definedName>
    <definedName name="цена___0___0___4" localSheetId="18">#REF!</definedName>
    <definedName name="цена___0___0___4">#REF!</definedName>
    <definedName name="цена___0___0___4_1" localSheetId="18">#REF!</definedName>
    <definedName name="цена___0___0___4_1">#REF!</definedName>
    <definedName name="цена___0___0___5" localSheetId="18">#REF!</definedName>
    <definedName name="цена___0___0___5">#REF!</definedName>
    <definedName name="цена___0___0___5_1" localSheetId="18">#REF!</definedName>
    <definedName name="цена___0___0___5_1">#REF!</definedName>
    <definedName name="цена___0___0_1" localSheetId="18">#REF!</definedName>
    <definedName name="цена___0___0_1">#REF!</definedName>
    <definedName name="цена___0___0_1_1" localSheetId="18">#REF!</definedName>
    <definedName name="цена___0___0_1_1">#REF!</definedName>
    <definedName name="цена___0___0_1_1_1" localSheetId="18">#REF!</definedName>
    <definedName name="цена___0___0_1_1_1">#REF!</definedName>
    <definedName name="цена___0___0_3" localSheetId="18">#REF!</definedName>
    <definedName name="цена___0___0_3">#REF!</definedName>
    <definedName name="цена___0___0_3_1" localSheetId="18">#REF!</definedName>
    <definedName name="цена___0___0_3_1">#REF!</definedName>
    <definedName name="цена___0___0_5" localSheetId="18">#REF!</definedName>
    <definedName name="цена___0___0_5">#REF!</definedName>
    <definedName name="цена___0___0_5_1" localSheetId="18">#REF!</definedName>
    <definedName name="цена___0___0_5_1">#REF!</definedName>
    <definedName name="цена___0___1" localSheetId="18">#REF!</definedName>
    <definedName name="цена___0___1">#REF!</definedName>
    <definedName name="цена___0___1___0" localSheetId="18">#REF!</definedName>
    <definedName name="цена___0___1___0">#REF!</definedName>
    <definedName name="цена___0___1___0_1" localSheetId="18">#REF!</definedName>
    <definedName name="цена___0___1___0_1">#REF!</definedName>
    <definedName name="цена___0___1_1" localSheetId="18">#REF!</definedName>
    <definedName name="цена___0___1_1">#REF!</definedName>
    <definedName name="цена___0___10" localSheetId="18">#REF!</definedName>
    <definedName name="цена___0___10">#REF!</definedName>
    <definedName name="цена___0___10_1" localSheetId="18">#REF!</definedName>
    <definedName name="цена___0___10_1">#REF!</definedName>
    <definedName name="цена___0___12" localSheetId="18">#REF!</definedName>
    <definedName name="цена___0___12">#REF!</definedName>
    <definedName name="цена___0___2" localSheetId="18">#REF!</definedName>
    <definedName name="цена___0___2">#REF!</definedName>
    <definedName name="цена___0___2___0" localSheetId="18">#REF!</definedName>
    <definedName name="цена___0___2___0">#REF!</definedName>
    <definedName name="цена___0___2___0___0" localSheetId="18">#REF!</definedName>
    <definedName name="цена___0___2___0___0">#REF!</definedName>
    <definedName name="цена___0___2___0___0_1" localSheetId="18">#REF!</definedName>
    <definedName name="цена___0___2___0___0_1">#REF!</definedName>
    <definedName name="цена___0___2___0_1" localSheetId="18">#REF!</definedName>
    <definedName name="цена___0___2___0_1">#REF!</definedName>
    <definedName name="цена___0___2___5" localSheetId="18">#REF!</definedName>
    <definedName name="цена___0___2___5">#REF!</definedName>
    <definedName name="цена___0___2___5_1" localSheetId="18">#REF!</definedName>
    <definedName name="цена___0___2___5_1">#REF!</definedName>
    <definedName name="цена___0___2_1" localSheetId="18">#REF!</definedName>
    <definedName name="цена___0___2_1">#REF!</definedName>
    <definedName name="цена___0___2_1_1" localSheetId="18">#REF!</definedName>
    <definedName name="цена___0___2_1_1">#REF!</definedName>
    <definedName name="цена___0___2_1_1_1" localSheetId="18">#REF!</definedName>
    <definedName name="цена___0___2_1_1_1">#REF!</definedName>
    <definedName name="цена___0___2_3" localSheetId="18">#REF!</definedName>
    <definedName name="цена___0___2_3">#REF!</definedName>
    <definedName name="цена___0___2_3_1" localSheetId="18">#REF!</definedName>
    <definedName name="цена___0___2_3_1">#REF!</definedName>
    <definedName name="цена___0___2_5" localSheetId="18">#REF!</definedName>
    <definedName name="цена___0___2_5">#REF!</definedName>
    <definedName name="цена___0___2_5_1" localSheetId="18">#REF!</definedName>
    <definedName name="цена___0___2_5_1">#REF!</definedName>
    <definedName name="цена___0___3" localSheetId="18">#REF!</definedName>
    <definedName name="цена___0___3">#REF!</definedName>
    <definedName name="цена___0___3___0" localSheetId="18">#REF!</definedName>
    <definedName name="цена___0___3___0">#REF!</definedName>
    <definedName name="цена___0___3___0_1" localSheetId="18">#REF!</definedName>
    <definedName name="цена___0___3___0_1">#REF!</definedName>
    <definedName name="цена___0___3___5" localSheetId="18">#REF!</definedName>
    <definedName name="цена___0___3___5">#REF!</definedName>
    <definedName name="цена___0___3___5_1" localSheetId="18">#REF!</definedName>
    <definedName name="цена___0___3___5_1">#REF!</definedName>
    <definedName name="цена___0___3_1" localSheetId="18">#REF!</definedName>
    <definedName name="цена___0___3_1">#REF!</definedName>
    <definedName name="цена___0___3_1_1" localSheetId="18">#REF!</definedName>
    <definedName name="цена___0___3_1_1">#REF!</definedName>
    <definedName name="цена___0___3_1_1_1" localSheetId="18">#REF!</definedName>
    <definedName name="цена___0___3_1_1_1">#REF!</definedName>
    <definedName name="цена___0___3_5" localSheetId="18">#REF!</definedName>
    <definedName name="цена___0___3_5">#REF!</definedName>
    <definedName name="цена___0___3_5_1" localSheetId="18">#REF!</definedName>
    <definedName name="цена___0___3_5_1">#REF!</definedName>
    <definedName name="цена___0___4" localSheetId="18">#REF!</definedName>
    <definedName name="цена___0___4">#REF!</definedName>
    <definedName name="цена___0___4___0" localSheetId="18">#REF!</definedName>
    <definedName name="цена___0___4___0">#REF!</definedName>
    <definedName name="цена___0___4___0_1" localSheetId="18">#REF!</definedName>
    <definedName name="цена___0___4___0_1">#REF!</definedName>
    <definedName name="цена___0___4___5" localSheetId="18">#REF!</definedName>
    <definedName name="цена___0___4___5">#REF!</definedName>
    <definedName name="цена___0___4___5_1" localSheetId="18">#REF!</definedName>
    <definedName name="цена___0___4___5_1">#REF!</definedName>
    <definedName name="цена___0___4_1" localSheetId="18">#REF!</definedName>
    <definedName name="цена___0___4_1">#REF!</definedName>
    <definedName name="цена___0___4_1_1" localSheetId="18">#REF!</definedName>
    <definedName name="цена___0___4_1_1">#REF!</definedName>
    <definedName name="цена___0___4_1_1_1" localSheetId="18">#REF!</definedName>
    <definedName name="цена___0___4_1_1_1">#REF!</definedName>
    <definedName name="цена___0___4_3" localSheetId="18">#REF!</definedName>
    <definedName name="цена___0___4_3">#REF!</definedName>
    <definedName name="цена___0___4_3_1" localSheetId="18">#REF!</definedName>
    <definedName name="цена___0___4_3_1">#REF!</definedName>
    <definedName name="цена___0___4_5" localSheetId="18">#REF!</definedName>
    <definedName name="цена___0___4_5">#REF!</definedName>
    <definedName name="цена___0___4_5_1" localSheetId="18">#REF!</definedName>
    <definedName name="цена___0___4_5_1">#REF!</definedName>
    <definedName name="цена___0___5" localSheetId="18">#REF!</definedName>
    <definedName name="цена___0___5">#REF!</definedName>
    <definedName name="цена___0___5_1" localSheetId="18">#REF!</definedName>
    <definedName name="цена___0___5_1">#REF!</definedName>
    <definedName name="цена___0___6" localSheetId="18">#REF!</definedName>
    <definedName name="цена___0___6">#REF!</definedName>
    <definedName name="цена___0___6_1" localSheetId="18">#REF!</definedName>
    <definedName name="цена___0___6_1">#REF!</definedName>
    <definedName name="цена___0___8" localSheetId="18">#REF!</definedName>
    <definedName name="цена___0___8">#REF!</definedName>
    <definedName name="цена___0___8_1" localSheetId="18">#REF!</definedName>
    <definedName name="цена___0___8_1">#REF!</definedName>
    <definedName name="цена___0_1" localSheetId="18">#REF!</definedName>
    <definedName name="цена___0_1">#REF!</definedName>
    <definedName name="цена___0_1_1" localSheetId="18">#REF!</definedName>
    <definedName name="цена___0_1_1">#REF!</definedName>
    <definedName name="цена___0_3" localSheetId="18">#REF!</definedName>
    <definedName name="цена___0_3">#REF!</definedName>
    <definedName name="цена___0_3_1" localSheetId="18">#REF!</definedName>
    <definedName name="цена___0_3_1">#REF!</definedName>
    <definedName name="цена___0_5" localSheetId="18">#REF!</definedName>
    <definedName name="цена___0_5">#REF!</definedName>
    <definedName name="цена___0_5_1" localSheetId="18">#REF!</definedName>
    <definedName name="цена___0_5_1">#REF!</definedName>
    <definedName name="цена___1" localSheetId="18">#REF!</definedName>
    <definedName name="цена___1">#REF!</definedName>
    <definedName name="цена___1___0" localSheetId="18">#REF!</definedName>
    <definedName name="цена___1___0">#REF!</definedName>
    <definedName name="цена___1___0___0" localSheetId="18">#REF!</definedName>
    <definedName name="цена___1___0___0">#REF!</definedName>
    <definedName name="цена___1___0___0_1" localSheetId="18">#REF!</definedName>
    <definedName name="цена___1___0___0_1">#REF!</definedName>
    <definedName name="цена___1___0_1" localSheetId="18">#REF!</definedName>
    <definedName name="цена___1___0_1">#REF!</definedName>
    <definedName name="цена___1___1" localSheetId="18">#REF!</definedName>
    <definedName name="цена___1___1">#REF!</definedName>
    <definedName name="цена___1___1_1" localSheetId="18">#REF!</definedName>
    <definedName name="цена___1___1_1">#REF!</definedName>
    <definedName name="цена___1___5" localSheetId="18">#REF!</definedName>
    <definedName name="цена___1___5">#REF!</definedName>
    <definedName name="цена___1___5_1" localSheetId="18">#REF!</definedName>
    <definedName name="цена___1___5_1">#REF!</definedName>
    <definedName name="цена___1_1" localSheetId="18">#REF!</definedName>
    <definedName name="цена___1_1">#REF!</definedName>
    <definedName name="цена___1_1_1" localSheetId="18">#REF!</definedName>
    <definedName name="цена___1_1_1">#REF!</definedName>
    <definedName name="цена___1_1_1_1" localSheetId="18">#REF!</definedName>
    <definedName name="цена___1_1_1_1">#REF!</definedName>
    <definedName name="цена___1_3" localSheetId="18">#REF!</definedName>
    <definedName name="цена___1_3">#REF!</definedName>
    <definedName name="цена___1_3_1" localSheetId="18">#REF!</definedName>
    <definedName name="цена___1_3_1">#REF!</definedName>
    <definedName name="цена___1_5" localSheetId="18">#REF!</definedName>
    <definedName name="цена___1_5">#REF!</definedName>
    <definedName name="цена___1_5_1" localSheetId="18">#REF!</definedName>
    <definedName name="цена___1_5_1">#REF!</definedName>
    <definedName name="цена___10" localSheetId="18">NA()</definedName>
    <definedName name="цена___10">#REF!</definedName>
    <definedName name="цена___10___0" localSheetId="18">#REF!</definedName>
    <definedName name="цена___10___0">NA()</definedName>
    <definedName name="цена___10___0___0" localSheetId="18">#REF!</definedName>
    <definedName name="цена___10___0___0">#REF!</definedName>
    <definedName name="цена___10___0___0___0" localSheetId="18">#REF!</definedName>
    <definedName name="цена___10___0___0___0">#REF!</definedName>
    <definedName name="цена___10___0___0___0_1" localSheetId="18">#REF!</definedName>
    <definedName name="цена___10___0___0___0_1">#REF!</definedName>
    <definedName name="цена___10___0___0_1" localSheetId="18">#REF!</definedName>
    <definedName name="цена___10___0___0_1">#REF!</definedName>
    <definedName name="цена___10___0___1">NA()</definedName>
    <definedName name="цена___10___0___5">NA()</definedName>
    <definedName name="цена___10___0_1" localSheetId="18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8">#REF!</definedName>
    <definedName name="цена___10___1">#REF!</definedName>
    <definedName name="цена___10___10" localSheetId="18">#REF!</definedName>
    <definedName name="цена___10___10">#REF!</definedName>
    <definedName name="цена___10___12" localSheetId="18">#REF!</definedName>
    <definedName name="цена___10___12">#REF!</definedName>
    <definedName name="цена___10___2">NA()</definedName>
    <definedName name="цена___10___4">NA()</definedName>
    <definedName name="цена___10___5" localSheetId="18">#REF!</definedName>
    <definedName name="цена___10___5">#REF!</definedName>
    <definedName name="цена___10___5_1" localSheetId="18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18">#REF!</definedName>
    <definedName name="цена___10_3">#REF!</definedName>
    <definedName name="цена___10_3_1" localSheetId="18">#REF!</definedName>
    <definedName name="цена___10_3_1">#REF!</definedName>
    <definedName name="цена___10_5" localSheetId="18">#REF!</definedName>
    <definedName name="цена___10_5">#REF!</definedName>
    <definedName name="цена___10_5_1" localSheetId="18">#REF!</definedName>
    <definedName name="цена___10_5_1">#REF!</definedName>
    <definedName name="цена___11" localSheetId="18">#REF!</definedName>
    <definedName name="цена___11">#REF!</definedName>
    <definedName name="цена___11___0">NA()</definedName>
    <definedName name="цена___11___10" localSheetId="18">#REF!</definedName>
    <definedName name="цена___11___10">#REF!</definedName>
    <definedName name="цена___11___2" localSheetId="18">#REF!</definedName>
    <definedName name="цена___11___2">#REF!</definedName>
    <definedName name="цена___11___4" localSheetId="18">#REF!</definedName>
    <definedName name="цена___11___4">#REF!</definedName>
    <definedName name="цена___11___6" localSheetId="18">#REF!</definedName>
    <definedName name="цена___11___6">#REF!</definedName>
    <definedName name="цена___11___8" localSheetId="18">#REF!</definedName>
    <definedName name="цена___11___8">#REF!</definedName>
    <definedName name="цена___11_1" localSheetId="18">#REF!</definedName>
    <definedName name="цена___11_1">#REF!</definedName>
    <definedName name="цена___12">NA()</definedName>
    <definedName name="цена___2" localSheetId="18">#REF!</definedName>
    <definedName name="цена___2">#REF!</definedName>
    <definedName name="цена___2___0" localSheetId="18">#REF!</definedName>
    <definedName name="цена___2___0">#REF!</definedName>
    <definedName name="цена___2___0___0" localSheetId="18">#REF!</definedName>
    <definedName name="цена___2___0___0">#REF!</definedName>
    <definedName name="цена___2___0___0___0" localSheetId="18">#REF!</definedName>
    <definedName name="цена___2___0___0___0">#REF!</definedName>
    <definedName name="цена___2___0___0___0___0" localSheetId="18">#REF!</definedName>
    <definedName name="цена___2___0___0___0___0">#REF!</definedName>
    <definedName name="цена___2___0___0___0___0_1" localSheetId="18">#REF!</definedName>
    <definedName name="цена___2___0___0___0___0_1">#REF!</definedName>
    <definedName name="цена___2___0___0___0_1" localSheetId="18">#REF!</definedName>
    <definedName name="цена___2___0___0___0_1">#REF!</definedName>
    <definedName name="цена___2___0___0___1" localSheetId="18">#REF!</definedName>
    <definedName name="цена___2___0___0___1">#REF!</definedName>
    <definedName name="цена___2___0___0___1_1" localSheetId="18">#REF!</definedName>
    <definedName name="цена___2___0___0___1_1">#REF!</definedName>
    <definedName name="цена___2___0___0___5" localSheetId="18">#REF!</definedName>
    <definedName name="цена___2___0___0___5">#REF!</definedName>
    <definedName name="цена___2___0___0___5_1" localSheetId="18">#REF!</definedName>
    <definedName name="цена___2___0___0___5_1">#REF!</definedName>
    <definedName name="цена___2___0___0_1" localSheetId="18">#REF!</definedName>
    <definedName name="цена___2___0___0_1">#REF!</definedName>
    <definedName name="цена___2___0___0_1_1" localSheetId="18">#REF!</definedName>
    <definedName name="цена___2___0___0_1_1">#REF!</definedName>
    <definedName name="цена___2___0___0_1_1_1" localSheetId="18">#REF!</definedName>
    <definedName name="цена___2___0___0_1_1_1">#REF!</definedName>
    <definedName name="цена___2___0___0_5" localSheetId="18">#REF!</definedName>
    <definedName name="цена___2___0___0_5">#REF!</definedName>
    <definedName name="цена___2___0___0_5_1" localSheetId="18">#REF!</definedName>
    <definedName name="цена___2___0___0_5_1">#REF!</definedName>
    <definedName name="цена___2___0___1" localSheetId="18">#REF!</definedName>
    <definedName name="цена___2___0___1">#REF!</definedName>
    <definedName name="цена___2___0___1_1" localSheetId="18">#REF!</definedName>
    <definedName name="цена___2___0___1_1">#REF!</definedName>
    <definedName name="цена___2___0___5" localSheetId="18">#REF!</definedName>
    <definedName name="цена___2___0___5">#REF!</definedName>
    <definedName name="цена___2___0___5_1" localSheetId="18">#REF!</definedName>
    <definedName name="цена___2___0___5_1">#REF!</definedName>
    <definedName name="цена___2___0_1" localSheetId="18">#REF!</definedName>
    <definedName name="цена___2___0_1">#REF!</definedName>
    <definedName name="цена___2___0_1_1" localSheetId="18">#REF!</definedName>
    <definedName name="цена___2___0_1_1">#REF!</definedName>
    <definedName name="цена___2___0_1_1_1" localSheetId="18">#REF!</definedName>
    <definedName name="цена___2___0_1_1_1">#REF!</definedName>
    <definedName name="цена___2___0_3" localSheetId="18">#REF!</definedName>
    <definedName name="цена___2___0_3">#REF!</definedName>
    <definedName name="цена___2___0_3_1" localSheetId="18">#REF!</definedName>
    <definedName name="цена___2___0_3_1">#REF!</definedName>
    <definedName name="цена___2___0_5" localSheetId="18">#REF!</definedName>
    <definedName name="цена___2___0_5">#REF!</definedName>
    <definedName name="цена___2___0_5_1" localSheetId="18">#REF!</definedName>
    <definedName name="цена___2___0_5_1">#REF!</definedName>
    <definedName name="цена___2___1" localSheetId="18">#REF!</definedName>
    <definedName name="цена___2___1">#REF!</definedName>
    <definedName name="цена___2___1_1" localSheetId="18">#REF!</definedName>
    <definedName name="цена___2___1_1">#REF!</definedName>
    <definedName name="цена___2___10" localSheetId="18">#REF!</definedName>
    <definedName name="цена___2___10">#REF!</definedName>
    <definedName name="цена___2___10_1" localSheetId="18">#REF!</definedName>
    <definedName name="цена___2___10_1">#REF!</definedName>
    <definedName name="цена___2___12" localSheetId="18">#REF!</definedName>
    <definedName name="цена___2___12">#REF!</definedName>
    <definedName name="цена___2___2" localSheetId="18">#REF!</definedName>
    <definedName name="цена___2___2">#REF!</definedName>
    <definedName name="цена___2___2_1" localSheetId="18">#REF!</definedName>
    <definedName name="цена___2___2_1">#REF!</definedName>
    <definedName name="цена___2___3" localSheetId="18">#REF!</definedName>
    <definedName name="цена___2___3">#REF!</definedName>
    <definedName name="цена___2___4" localSheetId="18">#REF!</definedName>
    <definedName name="цена___2___4">#REF!</definedName>
    <definedName name="цена___2___4___0" localSheetId="18">#REF!</definedName>
    <definedName name="цена___2___4___0">#REF!</definedName>
    <definedName name="цена___2___4___0_1" localSheetId="18">#REF!</definedName>
    <definedName name="цена___2___4___0_1">#REF!</definedName>
    <definedName name="цена___2___4___5" localSheetId="18">#REF!</definedName>
    <definedName name="цена___2___4___5">#REF!</definedName>
    <definedName name="цена___2___4___5_1" localSheetId="18">#REF!</definedName>
    <definedName name="цена___2___4___5_1">#REF!</definedName>
    <definedName name="цена___2___4_1" localSheetId="18">#REF!</definedName>
    <definedName name="цена___2___4_1">#REF!</definedName>
    <definedName name="цена___2___4_1_1" localSheetId="18">#REF!</definedName>
    <definedName name="цена___2___4_1_1">#REF!</definedName>
    <definedName name="цена___2___4_1_1_1" localSheetId="18">#REF!</definedName>
    <definedName name="цена___2___4_1_1_1">#REF!</definedName>
    <definedName name="цена___2___4_3" localSheetId="18">#REF!</definedName>
    <definedName name="цена___2___4_3">#REF!</definedName>
    <definedName name="цена___2___4_3_1" localSheetId="18">#REF!</definedName>
    <definedName name="цена___2___4_3_1">#REF!</definedName>
    <definedName name="цена___2___4_5" localSheetId="18">#REF!</definedName>
    <definedName name="цена___2___4_5">#REF!</definedName>
    <definedName name="цена___2___4_5_1" localSheetId="18">#REF!</definedName>
    <definedName name="цена___2___4_5_1">#REF!</definedName>
    <definedName name="цена___2___5" localSheetId="18">#REF!</definedName>
    <definedName name="цена___2___5">#REF!</definedName>
    <definedName name="цена___2___5_1" localSheetId="18">#REF!</definedName>
    <definedName name="цена___2___5_1">#REF!</definedName>
    <definedName name="цена___2___6" localSheetId="18">#REF!</definedName>
    <definedName name="цена___2___6">#REF!</definedName>
    <definedName name="цена___2___6_1" localSheetId="18">#REF!</definedName>
    <definedName name="цена___2___6_1">#REF!</definedName>
    <definedName name="цена___2___8" localSheetId="18">#REF!</definedName>
    <definedName name="цена___2___8">#REF!</definedName>
    <definedName name="цена___2___8_1" localSheetId="18">#REF!</definedName>
    <definedName name="цена___2___8_1">#REF!</definedName>
    <definedName name="цена___2_1" localSheetId="18">#REF!</definedName>
    <definedName name="цена___2_1">#REF!</definedName>
    <definedName name="цена___2_1_1" localSheetId="18">#REF!</definedName>
    <definedName name="цена___2_1_1">#REF!</definedName>
    <definedName name="цена___2_1_1_1" localSheetId="18">#REF!</definedName>
    <definedName name="цена___2_1_1_1">#REF!</definedName>
    <definedName name="цена___2_3" localSheetId="18">#REF!</definedName>
    <definedName name="цена___2_3">#REF!</definedName>
    <definedName name="цена___2_3_1" localSheetId="18">#REF!</definedName>
    <definedName name="цена___2_3_1">#REF!</definedName>
    <definedName name="цена___2_5" localSheetId="18">#REF!</definedName>
    <definedName name="цена___2_5">#REF!</definedName>
    <definedName name="цена___2_5_1" localSheetId="18">#REF!</definedName>
    <definedName name="цена___2_5_1">#REF!</definedName>
    <definedName name="цена___3" localSheetId="18">#REF!</definedName>
    <definedName name="цена___3">#REF!</definedName>
    <definedName name="цена___3___0" localSheetId="18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18">#REF!</definedName>
    <definedName name="цена___3___0___5">#REF!</definedName>
    <definedName name="цена___3___0___5_1" localSheetId="18">#REF!</definedName>
    <definedName name="цена___3___0___5_1">#REF!</definedName>
    <definedName name="цена___3___0_1" localSheetId="18">#REF!</definedName>
    <definedName name="цена___3___0_1">#REF!</definedName>
    <definedName name="цена___3___0_1_1">NA()</definedName>
    <definedName name="цена___3___0_3" localSheetId="18">#REF!</definedName>
    <definedName name="цена___3___0_3">#REF!</definedName>
    <definedName name="цена___3___0_3_1" localSheetId="18">#REF!</definedName>
    <definedName name="цена___3___0_3_1">#REF!</definedName>
    <definedName name="цена___3___0_5" localSheetId="18">#REF!</definedName>
    <definedName name="цена___3___0_5">#REF!</definedName>
    <definedName name="цена___3___0_5_1" localSheetId="18">#REF!</definedName>
    <definedName name="цена___3___0_5_1">#REF!</definedName>
    <definedName name="цена___3___10" localSheetId="18">#REF!</definedName>
    <definedName name="цена___3___10">#REF!</definedName>
    <definedName name="цена___3___2" localSheetId="18">#REF!</definedName>
    <definedName name="цена___3___2">#REF!</definedName>
    <definedName name="цена___3___2_1" localSheetId="18">#REF!</definedName>
    <definedName name="цена___3___2_1">#REF!</definedName>
    <definedName name="цена___3___3" localSheetId="18">#REF!</definedName>
    <definedName name="цена___3___3">#REF!</definedName>
    <definedName name="цена___3___3_1" localSheetId="18">#REF!</definedName>
    <definedName name="цена___3___3_1">#REF!</definedName>
    <definedName name="цена___3___4" localSheetId="18">#REF!</definedName>
    <definedName name="цена___3___4">#REF!</definedName>
    <definedName name="цена___3___5" localSheetId="18">#REF!</definedName>
    <definedName name="цена___3___5">#REF!</definedName>
    <definedName name="цена___3___5_1" localSheetId="18">#REF!</definedName>
    <definedName name="цена___3___5_1">#REF!</definedName>
    <definedName name="цена___3___6" localSheetId="18">#REF!</definedName>
    <definedName name="цена___3___6">#REF!</definedName>
    <definedName name="цена___3___8" localSheetId="18">#REF!</definedName>
    <definedName name="цена___3___8">#REF!</definedName>
    <definedName name="цена___3_1" localSheetId="18">#REF!</definedName>
    <definedName name="цена___3_1">#REF!</definedName>
    <definedName name="цена___3_1_1" localSheetId="18">#REF!</definedName>
    <definedName name="цена___3_1_1">#REF!</definedName>
    <definedName name="цена___3_1_1_1" localSheetId="18">#REF!</definedName>
    <definedName name="цена___3_1_1_1">#REF!</definedName>
    <definedName name="цена___3_3">NA()</definedName>
    <definedName name="цена___3_5" localSheetId="18">#REF!</definedName>
    <definedName name="цена___3_5">#REF!</definedName>
    <definedName name="цена___3_5_1" localSheetId="18">#REF!</definedName>
    <definedName name="цена___3_5_1">#REF!</definedName>
    <definedName name="цена___4" localSheetId="18">#REF!</definedName>
    <definedName name="цена___4">#REF!</definedName>
    <definedName name="цена___4___0" localSheetId="18">#REF!</definedName>
    <definedName name="цена___4___0">NA()</definedName>
    <definedName name="цена___4___0___0" localSheetId="18">#REF!</definedName>
    <definedName name="цена___4___0___0">#REF!</definedName>
    <definedName name="цена___4___0___0___0" localSheetId="18">#REF!</definedName>
    <definedName name="цена___4___0___0___0">#REF!</definedName>
    <definedName name="цена___4___0___0___0___0" localSheetId="18">#REF!</definedName>
    <definedName name="цена___4___0___0___0___0">#REF!</definedName>
    <definedName name="цена___4___0___0___0___0_1" localSheetId="18">#REF!</definedName>
    <definedName name="цена___4___0___0___0___0_1">#REF!</definedName>
    <definedName name="цена___4___0___0___0_1" localSheetId="18">#REF!</definedName>
    <definedName name="цена___4___0___0___0_1">#REF!</definedName>
    <definedName name="цена___4___0___0___1" localSheetId="18">#REF!</definedName>
    <definedName name="цена___4___0___0___1">#REF!</definedName>
    <definedName name="цена___4___0___0___1_1" localSheetId="18">#REF!</definedName>
    <definedName name="цена___4___0___0___1_1">#REF!</definedName>
    <definedName name="цена___4___0___0___5" localSheetId="18">#REF!</definedName>
    <definedName name="цена___4___0___0___5">#REF!</definedName>
    <definedName name="цена___4___0___0___5_1" localSheetId="18">#REF!</definedName>
    <definedName name="цена___4___0___0___5_1">#REF!</definedName>
    <definedName name="цена___4___0___0_1" localSheetId="18">#REF!</definedName>
    <definedName name="цена___4___0___0_1">#REF!</definedName>
    <definedName name="цена___4___0___0_1_1" localSheetId="18">#REF!</definedName>
    <definedName name="цена___4___0___0_1_1">#REF!</definedName>
    <definedName name="цена___4___0___0_1_1_1" localSheetId="18">#REF!</definedName>
    <definedName name="цена___4___0___0_1_1_1">#REF!</definedName>
    <definedName name="цена___4___0___0_5" localSheetId="18">#REF!</definedName>
    <definedName name="цена___4___0___0_5">#REF!</definedName>
    <definedName name="цена___4___0___0_5_1" localSheetId="18">#REF!</definedName>
    <definedName name="цена___4___0___0_5_1">#REF!</definedName>
    <definedName name="цена___4___0___1" localSheetId="18">#REF!</definedName>
    <definedName name="цена___4___0___1">#REF!</definedName>
    <definedName name="цена___4___0___1_1" localSheetId="18">#REF!</definedName>
    <definedName name="цена___4___0___1_1">#REF!</definedName>
    <definedName name="цена___4___0___5">NA()</definedName>
    <definedName name="цена___4___0_1" localSheetId="18">#REF!</definedName>
    <definedName name="цена___4___0_1">#REF!</definedName>
    <definedName name="цена___4___0_1_1" localSheetId="18">#REF!</definedName>
    <definedName name="цена___4___0_1_1">#REF!</definedName>
    <definedName name="цена___4___0_1_1_1" localSheetId="18">#REF!</definedName>
    <definedName name="цена___4___0_1_1_1">#REF!</definedName>
    <definedName name="цена___4___0_3" localSheetId="18">#REF!</definedName>
    <definedName name="цена___4___0_3">#REF!</definedName>
    <definedName name="цена___4___0_3_1" localSheetId="18">#REF!</definedName>
    <definedName name="цена___4___0_3_1">#REF!</definedName>
    <definedName name="цена___4___0_5">NA()</definedName>
    <definedName name="цена___4___1" localSheetId="18">#REF!</definedName>
    <definedName name="цена___4___1">#REF!</definedName>
    <definedName name="цена___4___1_1" localSheetId="18">#REF!</definedName>
    <definedName name="цена___4___1_1">#REF!</definedName>
    <definedName name="цена___4___10" localSheetId="18">#REF!</definedName>
    <definedName name="цена___4___10">#REF!</definedName>
    <definedName name="цена___4___10_1" localSheetId="18">#REF!</definedName>
    <definedName name="цена___4___10_1">#REF!</definedName>
    <definedName name="цена___4___12" localSheetId="18">#REF!</definedName>
    <definedName name="цена___4___12">#REF!</definedName>
    <definedName name="цена___4___2" localSheetId="18">#REF!</definedName>
    <definedName name="цена___4___2">#REF!</definedName>
    <definedName name="цена___4___2_1" localSheetId="18">#REF!</definedName>
    <definedName name="цена___4___2_1">#REF!</definedName>
    <definedName name="цена___4___3" localSheetId="18">#REF!</definedName>
    <definedName name="цена___4___3">#REF!</definedName>
    <definedName name="цена___4___3_1" localSheetId="18">#REF!</definedName>
    <definedName name="цена___4___3_1">#REF!</definedName>
    <definedName name="цена___4___4" localSheetId="18">#REF!</definedName>
    <definedName name="цена___4___4">#REF!</definedName>
    <definedName name="цена___4___4_1" localSheetId="18">#REF!</definedName>
    <definedName name="цена___4___4_1">#REF!</definedName>
    <definedName name="цена___4___5" localSheetId="18">#REF!</definedName>
    <definedName name="цена___4___5">#REF!</definedName>
    <definedName name="цена___4___5_1" localSheetId="18">#REF!</definedName>
    <definedName name="цена___4___5_1">#REF!</definedName>
    <definedName name="цена___4___6" localSheetId="18">#REF!</definedName>
    <definedName name="цена___4___6">#REF!</definedName>
    <definedName name="цена___4___6_1" localSheetId="18">#REF!</definedName>
    <definedName name="цена___4___6_1">#REF!</definedName>
    <definedName name="цена___4___8" localSheetId="18">#REF!</definedName>
    <definedName name="цена___4___8">#REF!</definedName>
    <definedName name="цена___4___8_1" localSheetId="18">#REF!</definedName>
    <definedName name="цена___4___8_1">#REF!</definedName>
    <definedName name="цена___4_1" localSheetId="18">#REF!</definedName>
    <definedName name="цена___4_1">#REF!</definedName>
    <definedName name="цена___4_1_1" localSheetId="18">#REF!</definedName>
    <definedName name="цена___4_1_1">#REF!</definedName>
    <definedName name="цена___4_1_1_1" localSheetId="18">#REF!</definedName>
    <definedName name="цена___4_1_1_1">#REF!</definedName>
    <definedName name="цена___4_3" localSheetId="18">#REF!</definedName>
    <definedName name="цена___4_3">#REF!</definedName>
    <definedName name="цена___4_3_1" localSheetId="18">#REF!</definedName>
    <definedName name="цена___4_3_1">#REF!</definedName>
    <definedName name="цена___4_5" localSheetId="18">#REF!</definedName>
    <definedName name="цена___4_5">#REF!</definedName>
    <definedName name="цена___4_5_1" localSheetId="18">#REF!</definedName>
    <definedName name="цена___4_5_1">#REF!</definedName>
    <definedName name="цена___5" localSheetId="18">#REF!</definedName>
    <definedName name="цена___5">NA()</definedName>
    <definedName name="цена___5___0" localSheetId="18">#REF!</definedName>
    <definedName name="цена___5___0">#REF!</definedName>
    <definedName name="цена___5___0___0" localSheetId="18">#REF!</definedName>
    <definedName name="цена___5___0___0">#REF!</definedName>
    <definedName name="цена___5___0___0___0" localSheetId="18">#REF!</definedName>
    <definedName name="цена___5___0___0___0">#REF!</definedName>
    <definedName name="цена___5___0___0___0___0" localSheetId="18">#REF!</definedName>
    <definedName name="цена___5___0___0___0___0">#REF!</definedName>
    <definedName name="цена___5___0___0___0___0_1" localSheetId="18">#REF!</definedName>
    <definedName name="цена___5___0___0___0___0_1">#REF!</definedName>
    <definedName name="цена___5___0___0___0_1" localSheetId="18">#REF!</definedName>
    <definedName name="цена___5___0___0___0_1">#REF!</definedName>
    <definedName name="цена___5___0___0_1" localSheetId="18">#REF!</definedName>
    <definedName name="цена___5___0___0_1">#REF!</definedName>
    <definedName name="цена___5___0___1" localSheetId="18">#REF!</definedName>
    <definedName name="цена___5___0___1">#REF!</definedName>
    <definedName name="цена___5___0___1_1" localSheetId="18">#REF!</definedName>
    <definedName name="цена___5___0___1_1">#REF!</definedName>
    <definedName name="цена___5___0___5" localSheetId="18">#REF!</definedName>
    <definedName name="цена___5___0___5">#REF!</definedName>
    <definedName name="цена___5___0___5_1" localSheetId="18">#REF!</definedName>
    <definedName name="цена___5___0___5_1">#REF!</definedName>
    <definedName name="цена___5___0_1" localSheetId="18">#REF!</definedName>
    <definedName name="цена___5___0_1">#REF!</definedName>
    <definedName name="цена___5___0_1_1" localSheetId="18">#REF!</definedName>
    <definedName name="цена___5___0_1_1">#REF!</definedName>
    <definedName name="цена___5___0_1_1_1" localSheetId="18">#REF!</definedName>
    <definedName name="цена___5___0_1_1_1">#REF!</definedName>
    <definedName name="цена___5___0_3" localSheetId="18">#REF!</definedName>
    <definedName name="цена___5___0_3">#REF!</definedName>
    <definedName name="цена___5___0_3_1" localSheetId="18">#REF!</definedName>
    <definedName name="цена___5___0_3_1">#REF!</definedName>
    <definedName name="цена___5___0_5" localSheetId="18">#REF!</definedName>
    <definedName name="цена___5___0_5">#REF!</definedName>
    <definedName name="цена___5___0_5_1" localSheetId="18">#REF!</definedName>
    <definedName name="цена___5___0_5_1">#REF!</definedName>
    <definedName name="цена___5___1" localSheetId="18">#REF!</definedName>
    <definedName name="цена___5___1">#REF!</definedName>
    <definedName name="цена___5___1_1" localSheetId="18">#REF!</definedName>
    <definedName name="цена___5___1_1">#REF!</definedName>
    <definedName name="цена___5___3">NA()</definedName>
    <definedName name="цена___5___5">NA()</definedName>
    <definedName name="цена___5_1" localSheetId="18">#REF!</definedName>
    <definedName name="цена___5_1">#REF!</definedName>
    <definedName name="цена___5_1_1" localSheetId="18">#REF!</definedName>
    <definedName name="цена___5_1_1">#REF!</definedName>
    <definedName name="цена___5_1_1_1" localSheetId="18">#REF!</definedName>
    <definedName name="цена___5_1_1_1">#REF!</definedName>
    <definedName name="цена___5_3">NA()</definedName>
    <definedName name="цена___5_5">NA()</definedName>
    <definedName name="цена___6" localSheetId="18">#REF!</definedName>
    <definedName name="цена___6">NA()</definedName>
    <definedName name="цена___6___0" localSheetId="18">#REF!</definedName>
    <definedName name="цена___6___0">#REF!</definedName>
    <definedName name="цена___6___0___0" localSheetId="18">#REF!</definedName>
    <definedName name="цена___6___0___0">#REF!</definedName>
    <definedName name="цена___6___0___0___0" localSheetId="18">#REF!</definedName>
    <definedName name="цена___6___0___0___0">#REF!</definedName>
    <definedName name="цена___6___0___0___0___0" localSheetId="18">#REF!</definedName>
    <definedName name="цена___6___0___0___0___0">#REF!</definedName>
    <definedName name="цена___6___0___0___0___0_1" localSheetId="18">#REF!</definedName>
    <definedName name="цена___6___0___0___0___0_1">#REF!</definedName>
    <definedName name="цена___6___0___0___0_1" localSheetId="18">#REF!</definedName>
    <definedName name="цена___6___0___0___0_1">#REF!</definedName>
    <definedName name="цена___6___0___0_1" localSheetId="18">#REF!</definedName>
    <definedName name="цена___6___0___0_1">#REF!</definedName>
    <definedName name="цена___6___0___1" localSheetId="18">#REF!</definedName>
    <definedName name="цена___6___0___1">#REF!</definedName>
    <definedName name="цена___6___0___1_1" localSheetId="18">#REF!</definedName>
    <definedName name="цена___6___0___1_1">#REF!</definedName>
    <definedName name="цена___6___0___5" localSheetId="18">#REF!</definedName>
    <definedName name="цена___6___0___5">#REF!</definedName>
    <definedName name="цена___6___0___5_1" localSheetId="18">#REF!</definedName>
    <definedName name="цена___6___0___5_1">#REF!</definedName>
    <definedName name="цена___6___0_1" localSheetId="18">#REF!</definedName>
    <definedName name="цена___6___0_1">#REF!</definedName>
    <definedName name="цена___6___0_1_1" localSheetId="18">#REF!</definedName>
    <definedName name="цена___6___0_1_1">#REF!</definedName>
    <definedName name="цена___6___0_1_1_1" localSheetId="18">#REF!</definedName>
    <definedName name="цена___6___0_1_1_1">#REF!</definedName>
    <definedName name="цена___6___0_3" localSheetId="18">#REF!</definedName>
    <definedName name="цена___6___0_3">#REF!</definedName>
    <definedName name="цена___6___0_3_1" localSheetId="18">#REF!</definedName>
    <definedName name="цена___6___0_3_1">#REF!</definedName>
    <definedName name="цена___6___0_5" localSheetId="18">#REF!</definedName>
    <definedName name="цена___6___0_5">#REF!</definedName>
    <definedName name="цена___6___0_5_1" localSheetId="18">#REF!</definedName>
    <definedName name="цена___6___0_5_1">#REF!</definedName>
    <definedName name="цена___6___1" localSheetId="18">#REF!</definedName>
    <definedName name="цена___6___1">#REF!</definedName>
    <definedName name="цена___6___10" localSheetId="18">#REF!</definedName>
    <definedName name="цена___6___10">#REF!</definedName>
    <definedName name="цена___6___10_1" localSheetId="18">#REF!</definedName>
    <definedName name="цена___6___10_1">#REF!</definedName>
    <definedName name="цена___6___12" localSheetId="18">#REF!</definedName>
    <definedName name="цена___6___12">#REF!</definedName>
    <definedName name="цена___6___2" localSheetId="18">#REF!</definedName>
    <definedName name="цена___6___2">#REF!</definedName>
    <definedName name="цена___6___2_1" localSheetId="18">#REF!</definedName>
    <definedName name="цена___6___2_1">#REF!</definedName>
    <definedName name="цена___6___4" localSheetId="18">#REF!</definedName>
    <definedName name="цена___6___4">#REF!</definedName>
    <definedName name="цена___6___4_1" localSheetId="18">#REF!</definedName>
    <definedName name="цена___6___4_1">#REF!</definedName>
    <definedName name="цена___6___5">NA()</definedName>
    <definedName name="цена___6___6" localSheetId="18">#REF!</definedName>
    <definedName name="цена___6___6">#REF!</definedName>
    <definedName name="цена___6___6_1" localSheetId="18">#REF!</definedName>
    <definedName name="цена___6___6_1">#REF!</definedName>
    <definedName name="цена___6___8" localSheetId="18">#REF!</definedName>
    <definedName name="цена___6___8">#REF!</definedName>
    <definedName name="цена___6___8_1" localSheetId="18">#REF!</definedName>
    <definedName name="цена___6___8_1">#REF!</definedName>
    <definedName name="цена___6_1" localSheetId="18">#REF!</definedName>
    <definedName name="цена___6_1">#REF!</definedName>
    <definedName name="цена___6_1_1" localSheetId="18">#REF!</definedName>
    <definedName name="цена___6_1_1">#REF!</definedName>
    <definedName name="цена___6_1_1_1" localSheetId="18">#REF!</definedName>
    <definedName name="цена___6_1_1_1">#REF!</definedName>
    <definedName name="цена___6_3" localSheetId="18">#REF!</definedName>
    <definedName name="цена___6_3">#REF!</definedName>
    <definedName name="цена___6_3_1" localSheetId="18">#REF!</definedName>
    <definedName name="цена___6_3_1">#REF!</definedName>
    <definedName name="цена___6_5">NA()</definedName>
    <definedName name="цена___7" localSheetId="18">#REF!</definedName>
    <definedName name="цена___7">#REF!</definedName>
    <definedName name="цена___7___0" localSheetId="18">#REF!</definedName>
    <definedName name="цена___7___0">#REF!</definedName>
    <definedName name="цена___7___10" localSheetId="18">#REF!</definedName>
    <definedName name="цена___7___10">#REF!</definedName>
    <definedName name="цена___7___2" localSheetId="18">#REF!</definedName>
    <definedName name="цена___7___2">#REF!</definedName>
    <definedName name="цена___7___4" localSheetId="18">#REF!</definedName>
    <definedName name="цена___7___4">#REF!</definedName>
    <definedName name="цена___7___6" localSheetId="18">#REF!</definedName>
    <definedName name="цена___7___6">#REF!</definedName>
    <definedName name="цена___7___8" localSheetId="18">#REF!</definedName>
    <definedName name="цена___7___8">#REF!</definedName>
    <definedName name="цена___7_1" localSheetId="18">#REF!</definedName>
    <definedName name="цена___7_1">#REF!</definedName>
    <definedName name="цена___8" localSheetId="18">#REF!</definedName>
    <definedName name="цена___8">#REF!</definedName>
    <definedName name="цена___8___0" localSheetId="18">#REF!</definedName>
    <definedName name="цена___8___0">#REF!</definedName>
    <definedName name="цена___8___0___0" localSheetId="18">#REF!</definedName>
    <definedName name="цена___8___0___0">#REF!</definedName>
    <definedName name="цена___8___0___0___0" localSheetId="18">#REF!</definedName>
    <definedName name="цена___8___0___0___0">#REF!</definedName>
    <definedName name="цена___8___0___0___0___0" localSheetId="18">#REF!</definedName>
    <definedName name="цена___8___0___0___0___0">#REF!</definedName>
    <definedName name="цена___8___0___0___0___0_1" localSheetId="18">#REF!</definedName>
    <definedName name="цена___8___0___0___0___0_1">#REF!</definedName>
    <definedName name="цена___8___0___0___0_1" localSheetId="18">#REF!</definedName>
    <definedName name="цена___8___0___0___0_1">#REF!</definedName>
    <definedName name="цена___8___0___0_1" localSheetId="18">#REF!</definedName>
    <definedName name="цена___8___0___0_1">#REF!</definedName>
    <definedName name="цена___8___0___1" localSheetId="18">#REF!</definedName>
    <definedName name="цена___8___0___1">#REF!</definedName>
    <definedName name="цена___8___0___1_1" localSheetId="18">#REF!</definedName>
    <definedName name="цена___8___0___1_1">#REF!</definedName>
    <definedName name="цена___8___0___5" localSheetId="18">#REF!</definedName>
    <definedName name="цена___8___0___5">#REF!</definedName>
    <definedName name="цена___8___0___5_1" localSheetId="18">#REF!</definedName>
    <definedName name="цена___8___0___5_1">#REF!</definedName>
    <definedName name="цена___8___0_1" localSheetId="18">#REF!</definedName>
    <definedName name="цена___8___0_1">#REF!</definedName>
    <definedName name="цена___8___0_1_1" localSheetId="18">#REF!</definedName>
    <definedName name="цена___8___0_1_1">#REF!</definedName>
    <definedName name="цена___8___0_1_1_1" localSheetId="18">#REF!</definedName>
    <definedName name="цена___8___0_1_1_1">#REF!</definedName>
    <definedName name="цена___8___0_3" localSheetId="18">#REF!</definedName>
    <definedName name="цена___8___0_3">#REF!</definedName>
    <definedName name="цена___8___0_3_1" localSheetId="18">#REF!</definedName>
    <definedName name="цена___8___0_3_1">#REF!</definedName>
    <definedName name="цена___8___0_5" localSheetId="18">#REF!</definedName>
    <definedName name="цена___8___0_5">#REF!</definedName>
    <definedName name="цена___8___0_5_1" localSheetId="18">#REF!</definedName>
    <definedName name="цена___8___0_5_1">#REF!</definedName>
    <definedName name="цена___8___1" localSheetId="18">#REF!</definedName>
    <definedName name="цена___8___1">#REF!</definedName>
    <definedName name="цена___8___10" localSheetId="18">#REF!</definedName>
    <definedName name="цена___8___10">#REF!</definedName>
    <definedName name="цена___8___10_1" localSheetId="18">#REF!</definedName>
    <definedName name="цена___8___10_1">#REF!</definedName>
    <definedName name="цена___8___12" localSheetId="18">#REF!</definedName>
    <definedName name="цена___8___12">#REF!</definedName>
    <definedName name="цена___8___2" localSheetId="18">#REF!</definedName>
    <definedName name="цена___8___2">#REF!</definedName>
    <definedName name="цена___8___2_1" localSheetId="18">#REF!</definedName>
    <definedName name="цена___8___2_1">#REF!</definedName>
    <definedName name="цена___8___4" localSheetId="18">#REF!</definedName>
    <definedName name="цена___8___4">#REF!</definedName>
    <definedName name="цена___8___4_1" localSheetId="18">#REF!</definedName>
    <definedName name="цена___8___4_1">#REF!</definedName>
    <definedName name="цена___8___5" localSheetId="18">#REF!</definedName>
    <definedName name="цена___8___5">#REF!</definedName>
    <definedName name="цена___8___5_1" localSheetId="18">#REF!</definedName>
    <definedName name="цена___8___5_1">#REF!</definedName>
    <definedName name="цена___8___6" localSheetId="18">#REF!</definedName>
    <definedName name="цена___8___6">#REF!</definedName>
    <definedName name="цена___8___6_1" localSheetId="18">#REF!</definedName>
    <definedName name="цена___8___6_1">#REF!</definedName>
    <definedName name="цена___8___8" localSheetId="18">#REF!</definedName>
    <definedName name="цена___8___8">#REF!</definedName>
    <definedName name="цена___8___8_1" localSheetId="18">#REF!</definedName>
    <definedName name="цена___8___8_1">#REF!</definedName>
    <definedName name="цена___8_1" localSheetId="18">#REF!</definedName>
    <definedName name="цена___8_1">#REF!</definedName>
    <definedName name="цена___8_1_1" localSheetId="18">#REF!</definedName>
    <definedName name="цена___8_1_1">#REF!</definedName>
    <definedName name="цена___8_1_1_1" localSheetId="18">#REF!</definedName>
    <definedName name="цена___8_1_1_1">#REF!</definedName>
    <definedName name="цена___8_3" localSheetId="18">#REF!</definedName>
    <definedName name="цена___8_3">#REF!</definedName>
    <definedName name="цена___8_3_1" localSheetId="18">#REF!</definedName>
    <definedName name="цена___8_3_1">#REF!</definedName>
    <definedName name="цена___8_5" localSheetId="18">#REF!</definedName>
    <definedName name="цена___8_5">#REF!</definedName>
    <definedName name="цена___8_5_1" localSheetId="18">#REF!</definedName>
    <definedName name="цена___8_5_1">#REF!</definedName>
    <definedName name="цена___9" localSheetId="18">#REF!</definedName>
    <definedName name="цена___9">#REF!</definedName>
    <definedName name="цена___9___0" localSheetId="18">#REF!</definedName>
    <definedName name="цена___9___0">#REF!</definedName>
    <definedName name="цена___9___0___0" localSheetId="18">#REF!</definedName>
    <definedName name="цена___9___0___0">#REF!</definedName>
    <definedName name="цена___9___0___0___0" localSheetId="18">#REF!</definedName>
    <definedName name="цена___9___0___0___0">#REF!</definedName>
    <definedName name="цена___9___0___0___0___0" localSheetId="18">#REF!</definedName>
    <definedName name="цена___9___0___0___0___0">#REF!</definedName>
    <definedName name="цена___9___0___0___0___0_1" localSheetId="18">#REF!</definedName>
    <definedName name="цена___9___0___0___0___0_1">#REF!</definedName>
    <definedName name="цена___9___0___0___0_1" localSheetId="18">#REF!</definedName>
    <definedName name="цена___9___0___0___0_1">#REF!</definedName>
    <definedName name="цена___9___0___0_1" localSheetId="18">#REF!</definedName>
    <definedName name="цена___9___0___0_1">#REF!</definedName>
    <definedName name="цена___9___0___5" localSheetId="18">#REF!</definedName>
    <definedName name="цена___9___0___5">#REF!</definedName>
    <definedName name="цена___9___0___5_1" localSheetId="18">#REF!</definedName>
    <definedName name="цена___9___0___5_1">#REF!</definedName>
    <definedName name="цена___9___0_1" localSheetId="18">#REF!</definedName>
    <definedName name="цена___9___0_1">#REF!</definedName>
    <definedName name="цена___9___0_5" localSheetId="18">#REF!</definedName>
    <definedName name="цена___9___0_5">#REF!</definedName>
    <definedName name="цена___9___0_5_1" localSheetId="18">#REF!</definedName>
    <definedName name="цена___9___0_5_1">#REF!</definedName>
    <definedName name="цена___9___10" localSheetId="18">#REF!</definedName>
    <definedName name="цена___9___10">#REF!</definedName>
    <definedName name="цена___9___2" localSheetId="18">#REF!</definedName>
    <definedName name="цена___9___2">#REF!</definedName>
    <definedName name="цена___9___4" localSheetId="18">#REF!</definedName>
    <definedName name="цена___9___4">#REF!</definedName>
    <definedName name="цена___9___5" localSheetId="18">#REF!</definedName>
    <definedName name="цена___9___5">#REF!</definedName>
    <definedName name="цена___9___5_1" localSheetId="18">#REF!</definedName>
    <definedName name="цена___9___5_1">#REF!</definedName>
    <definedName name="цена___9___6" localSheetId="18">#REF!</definedName>
    <definedName name="цена___9___6">#REF!</definedName>
    <definedName name="цена___9___8" localSheetId="18">#REF!</definedName>
    <definedName name="цена___9___8">#REF!</definedName>
    <definedName name="цена___9_1" localSheetId="18">#REF!</definedName>
    <definedName name="цена___9_1">#REF!</definedName>
    <definedName name="цена___9_1_1" localSheetId="18">#REF!</definedName>
    <definedName name="цена___9_1_1">#REF!</definedName>
    <definedName name="цена___9_1_1_1" localSheetId="18">#REF!</definedName>
    <definedName name="цена___9_1_1_1">#REF!</definedName>
    <definedName name="цена___9_3" localSheetId="18">#REF!</definedName>
    <definedName name="цена___9_3">#REF!</definedName>
    <definedName name="цена___9_3_1" localSheetId="18">#REF!</definedName>
    <definedName name="цена___9_3_1">#REF!</definedName>
    <definedName name="цена___9_5" localSheetId="18">#REF!</definedName>
    <definedName name="цена___9_5">#REF!</definedName>
    <definedName name="цена___9_5_1" localSheetId="18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8">#REF!</definedName>
    <definedName name="Цена1">#REF!</definedName>
    <definedName name="ЦенаМашБур" localSheetId="18">[28]СмМашБур!#REF!</definedName>
    <definedName name="ЦенаМашБур">[28]СмМашБур!#REF!</definedName>
    <definedName name="ЦенаОбслед">[28]ОбмОбслЗемОд!$F$62</definedName>
    <definedName name="ЦенаРучБур" localSheetId="18">[28]СмРучБур!#REF!</definedName>
    <definedName name="ЦенаРучБур">[28]СмРучБур!#REF!</definedName>
    <definedName name="ЦенаШурфов" localSheetId="18">#REF!</definedName>
    <definedName name="ЦенаШурфов">#REF!</definedName>
    <definedName name="цуе" localSheetId="18" hidden="1">{#N/A,#N/A,TRUE,"Смета на пасс. обор. №1"}</definedName>
    <definedName name="цуе" hidden="1">{#N/A,#N/A,TRUE,"Смета на пасс. обор. №1"}</definedName>
    <definedName name="цук" localSheetId="18">#REF!</definedName>
    <definedName name="цук">#REF!</definedName>
    <definedName name="ццц" localSheetId="18">#REF!</definedName>
    <definedName name="ццц">#REF!</definedName>
    <definedName name="цы" localSheetId="18">#REF!</definedName>
    <definedName name="цы">#REF!</definedName>
    <definedName name="цы_1" localSheetId="18">#REF!</definedName>
    <definedName name="цы_1">#REF!</definedName>
    <definedName name="ч" localSheetId="18" hidden="1">{#N/A,#N/A,TRUE,"Смета на пасс. обор. №1"}</definedName>
    <definedName name="ч" hidden="1">{#N/A,#N/A,TRUE,"Смета на пасс. обор. №1"}</definedName>
    <definedName name="ч_1" localSheetId="18" hidden="1">{#N/A,#N/A,TRUE,"Смета на пасс. обор. №1"}</definedName>
    <definedName name="ч_1" hidden="1">{#N/A,#N/A,TRUE,"Смета на пасс. обор. №1"}</definedName>
    <definedName name="чс" localSheetId="18">#REF!</definedName>
    <definedName name="чс">#REF!</definedName>
    <definedName name="чсипа" localSheetId="18">[3]топография!#REF!</definedName>
    <definedName name="чсипа">[3]топография!#REF!</definedName>
    <definedName name="чть" localSheetId="18">#REF!</definedName>
    <definedName name="чть">#REF!</definedName>
    <definedName name="ш" localSheetId="18" hidden="1">{#N/A,#N/A,TRUE,"Смета на пасс. обор. №1"}</definedName>
    <definedName name="ш" hidden="1">{#N/A,#N/A,TRUE,"Смета на пасс. обор. №1"}</definedName>
    <definedName name="ш_1" localSheetId="18" hidden="1">{#N/A,#N/A,TRUE,"Смета на пасс. обор. №1"}</definedName>
    <definedName name="ш_1" hidden="1">{#N/A,#N/A,TRUE,"Смета на пасс. обор. №1"}</definedName>
    <definedName name="шгнкушгрдаы" localSheetId="18">#REF!</definedName>
    <definedName name="шгнкушгрдаы">#REF!</definedName>
    <definedName name="шгфуждлоэзшщ\ыфтм" localSheetId="18">#REF!</definedName>
    <definedName name="шгфуждлоэзшщ\ыфтм">#REF!</definedName>
    <definedName name="Шесть" localSheetId="18">#REF!</definedName>
    <definedName name="Шесть">#REF!</definedName>
    <definedName name="щщ" localSheetId="18">#REF!</definedName>
    <definedName name="щщ">#REF!</definedName>
    <definedName name="ъхз" localSheetId="18">#REF!</definedName>
    <definedName name="ъхз">#REF!</definedName>
    <definedName name="ы" localSheetId="18" hidden="1">{#N/A,#N/A,TRUE,"Смета на пасс. обор. №1"}</definedName>
    <definedName name="ы" hidden="1">{#N/A,#N/A,TRUE,"Смета на пасс. обор. №1"}</definedName>
    <definedName name="ы_1" localSheetId="18" hidden="1">{#N/A,#N/A,TRUE,"Смета на пасс. обор. №1"}</definedName>
    <definedName name="ы_1" hidden="1">{#N/A,#N/A,TRUE,"Смета на пасс. обор. №1"}</definedName>
    <definedName name="ЫВGGGGGGGGGGGGGGG" localSheetId="18">#REF!</definedName>
    <definedName name="ЫВGGGGGGGGGGGGGGG">#REF!</definedName>
    <definedName name="ыва" localSheetId="18" hidden="1">{#N/A,#N/A,TRUE,"Смета на пасс. обор. №1"}</definedName>
    <definedName name="ыва" hidden="1">{#N/A,#N/A,TRUE,"Смета на пасс. обор. №1"}</definedName>
    <definedName name="ыва_1" localSheetId="18" hidden="1">{#N/A,#N/A,TRUE,"Смета на пасс. обор. №1"}</definedName>
    <definedName name="ыва_1" hidden="1">{#N/A,#N/A,TRUE,"Смета на пасс. обор. №1"}</definedName>
    <definedName name="ыы" localSheetId="18">#REF!</definedName>
    <definedName name="ыы">#REF!</definedName>
    <definedName name="ыы_1" localSheetId="18">#REF!</definedName>
    <definedName name="ыы_1">#REF!</definedName>
    <definedName name="ыы_10" localSheetId="18">#REF!</definedName>
    <definedName name="ыы_10">#REF!</definedName>
    <definedName name="ыы_11" localSheetId="18">#REF!</definedName>
    <definedName name="ыы_11">#REF!</definedName>
    <definedName name="ыы_12" localSheetId="18">#REF!</definedName>
    <definedName name="ыы_12">#REF!</definedName>
    <definedName name="ыы_13" localSheetId="18">#REF!</definedName>
    <definedName name="ыы_13">#REF!</definedName>
    <definedName name="ыы_14" localSheetId="18">#REF!</definedName>
    <definedName name="ыы_14">#REF!</definedName>
    <definedName name="ыы_15" localSheetId="18">#REF!</definedName>
    <definedName name="ыы_15">#REF!</definedName>
    <definedName name="ыы_16" localSheetId="18">#REF!</definedName>
    <definedName name="ыы_16">#REF!</definedName>
    <definedName name="ыы_17" localSheetId="18">#REF!</definedName>
    <definedName name="ыы_17">#REF!</definedName>
    <definedName name="ыы_18" localSheetId="18">#REF!</definedName>
    <definedName name="ыы_18">#REF!</definedName>
    <definedName name="ыы_19" localSheetId="18">#REF!</definedName>
    <definedName name="ыы_19">#REF!</definedName>
    <definedName name="ыы_2" localSheetId="18">#REF!</definedName>
    <definedName name="ыы_2">#REF!</definedName>
    <definedName name="ыы_20" localSheetId="18">#REF!</definedName>
    <definedName name="ыы_20">#REF!</definedName>
    <definedName name="ыы_21" localSheetId="18">#REF!</definedName>
    <definedName name="ыы_21">#REF!</definedName>
    <definedName name="ыы_49" localSheetId="18">#REF!</definedName>
    <definedName name="ыы_49">#REF!</definedName>
    <definedName name="ыы_50" localSheetId="18">#REF!</definedName>
    <definedName name="ыы_50">#REF!</definedName>
    <definedName name="ыы_51" localSheetId="18">#REF!</definedName>
    <definedName name="ыы_51">#REF!</definedName>
    <definedName name="ыы_52" localSheetId="18">#REF!</definedName>
    <definedName name="ыы_52">#REF!</definedName>
    <definedName name="ыы_53" localSheetId="18">#REF!</definedName>
    <definedName name="ыы_53">#REF!</definedName>
    <definedName name="ыы_54" localSheetId="18">#REF!</definedName>
    <definedName name="ыы_54">#REF!</definedName>
    <definedName name="ыы_6" localSheetId="18">#REF!</definedName>
    <definedName name="ыы_6">#REF!</definedName>
    <definedName name="ыы_7" localSheetId="18">#REF!</definedName>
    <definedName name="ыы_7">#REF!</definedName>
    <definedName name="ыы_8" localSheetId="18">#REF!</definedName>
    <definedName name="ыы_8">#REF!</definedName>
    <definedName name="ыы_9" localSheetId="18">#REF!</definedName>
    <definedName name="ыы_9">#REF!</definedName>
    <definedName name="ыыы" localSheetId="18">#REF!</definedName>
    <definedName name="ыыы">#REF!</definedName>
    <definedName name="э1" localSheetId="18">#REF!</definedName>
    <definedName name="э1">#REF!</definedName>
    <definedName name="эж" localSheetId="18">#REF!</definedName>
    <definedName name="эж">#REF!</definedName>
    <definedName name="эж_1" localSheetId="18">#REF!</definedName>
    <definedName name="эж_1">#REF!</definedName>
    <definedName name="эж_10" localSheetId="18">#REF!</definedName>
    <definedName name="эж_10">#REF!</definedName>
    <definedName name="эж_11" localSheetId="18">#REF!</definedName>
    <definedName name="эж_11">#REF!</definedName>
    <definedName name="эж_12" localSheetId="18">#REF!</definedName>
    <definedName name="эж_12">#REF!</definedName>
    <definedName name="эж_13" localSheetId="18">#REF!</definedName>
    <definedName name="эж_13">#REF!</definedName>
    <definedName name="эж_14" localSheetId="18">#REF!</definedName>
    <definedName name="эж_14">#REF!</definedName>
    <definedName name="эж_15" localSheetId="18">#REF!</definedName>
    <definedName name="эж_15">#REF!</definedName>
    <definedName name="эж_16" localSheetId="18">#REF!</definedName>
    <definedName name="эж_16">#REF!</definedName>
    <definedName name="эж_17" localSheetId="18">#REF!</definedName>
    <definedName name="эж_17">#REF!</definedName>
    <definedName name="эж_18" localSheetId="18">#REF!</definedName>
    <definedName name="эж_18">#REF!</definedName>
    <definedName name="эж_19" localSheetId="18">#REF!</definedName>
    <definedName name="эж_19">#REF!</definedName>
    <definedName name="эж_2" localSheetId="18">#REF!</definedName>
    <definedName name="эж_2">#REF!</definedName>
    <definedName name="эж_20" localSheetId="18">#REF!</definedName>
    <definedName name="эж_20">#REF!</definedName>
    <definedName name="эж_21" localSheetId="18">#REF!</definedName>
    <definedName name="эж_21">#REF!</definedName>
    <definedName name="эж_49" localSheetId="18">#REF!</definedName>
    <definedName name="эж_49">#REF!</definedName>
    <definedName name="эж_50" localSheetId="18">#REF!</definedName>
    <definedName name="эж_50">#REF!</definedName>
    <definedName name="эж_51" localSheetId="18">#REF!</definedName>
    <definedName name="эж_51">#REF!</definedName>
    <definedName name="эж_52" localSheetId="18">#REF!</definedName>
    <definedName name="эж_52">#REF!</definedName>
    <definedName name="эж_53" localSheetId="18">#REF!</definedName>
    <definedName name="эж_53">#REF!</definedName>
    <definedName name="эж_54" localSheetId="18">#REF!</definedName>
    <definedName name="эж_54">#REF!</definedName>
    <definedName name="эж_6" localSheetId="18">#REF!</definedName>
    <definedName name="эж_6">#REF!</definedName>
    <definedName name="эж_7" localSheetId="18">#REF!</definedName>
    <definedName name="эж_7">#REF!</definedName>
    <definedName name="эж_8" localSheetId="18">#REF!</definedName>
    <definedName name="эж_8">#REF!</definedName>
    <definedName name="эж_9" localSheetId="18">#REF!</definedName>
    <definedName name="эж_9">#REF!</definedName>
    <definedName name="эк" localSheetId="18">#REF!</definedName>
    <definedName name="эк">#REF!</definedName>
    <definedName name="эк1" localSheetId="18">#REF!</definedName>
    <definedName name="эк1">#REF!</definedName>
    <definedName name="эко" localSheetId="18">#REF!</definedName>
    <definedName name="эко">#REF!</definedName>
    <definedName name="эко___0" localSheetId="18">#REF!</definedName>
    <definedName name="эко___0">#REF!</definedName>
    <definedName name="эко___0_1" localSheetId="18">#REF!</definedName>
    <definedName name="эко___0_1">#REF!</definedName>
    <definedName name="эко_1" localSheetId="18">#REF!</definedName>
    <definedName name="эко_1">#REF!</definedName>
    <definedName name="эко_5" localSheetId="18">#REF!</definedName>
    <definedName name="эко_5">#REF!</definedName>
    <definedName name="эко_5_1" localSheetId="18">#REF!</definedName>
    <definedName name="эко_5_1">#REF!</definedName>
    <definedName name="эко1" localSheetId="18">#REF!</definedName>
    <definedName name="эко1">#REF!</definedName>
    <definedName name="экол.1" localSheetId="18">[3]топография!#REF!</definedName>
    <definedName name="экол.1">[3]топография!#REF!</definedName>
    <definedName name="экол1" localSheetId="18">#REF!</definedName>
    <definedName name="экол1">#REF!</definedName>
    <definedName name="экол2" localSheetId="18">#REF!</definedName>
    <definedName name="экол2">#REF!</definedName>
    <definedName name="Экол3" localSheetId="18">#REF!</definedName>
    <definedName name="Экол3">#REF!</definedName>
    <definedName name="эколог" localSheetId="18">#REF!</definedName>
    <definedName name="эколог">#REF!</definedName>
    <definedName name="экология">NA()</definedName>
    <definedName name="экологияч" localSheetId="18">#REF!</definedName>
    <definedName name="экологияч">#REF!</definedName>
    <definedName name="эл" localSheetId="18" hidden="1">{#N/A,#N/A,TRUE,"Смета на пасс. обор. №1"}</definedName>
    <definedName name="эл" hidden="1">{#N/A,#N/A,TRUE,"Смета на пасс. обор. №1"}</definedName>
    <definedName name="эл_1" localSheetId="18" hidden="1">{#N/A,#N/A,TRUE,"Смета на пасс. обор. №1"}</definedName>
    <definedName name="эл_1" hidden="1">{#N/A,#N/A,TRUE,"Смета на пасс. обор. №1"}</definedName>
    <definedName name="эмс" localSheetId="18">[3]топография!#REF!</definedName>
    <definedName name="эмс">[3]топография!#REF!</definedName>
    <definedName name="ю" localSheetId="18">#REF!</definedName>
    <definedName name="ю">#REF!</definedName>
    <definedName name="юб" localSheetId="18">#REF!</definedName>
    <definedName name="юб">#REF!</definedName>
    <definedName name="ЮФУ" localSheetId="18">#REF!</definedName>
    <definedName name="ЮФУ">#REF!</definedName>
    <definedName name="ЮФУ2" localSheetId="18">#REF!</definedName>
    <definedName name="ЮФУ2">#REF!</definedName>
    <definedName name="ююю" localSheetId="18" hidden="1">{#N/A,#N/A,TRUE,"Смета на пасс. обор. №1"}</definedName>
    <definedName name="ююю" hidden="1">{#N/A,#N/A,TRUE,"Смета на пасс. обор. №1"}</definedName>
    <definedName name="ююю_1" localSheetId="18" hidden="1">{#N/A,#N/A,TRUE,"Смета на пасс. обор. №1"}</definedName>
    <definedName name="ююю_1" hidden="1">{#N/A,#N/A,TRUE,"Смета на пасс. обор. №1"}</definedName>
    <definedName name="я" localSheetId="18">[50]ОбмОбслЗемОд!$E$28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24" i="47" l="1"/>
  <c r="D24" i="47"/>
  <c r="C24" i="47"/>
  <c r="B19" i="50" l="1"/>
  <c r="B16" i="50"/>
  <c r="D26" i="13"/>
  <c r="F26" i="13"/>
  <c r="F25" i="13"/>
  <c r="D25" i="13"/>
  <c r="G26" i="13" l="1"/>
  <c r="E21" i="13" l="1"/>
  <c r="K48" i="97" l="1"/>
  <c r="I48" i="97"/>
  <c r="K47" i="97" l="1"/>
  <c r="I47" i="97"/>
  <c r="J47" i="97" s="1"/>
  <c r="K40" i="97"/>
  <c r="I40" i="97"/>
  <c r="J40" i="97" s="1"/>
  <c r="G23" i="98"/>
  <c r="G24" i="98" s="1"/>
  <c r="F22" i="98"/>
  <c r="G22" i="98" s="1"/>
  <c r="K44" i="97"/>
  <c r="I44" i="97"/>
  <c r="J44" i="97" s="1"/>
  <c r="K42" i="97"/>
  <c r="I42" i="97"/>
  <c r="J42" i="97" s="1"/>
  <c r="K41" i="97"/>
  <c r="I41" i="97"/>
  <c r="J41" i="97" s="1"/>
  <c r="D41" i="97"/>
  <c r="K39" i="97"/>
  <c r="I39" i="97"/>
  <c r="J39" i="97" s="1"/>
  <c r="K43" i="97"/>
  <c r="I43" i="97"/>
  <c r="J43" i="97" s="1"/>
  <c r="K45" i="97"/>
  <c r="I45" i="97"/>
  <c r="J45" i="97" s="1"/>
  <c r="L39" i="97" l="1"/>
  <c r="M39" i="97" s="1"/>
  <c r="L42" i="97"/>
  <c r="M42" i="97" s="1"/>
  <c r="L47" i="97"/>
  <c r="M47" i="97" s="1"/>
  <c r="L40" i="97"/>
  <c r="M40" i="97" s="1"/>
  <c r="L44" i="97"/>
  <c r="M44" i="97" s="1"/>
  <c r="L41" i="97"/>
  <c r="M41" i="97" s="1"/>
  <c r="L43" i="97"/>
  <c r="M43" i="97" s="1"/>
  <c r="L45" i="97"/>
  <c r="M45" i="97" s="1"/>
  <c r="I49" i="97" l="1"/>
  <c r="J49" i="97" s="1"/>
  <c r="K49" i="97"/>
  <c r="D49" i="97"/>
  <c r="G17" i="98"/>
  <c r="F16" i="98"/>
  <c r="L49" i="97" l="1"/>
  <c r="M49" i="97" s="1"/>
  <c r="G9" i="98" l="1"/>
  <c r="F9" i="98"/>
  <c r="I18" i="97"/>
  <c r="J18" i="97" s="1"/>
  <c r="K18" i="97"/>
  <c r="K16" i="97"/>
  <c r="K46" i="97"/>
  <c r="K20" i="97"/>
  <c r="K19" i="97"/>
  <c r="K17" i="97"/>
  <c r="K15" i="97"/>
  <c r="K13" i="97"/>
  <c r="K12" i="97"/>
  <c r="K11" i="97"/>
  <c r="K10" i="97"/>
  <c r="K9" i="97"/>
  <c r="K8" i="97"/>
  <c r="K7" i="97"/>
  <c r="A2" i="97" l="1"/>
  <c r="I46" i="97"/>
  <c r="J46" i="97" s="1"/>
  <c r="J48" i="97"/>
  <c r="L48" i="97" s="1"/>
  <c r="M48" i="97" s="1"/>
  <c r="D11" i="97"/>
  <c r="F27" i="13"/>
  <c r="F24" i="13" l="1"/>
  <c r="A9" i="50" l="1"/>
  <c r="F32" i="50"/>
  <c r="F43" i="50" l="1"/>
  <c r="D43" i="50"/>
  <c r="F41" i="50"/>
  <c r="D41" i="50"/>
  <c r="F39" i="50"/>
  <c r="D39" i="50"/>
  <c r="F35" i="50"/>
  <c r="F36" i="50"/>
  <c r="F37" i="50" s="1"/>
  <c r="F46" i="50" l="1"/>
  <c r="C46" i="50"/>
  <c r="F45" i="50"/>
  <c r="C45" i="50"/>
  <c r="F44" i="50"/>
  <c r="F47" i="50" s="1"/>
  <c r="C44" i="50"/>
  <c r="C47" i="50" l="1"/>
  <c r="L17" i="102" l="1"/>
  <c r="D50" i="101"/>
  <c r="L50" i="101"/>
  <c r="C5" i="47" l="1"/>
  <c r="A29" i="51"/>
  <c r="G84" i="97" l="1"/>
  <c r="E20" i="13" l="1"/>
  <c r="A5" i="104"/>
  <c r="A3" i="103"/>
  <c r="C6" i="100"/>
  <c r="A3" i="87"/>
  <c r="C12" i="87"/>
  <c r="D9" i="87"/>
  <c r="D8" i="87"/>
  <c r="D5" i="87"/>
  <c r="G20" i="107"/>
  <c r="G21" i="107" s="1"/>
  <c r="G19" i="107"/>
  <c r="F19" i="107"/>
  <c r="G18" i="107"/>
  <c r="F18" i="107"/>
  <c r="G17" i="107"/>
  <c r="F17" i="107"/>
  <c r="G16" i="107"/>
  <c r="F16" i="107"/>
  <c r="G15" i="107"/>
  <c r="F15" i="107"/>
  <c r="G14" i="107"/>
  <c r="F14" i="107"/>
  <c r="G13" i="107"/>
  <c r="F13" i="107"/>
  <c r="G12" i="107"/>
  <c r="F12" i="107"/>
  <c r="G27" i="106"/>
  <c r="F27" i="106"/>
  <c r="G22" i="106"/>
  <c r="G21" i="106"/>
  <c r="G20" i="106"/>
  <c r="G19" i="106"/>
  <c r="G14" i="106"/>
  <c r="G13" i="106"/>
  <c r="E15" i="106" s="1"/>
  <c r="G15" i="106" s="1"/>
  <c r="G12" i="106"/>
  <c r="G11" i="106"/>
  <c r="E16" i="106" s="1"/>
  <c r="G16" i="106" s="1"/>
  <c r="G17" i="106" s="1"/>
  <c r="G23" i="106" s="1"/>
  <c r="G24" i="106" s="1"/>
  <c r="G25" i="106" s="1"/>
  <c r="G28" i="106" s="1"/>
  <c r="C11" i="87" s="1"/>
  <c r="E19" i="13" s="1"/>
  <c r="G10" i="106"/>
  <c r="E70" i="105"/>
  <c r="E69" i="105"/>
  <c r="E71" i="105" s="1"/>
  <c r="E68" i="105"/>
  <c r="G59" i="105"/>
  <c r="E59" i="105"/>
  <c r="G58" i="105"/>
  <c r="E58" i="105"/>
  <c r="E57" i="105"/>
  <c r="G57" i="105" s="1"/>
  <c r="G56" i="105"/>
  <c r="E56" i="105"/>
  <c r="G55" i="105"/>
  <c r="E55" i="105"/>
  <c r="G54" i="105"/>
  <c r="E51" i="105"/>
  <c r="G51" i="105" s="1"/>
  <c r="E50" i="105"/>
  <c r="G50" i="105" s="1"/>
  <c r="F49" i="105"/>
  <c r="E49" i="105"/>
  <c r="G49" i="105" s="1"/>
  <c r="G47" i="105"/>
  <c r="E47" i="105"/>
  <c r="E40" i="105"/>
  <c r="G40" i="105" s="1"/>
  <c r="E36" i="105"/>
  <c r="E38" i="105" s="1"/>
  <c r="G38" i="105" s="1"/>
  <c r="G24" i="105"/>
  <c r="G23" i="105"/>
  <c r="G22" i="105"/>
  <c r="G21" i="105"/>
  <c r="G20" i="105"/>
  <c r="G19" i="105"/>
  <c r="G18" i="105"/>
  <c r="G17" i="105"/>
  <c r="G16" i="105"/>
  <c r="G15" i="105"/>
  <c r="G14" i="105"/>
  <c r="G25" i="105" s="1"/>
  <c r="F27" i="105" s="1"/>
  <c r="G27" i="105" s="1"/>
  <c r="J40" i="104"/>
  <c r="J39" i="104"/>
  <c r="J41" i="104" s="1"/>
  <c r="J42" i="104" s="1"/>
  <c r="J38" i="104"/>
  <c r="J37" i="104"/>
  <c r="J36" i="104"/>
  <c r="J35" i="104"/>
  <c r="J34" i="104"/>
  <c r="J33" i="104"/>
  <c r="J32" i="104"/>
  <c r="J31" i="104"/>
  <c r="J30" i="104"/>
  <c r="J29" i="104"/>
  <c r="J28" i="104"/>
  <c r="J27" i="104"/>
  <c r="J26" i="104"/>
  <c r="E26" i="104"/>
  <c r="J25" i="104"/>
  <c r="E25" i="104"/>
  <c r="J18" i="104"/>
  <c r="J17" i="104"/>
  <c r="J16" i="104"/>
  <c r="J15" i="104"/>
  <c r="I46" i="103"/>
  <c r="I45" i="103"/>
  <c r="I44" i="103"/>
  <c r="J40" i="103"/>
  <c r="J39" i="103"/>
  <c r="I39" i="103"/>
  <c r="J38" i="103"/>
  <c r="I38" i="103"/>
  <c r="J37" i="103"/>
  <c r="I37" i="103"/>
  <c r="J36" i="103"/>
  <c r="I36" i="103"/>
  <c r="J35" i="103"/>
  <c r="I35" i="103"/>
  <c r="J34" i="103"/>
  <c r="I34" i="103"/>
  <c r="J33" i="103"/>
  <c r="I33" i="103"/>
  <c r="J32" i="103"/>
  <c r="I32" i="103"/>
  <c r="J31" i="103"/>
  <c r="I31" i="103"/>
  <c r="J30" i="103"/>
  <c r="I30" i="103"/>
  <c r="J29" i="103"/>
  <c r="I29" i="103"/>
  <c r="J28" i="103"/>
  <c r="I28" i="103"/>
  <c r="J27" i="103"/>
  <c r="I27" i="103"/>
  <c r="J26" i="103"/>
  <c r="I26" i="103"/>
  <c r="J25" i="103"/>
  <c r="I25" i="103"/>
  <c r="J24" i="103"/>
  <c r="I24" i="103"/>
  <c r="D24" i="103"/>
  <c r="I23" i="103"/>
  <c r="J23" i="103" s="1"/>
  <c r="D23" i="103"/>
  <c r="I22" i="103"/>
  <c r="J22" i="103" s="1"/>
  <c r="D22" i="103"/>
  <c r="I21" i="103"/>
  <c r="J21" i="103" s="1"/>
  <c r="D21" i="103"/>
  <c r="C21" i="103"/>
  <c r="B21" i="103"/>
  <c r="J18" i="103"/>
  <c r="I18" i="103"/>
  <c r="J17" i="103"/>
  <c r="I17" i="103"/>
  <c r="J16" i="103"/>
  <c r="I16" i="103"/>
  <c r="J15" i="103"/>
  <c r="I15" i="103"/>
  <c r="J14" i="103"/>
  <c r="I14" i="103"/>
  <c r="J13" i="103"/>
  <c r="I13" i="103"/>
  <c r="J12" i="103"/>
  <c r="J19" i="103" s="1"/>
  <c r="I12" i="103"/>
  <c r="J11" i="103"/>
  <c r="I11" i="103"/>
  <c r="L25" i="102"/>
  <c r="L24" i="102"/>
  <c r="L23" i="102"/>
  <c r="D26" i="102" s="1"/>
  <c r="L26" i="102" s="1"/>
  <c r="L27" i="102" s="1"/>
  <c r="L16" i="102"/>
  <c r="L15" i="102"/>
  <c r="L14" i="102"/>
  <c r="L13" i="102"/>
  <c r="L64" i="101"/>
  <c r="L57" i="101"/>
  <c r="L52" i="101"/>
  <c r="L51" i="101"/>
  <c r="L49" i="101"/>
  <c r="E49" i="101"/>
  <c r="D48" i="101"/>
  <c r="L48" i="101" s="1"/>
  <c r="D47" i="101"/>
  <c r="L47" i="101" s="1"/>
  <c r="L44" i="101"/>
  <c r="D54" i="101" s="1"/>
  <c r="L54" i="101" s="1"/>
  <c r="L43" i="101"/>
  <c r="D56" i="101" s="1"/>
  <c r="L56" i="101" s="1"/>
  <c r="L42" i="101"/>
  <c r="L41" i="101"/>
  <c r="L40" i="101"/>
  <c r="L39" i="101"/>
  <c r="L38" i="101"/>
  <c r="L37" i="101"/>
  <c r="L36" i="101"/>
  <c r="L35" i="101"/>
  <c r="L34" i="101"/>
  <c r="L33" i="101"/>
  <c r="L32" i="101"/>
  <c r="L26" i="101"/>
  <c r="L25" i="101"/>
  <c r="L24" i="101"/>
  <c r="L23" i="101"/>
  <c r="L22" i="101"/>
  <c r="L21" i="101"/>
  <c r="L20" i="101"/>
  <c r="L19" i="101"/>
  <c r="L18" i="101"/>
  <c r="L17" i="101"/>
  <c r="L16" i="101"/>
  <c r="L15" i="101"/>
  <c r="L14" i="101"/>
  <c r="L13" i="101"/>
  <c r="L12" i="101"/>
  <c r="L11" i="101"/>
  <c r="N82" i="100"/>
  <c r="I82" i="100"/>
  <c r="E82" i="100"/>
  <c r="N80" i="100"/>
  <c r="I80" i="100"/>
  <c r="E80" i="100"/>
  <c r="I77" i="100"/>
  <c r="J74" i="100"/>
  <c r="I74" i="100"/>
  <c r="J71" i="100"/>
  <c r="G71" i="100"/>
  <c r="N66" i="100"/>
  <c r="E67" i="100" s="1"/>
  <c r="D62" i="100"/>
  <c r="N61" i="100"/>
  <c r="M61" i="100"/>
  <c r="K61" i="100"/>
  <c r="I61" i="100"/>
  <c r="G61" i="100"/>
  <c r="E61" i="100"/>
  <c r="D57" i="100"/>
  <c r="N56" i="100"/>
  <c r="M56" i="100"/>
  <c r="K56" i="100"/>
  <c r="I56" i="100"/>
  <c r="G56" i="100"/>
  <c r="E56" i="100"/>
  <c r="N52" i="100"/>
  <c r="I52" i="100"/>
  <c r="G52" i="100"/>
  <c r="E52" i="100"/>
  <c r="N48" i="100"/>
  <c r="I48" i="100"/>
  <c r="G48" i="100"/>
  <c r="E48" i="100"/>
  <c r="N44" i="100"/>
  <c r="I44" i="100"/>
  <c r="G44" i="100"/>
  <c r="E44" i="100"/>
  <c r="N40" i="100"/>
  <c r="K40" i="100"/>
  <c r="I40" i="100"/>
  <c r="G40" i="100"/>
  <c r="E40" i="100"/>
  <c r="N38" i="100"/>
  <c r="N71" i="100" s="1"/>
  <c r="N33" i="100"/>
  <c r="K33" i="100"/>
  <c r="I33" i="100"/>
  <c r="G33" i="100"/>
  <c r="E33" i="100"/>
  <c r="N28" i="100"/>
  <c r="K28" i="100"/>
  <c r="I28" i="100"/>
  <c r="G28" i="100"/>
  <c r="E28" i="100"/>
  <c r="N24" i="100"/>
  <c r="K24" i="100"/>
  <c r="I24" i="100"/>
  <c r="G24" i="100"/>
  <c r="E24" i="100"/>
  <c r="N20" i="100"/>
  <c r="K20" i="100"/>
  <c r="I20" i="100"/>
  <c r="G20" i="100"/>
  <c r="E20" i="100"/>
  <c r="L18" i="102" l="1"/>
  <c r="F19" i="102" s="1"/>
  <c r="L19" i="102" s="1"/>
  <c r="F20" i="102" s="1"/>
  <c r="L20" i="102" s="1"/>
  <c r="D53" i="101"/>
  <c r="L53" i="101" s="1"/>
  <c r="D55" i="101"/>
  <c r="L55" i="101" s="1"/>
  <c r="L45" i="101"/>
  <c r="L27" i="101"/>
  <c r="E43" i="105"/>
  <c r="G43" i="105" s="1"/>
  <c r="G52" i="105" s="1"/>
  <c r="E60" i="105" s="1"/>
  <c r="G60" i="105" s="1"/>
  <c r="E39" i="105"/>
  <c r="G39" i="105" s="1"/>
  <c r="E44" i="105"/>
  <c r="G44" i="105" s="1"/>
  <c r="E45" i="105"/>
  <c r="G45" i="105" s="1"/>
  <c r="G36" i="105"/>
  <c r="E41" i="105"/>
  <c r="G41" i="105" s="1"/>
  <c r="E37" i="105"/>
  <c r="G37" i="105" s="1"/>
  <c r="E42" i="105"/>
  <c r="G42" i="105" s="1"/>
  <c r="E76" i="100"/>
  <c r="E79" i="100"/>
  <c r="F44" i="103"/>
  <c r="J41" i="103"/>
  <c r="J42" i="103" s="1"/>
  <c r="D41" i="103"/>
  <c r="D40" i="103"/>
  <c r="F21" i="104"/>
  <c r="D58" i="101"/>
  <c r="G22" i="107"/>
  <c r="N69" i="100"/>
  <c r="G23" i="107"/>
  <c r="E74" i="100"/>
  <c r="N67" i="100"/>
  <c r="E71" i="100"/>
  <c r="N74" i="100"/>
  <c r="F20" i="104"/>
  <c r="J20" i="104" s="1"/>
  <c r="G24" i="107"/>
  <c r="F29" i="105"/>
  <c r="G29" i="105" s="1"/>
  <c r="F30" i="105" s="1"/>
  <c r="E77" i="100"/>
  <c r="F26" i="105"/>
  <c r="G26" i="105" s="1"/>
  <c r="D28" i="101" l="1"/>
  <c r="L28" i="101" s="1"/>
  <c r="G61" i="105"/>
  <c r="F62" i="105"/>
  <c r="G62" i="105" s="1"/>
  <c r="N85" i="100"/>
  <c r="N86" i="100" s="1"/>
  <c r="F46" i="103"/>
  <c r="J46" i="103" s="1"/>
  <c r="F45" i="103"/>
  <c r="J45" i="103" s="1"/>
  <c r="J44" i="103"/>
  <c r="J21" i="104"/>
  <c r="J23" i="104" s="1"/>
  <c r="J43" i="104" s="1"/>
  <c r="F22" i="104"/>
  <c r="J22" i="104" s="1"/>
  <c r="G25" i="107"/>
  <c r="F28" i="105"/>
  <c r="G28" i="105" s="1"/>
  <c r="F31" i="105"/>
  <c r="G31" i="105" s="1"/>
  <c r="G30" i="105"/>
  <c r="L58" i="101"/>
  <c r="L59" i="101" s="1"/>
  <c r="G77" i="100"/>
  <c r="G74" i="100"/>
  <c r="L21" i="102"/>
  <c r="N77" i="100"/>
  <c r="D29" i="101" l="1"/>
  <c r="L29" i="101" s="1"/>
  <c r="L30" i="101"/>
  <c r="D61" i="101" s="1"/>
  <c r="L61" i="101" s="1"/>
  <c r="D62" i="101" s="1"/>
  <c r="L62" i="101" s="1"/>
  <c r="G63" i="105"/>
  <c r="G32" i="105"/>
  <c r="G33" i="105" s="1"/>
  <c r="G64" i="105" s="1"/>
  <c r="J44" i="104"/>
  <c r="J45" i="104" s="1"/>
  <c r="G26" i="107"/>
  <c r="G27" i="107" s="1"/>
  <c r="J47" i="103"/>
  <c r="J48" i="103" s="1"/>
  <c r="E87" i="100"/>
  <c r="N87" i="100" s="1"/>
  <c r="N88" i="100" s="1"/>
  <c r="N89" i="100" s="1"/>
  <c r="C5" i="87" s="1"/>
  <c r="E13" i="13" s="1"/>
  <c r="D29" i="102"/>
  <c r="L29" i="102" s="1"/>
  <c r="D31" i="102" s="1"/>
  <c r="L31" i="102" s="1"/>
  <c r="D33" i="102" l="1"/>
  <c r="L33" i="102" s="1"/>
  <c r="D30" i="102"/>
  <c r="D63" i="101"/>
  <c r="L63" i="101" s="1"/>
  <c r="L65" i="101" s="1"/>
  <c r="L66" i="101" s="1"/>
  <c r="L67" i="101" s="1"/>
  <c r="L68" i="101" s="1"/>
  <c r="L69" i="101" s="1"/>
  <c r="L70" i="101" s="1"/>
  <c r="G65" i="105"/>
  <c r="G74" i="105" s="1"/>
  <c r="G73" i="105"/>
  <c r="C10" i="87" s="1"/>
  <c r="E18" i="13" s="1"/>
  <c r="J46" i="104"/>
  <c r="C9" i="87"/>
  <c r="E17" i="13" s="1"/>
  <c r="N90" i="100"/>
  <c r="M91" i="100" s="1"/>
  <c r="L91" i="100"/>
  <c r="J49" i="103"/>
  <c r="J50" i="103" s="1"/>
  <c r="D32" i="102"/>
  <c r="L32" i="102" s="1"/>
  <c r="L30" i="102"/>
  <c r="L34" i="102" l="1"/>
  <c r="L35" i="102" s="1"/>
  <c r="L36" i="102" s="1"/>
  <c r="C7" i="87" s="1"/>
  <c r="E15" i="13" s="1"/>
  <c r="D6" i="87"/>
  <c r="C6" i="87"/>
  <c r="E14" i="13" s="1"/>
  <c r="J51" i="103"/>
  <c r="J52" i="103" s="1"/>
  <c r="C8" i="87"/>
  <c r="E16" i="13" s="1"/>
  <c r="L37" i="102" l="1"/>
  <c r="L38" i="102" s="1"/>
  <c r="I83" i="97"/>
  <c r="J83" i="97" s="1"/>
  <c r="I82" i="97"/>
  <c r="J82" i="97" s="1"/>
  <c r="F11" i="98" l="1"/>
  <c r="G11" i="98" l="1"/>
  <c r="I16" i="97"/>
  <c r="J16" i="97" s="1"/>
  <c r="I13" i="97"/>
  <c r="J13" i="97" s="1"/>
  <c r="L13" i="97" l="1"/>
  <c r="M13" i="97" s="1"/>
  <c r="I74" i="97"/>
  <c r="J74" i="97" s="1"/>
  <c r="I9" i="97"/>
  <c r="J9" i="97" s="1"/>
  <c r="D77" i="97" l="1"/>
  <c r="G77" i="97"/>
  <c r="I77" i="97" s="1"/>
  <c r="J77" i="97" l="1"/>
  <c r="J85" i="97" l="1"/>
  <c r="I12" i="97"/>
  <c r="J12" i="97" s="1"/>
  <c r="I84" i="97"/>
  <c r="J84" i="97" s="1"/>
  <c r="L12" i="97" l="1"/>
  <c r="M12" i="97" s="1"/>
  <c r="I8" i="97"/>
  <c r="J8" i="97" s="1"/>
  <c r="I87" i="97"/>
  <c r="J87" i="97" s="1"/>
  <c r="I17" i="97"/>
  <c r="J17" i="97" s="1"/>
  <c r="I11" i="97"/>
  <c r="D85" i="97"/>
  <c r="I81" i="97"/>
  <c r="J81" i="97" s="1"/>
  <c r="K80" i="97"/>
  <c r="I80" i="97"/>
  <c r="J80" i="97" s="1"/>
  <c r="J11" i="97" l="1"/>
  <c r="L80" i="97"/>
  <c r="M80" i="97" s="1"/>
  <c r="G3" i="98" l="1"/>
  <c r="L46" i="97"/>
  <c r="M46" i="97" s="1"/>
  <c r="K81" i="97"/>
  <c r="L81" i="97" s="1"/>
  <c r="M81" i="97" s="1"/>
  <c r="I20" i="97"/>
  <c r="J20" i="97" s="1"/>
  <c r="I19" i="97"/>
  <c r="J19" i="97" s="1"/>
  <c r="I15" i="97"/>
  <c r="J15" i="97" s="1"/>
  <c r="I86" i="97"/>
  <c r="J86" i="97" s="1"/>
  <c r="I79" i="97"/>
  <c r="J79" i="97" s="1"/>
  <c r="K78" i="97"/>
  <c r="I78" i="97"/>
  <c r="J78" i="97" s="1"/>
  <c r="I10" i="97"/>
  <c r="J10" i="97" s="1"/>
  <c r="I7" i="97"/>
  <c r="J7" i="97" s="1"/>
  <c r="L16" i="97" l="1"/>
  <c r="K83" i="97"/>
  <c r="L83" i="97" s="1"/>
  <c r="M83" i="97" s="1"/>
  <c r="K82" i="97"/>
  <c r="L82" i="97" s="1"/>
  <c r="M82" i="97" s="1"/>
  <c r="L18" i="97"/>
  <c r="M18" i="97" s="1"/>
  <c r="L19" i="97"/>
  <c r="M19" i="97" s="1"/>
  <c r="K87" i="97"/>
  <c r="L87" i="97" s="1"/>
  <c r="M87" i="97" s="1"/>
  <c r="L17" i="97"/>
  <c r="M17" i="97" s="1"/>
  <c r="L15" i="97"/>
  <c r="K74" i="97"/>
  <c r="L74" i="97" s="1"/>
  <c r="M74" i="97" s="1"/>
  <c r="K85" i="97"/>
  <c r="L85" i="97" s="1"/>
  <c r="K86" i="97"/>
  <c r="L86" i="97" s="1"/>
  <c r="M86" i="97" s="1"/>
  <c r="L10" i="97"/>
  <c r="M10" i="97" s="1"/>
  <c r="L11" i="97"/>
  <c r="M11" i="97" s="1"/>
  <c r="K77" i="97"/>
  <c r="L77" i="97" s="1"/>
  <c r="M77" i="97" s="1"/>
  <c r="L8" i="97"/>
  <c r="M8" i="97" s="1"/>
  <c r="L9" i="97"/>
  <c r="M9" i="97" s="1"/>
  <c r="L7" i="97"/>
  <c r="K84" i="97"/>
  <c r="K79" i="97"/>
  <c r="L79" i="97" s="1"/>
  <c r="M79" i="97" s="1"/>
  <c r="L78" i="97"/>
  <c r="M78" i="97" s="1"/>
  <c r="L20" i="97"/>
  <c r="M16" i="97" l="1"/>
  <c r="L50" i="97"/>
  <c r="L84" i="97"/>
  <c r="M84" i="97" s="1"/>
  <c r="T84" i="97"/>
  <c r="M85" i="97"/>
  <c r="M20" i="97"/>
  <c r="M15" i="97"/>
  <c r="M7" i="97"/>
  <c r="G27" i="13"/>
  <c r="M50" i="97" l="1"/>
  <c r="D19" i="50"/>
  <c r="F19" i="50" l="1"/>
  <c r="G19" i="50" s="1"/>
  <c r="D13" i="87" l="1"/>
  <c r="B15" i="50" s="1"/>
  <c r="D15" i="50" s="1"/>
  <c r="G21" i="13" l="1"/>
  <c r="G25" i="13"/>
  <c r="C13" i="87" l="1"/>
  <c r="G19" i="13" l="1"/>
  <c r="G20" i="13"/>
  <c r="E21" i="67" l="1"/>
  <c r="G21" i="67" s="1"/>
  <c r="G15" i="67"/>
  <c r="E15" i="67"/>
  <c r="G14" i="67"/>
  <c r="E14" i="67"/>
  <c r="G13" i="67"/>
  <c r="G12" i="67"/>
  <c r="G11" i="67"/>
  <c r="G10" i="67"/>
  <c r="E17" i="67" l="1"/>
  <c r="G17" i="67" s="1"/>
  <c r="G18" i="67" s="1"/>
  <c r="G19" i="67" s="1"/>
  <c r="G22" i="67" s="1"/>
  <c r="G23" i="67" s="1"/>
  <c r="G25" i="67" l="1"/>
  <c r="G24" i="67"/>
  <c r="B18" i="50" l="1"/>
  <c r="C5" i="13" l="1"/>
  <c r="C4" i="35" l="1"/>
  <c r="B2" i="50"/>
  <c r="A3" i="47"/>
  <c r="C4" i="51"/>
  <c r="E18" i="50" l="1"/>
  <c r="D18" i="50"/>
  <c r="F18" i="50" l="1"/>
  <c r="G18" i="50" s="1"/>
  <c r="C15" i="47" l="1"/>
  <c r="H18" i="50"/>
  <c r="G18" i="13"/>
  <c r="G15" i="13" l="1"/>
  <c r="B48" i="50" l="1"/>
  <c r="E15" i="50" l="1"/>
  <c r="F15" i="50" s="1"/>
  <c r="G15" i="50" s="1"/>
  <c r="C21" i="47" l="1"/>
  <c r="E16" i="50"/>
  <c r="E52" i="50"/>
  <c r="E53" i="50" s="1"/>
  <c r="E14" i="50"/>
  <c r="E17" i="50" l="1"/>
  <c r="G17" i="13" l="1"/>
  <c r="G13" i="13"/>
  <c r="G16" i="13"/>
  <c r="G14" i="13" l="1"/>
  <c r="G22" i="13" s="1"/>
  <c r="D12" i="35" s="1"/>
  <c r="B14" i="50" l="1"/>
  <c r="D14" i="50" s="1"/>
  <c r="F14" i="50" l="1"/>
  <c r="G14" i="50" s="1"/>
  <c r="C13" i="47" l="1"/>
  <c r="D14" i="35"/>
  <c r="D15" i="47" l="1"/>
  <c r="E15" i="47" l="1"/>
  <c r="G24" i="13" l="1"/>
  <c r="L15" i="28"/>
  <c r="L14" i="28"/>
  <c r="L13" i="28"/>
  <c r="L12" i="28"/>
  <c r="D16" i="35" l="1"/>
  <c r="G28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6" i="50" l="1"/>
  <c r="L21" i="28"/>
  <c r="D13" i="47"/>
  <c r="D24" i="28"/>
  <c r="D23" i="28"/>
  <c r="L23" i="28" s="1"/>
  <c r="F16" i="50" l="1"/>
  <c r="G16" i="50" s="1"/>
  <c r="L24" i="28"/>
  <c r="I16" i="50" l="1"/>
  <c r="H16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H20" i="35" l="1"/>
  <c r="H21" i="35" s="1"/>
  <c r="E13" i="47"/>
  <c r="G30" i="13" l="1"/>
  <c r="G31" i="13" s="1"/>
  <c r="B17" i="50" s="1"/>
  <c r="B20" i="50" s="1"/>
  <c r="B21" i="50" s="1"/>
  <c r="H22" i="35"/>
  <c r="G32" i="13" l="1"/>
  <c r="D17" i="50"/>
  <c r="E14" i="47"/>
  <c r="D20" i="50" l="1"/>
  <c r="D21" i="50" s="1"/>
  <c r="D22" i="50" s="1"/>
  <c r="D23" i="50" s="1"/>
  <c r="B22" i="50"/>
  <c r="B23" i="50" s="1"/>
  <c r="F17" i="50"/>
  <c r="F20" i="50" s="1"/>
  <c r="G20" i="50" l="1"/>
  <c r="G17" i="50"/>
  <c r="F21" i="50"/>
  <c r="H17" i="50"/>
  <c r="G21" i="50" l="1"/>
  <c r="C16" i="47"/>
  <c r="C17" i="47" s="1"/>
  <c r="D21" i="47"/>
  <c r="E21" i="47" s="1"/>
  <c r="C22" i="47" l="1"/>
  <c r="D22" i="47" s="1"/>
  <c r="E22" i="47" s="1"/>
  <c r="G22" i="50"/>
  <c r="G23" i="50" s="1"/>
  <c r="C18" i="47"/>
  <c r="F22" i="50"/>
  <c r="F23" i="50" s="1"/>
  <c r="H23" i="50" s="1"/>
  <c r="D16" i="47"/>
  <c r="D17" i="47" s="1"/>
  <c r="E16" i="47" l="1"/>
  <c r="E17" i="47" s="1"/>
  <c r="P50" i="97" s="1"/>
  <c r="P51" i="97" s="1"/>
  <c r="D18" i="47"/>
  <c r="E18" i="47" s="1"/>
  <c r="B22" i="48" l="1"/>
  <c r="G6" i="51" l="1"/>
  <c r="A7" i="5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B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C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E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B108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B108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B108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B108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B109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<sst xmlns="http://schemas.openxmlformats.org/spreadsheetml/2006/main" count="3892" uniqueCount="1905">
  <si>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</si>
  <si>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</si>
  <si>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</si>
  <si>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</si>
  <si>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</si>
  <si>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</si>
  <si>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</si>
  <si>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</si>
  <si>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</si>
  <si>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</si>
  <si>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</si>
  <si>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</si>
  <si>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</si>
  <si>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</si>
  <si>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</si>
  <si>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</si>
  <si>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</si>
  <si>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</si>
  <si>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</si>
  <si>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</si>
  <si>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</si>
  <si>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</si>
  <si>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</si>
  <si>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</si>
  <si>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</si>
  <si>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</si>
  <si>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</si>
  <si>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</si>
  <si>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</si>
  <si>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</si>
  <si>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</si>
  <si>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</si>
  <si>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</si>
  <si>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</si>
  <si>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</si>
  <si>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</si>
  <si>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</si>
  <si>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</si>
  <si>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</si>
  <si>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</si>
  <si>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</si>
  <si>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</si>
  <si>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</si>
  <si>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</si>
  <si>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</si>
  <si>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</si>
  <si>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</si>
  <si>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</si>
  <si>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</si>
  <si>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</si>
  <si>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</si>
  <si>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</si>
  <si>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</si>
  <si>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</si>
  <si>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</si>
  <si>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</si>
  <si>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</si>
  <si>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</si>
  <si>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</si>
  <si>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</si>
  <si>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</si>
  <si>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</si>
  <si>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</si>
  <si>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</si>
  <si>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</si>
  <si>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</si>
  <si>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</si>
  <si>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</si>
  <si>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</si>
  <si>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</si>
  <si>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</si>
  <si>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</si>
  <si>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</si>
  <si>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</si>
  <si>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</si>
  <si>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</si>
  <si>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</si>
  <si>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</si>
  <si>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</si>
  <si>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</si>
  <si>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</si>
  <si>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</si>
  <si>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</si>
  <si>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</si>
  <si>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</si>
  <si>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</si>
  <si>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</si>
  <si>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</si>
  <si>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</si>
  <si>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</si>
  <si>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</si>
  <si>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</si>
  <si>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</si>
  <si>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</si>
  <si>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</si>
  <si>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</si>
  <si>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</si>
  <si>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</si>
  <si>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</si>
  <si>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</si>
  <si>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</si>
  <si>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</si>
  <si>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</si>
  <si>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</si>
  <si>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</si>
  <si>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</si>
  <si>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</si>
  <si>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</si>
  <si>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</si>
  <si>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</si>
  <si>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</si>
  <si>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</si>
  <si>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</si>
  <si>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</si>
  <si>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</si>
  <si>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</si>
  <si>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</si>
  <si>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</si>
  <si>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</si>
  <si>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</si>
  <si>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</si>
  <si>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</si>
  <si>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</si>
  <si>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</si>
  <si>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</si>
  <si>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</si>
  <si>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</si>
  <si>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</si>
  <si>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</si>
  <si>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</si>
  <si>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</si>
  <si>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</si>
  <si>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</si>
  <si>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</si>
  <si>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</si>
  <si>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</si>
  <si>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</si>
  <si>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</si>
  <si>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</si>
  <si>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</si>
  <si>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</si>
  <si>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</si>
  <si>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</si>
  <si>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</si>
  <si>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</si>
  <si>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</si>
  <si>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</si>
  <si>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</si>
  <si>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</si>
  <si>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</si>
  <si>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</si>
  <si>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</si>
  <si>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</si>
  <si>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</si>
  <si>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</si>
  <si>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</si>
  <si>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</si>
  <si>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</si>
  <si>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</si>
  <si>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</si>
  <si>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</si>
  <si>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</si>
  <si>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</si>
  <si>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</si>
  <si>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</si>
  <si>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</si>
  <si>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</si>
  <si>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</si>
  <si>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</si>
  <si>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</si>
  <si>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</si>
  <si>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</si>
  <si>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</si>
  <si>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</si>
  <si>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</si>
  <si>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</si>
  <si>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</si>
  <si>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</si>
  <si>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</si>
  <si>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</si>
  <si>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1 км</t>
  </si>
  <si>
    <t>(1,00295^6,7+1,00295^11)/2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</si>
  <si>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</si>
  <si>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</si>
  <si>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</si>
  <si>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</si>
  <si>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</si>
  <si>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</si>
  <si>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</si>
  <si>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</si>
  <si>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</si>
  <si>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</si>
  <si>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</si>
  <si>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</si>
  <si>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</si>
  <si>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</si>
  <si>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</si>
  <si>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</si>
  <si>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</si>
  <si>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</si>
  <si>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</si>
  <si>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на выполнение проектно-изыскательских работ по объекту:</t>
  </si>
  <si>
    <t>Затраты на экологическую экспертизу</t>
  </si>
  <si>
    <t>месяцев</t>
  </si>
  <si>
    <t>гора Эльбрус, Эльбрусский муниципальный район, Кабардино-Балкарская Республика, Российская Федерация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</si>
  <si>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</si>
  <si>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</si>
  <si>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</si>
  <si>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</si>
  <si>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</si>
  <si>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</si>
  <si>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</si>
  <si>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</si>
  <si>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</si>
  <si>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</si>
  <si>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</si>
  <si>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</si>
  <si>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</si>
  <si>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</si>
  <si>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 xml:space="preserve"> Стадийность проектирования К=0,4;</t>
  </si>
  <si>
    <t>Котн=100%</t>
  </si>
  <si>
    <t xml:space="preserve">СБЦ "Предприятия автомобильного транспорта (2006)" табл.1 п.33
(СБЦ55-1-33) 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</si>
  <si>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</si>
  <si>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</si>
  <si>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 xml:space="preserve"> Коэффициент относительной стоимости с учетом сейсмичности 9 баллов для разделов КР=12%*1,3=15,6%;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</si>
  <si>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</si>
  <si>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</si>
  <si>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</si>
  <si>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</si>
  <si>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</si>
  <si>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</si>
  <si>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</si>
  <si>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</si>
  <si>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</si>
  <si>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</si>
  <si>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</si>
  <si>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</si>
  <si>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</si>
  <si>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</si>
  <si>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</si>
  <si>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</si>
  <si>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</si>
  <si>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</si>
  <si>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</si>
  <si>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</si>
  <si>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</si>
  <si>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</si>
  <si>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</si>
  <si>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</si>
  <si>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</si>
  <si>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</si>
  <si>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</si>
  <si>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</si>
  <si>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</si>
  <si>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</si>
  <si>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</si>
  <si>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</si>
  <si>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</si>
  <si>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>Итого по разделу 1 Здания и сооружения</t>
  </si>
  <si>
    <t xml:space="preserve">   Проектные работы: Предприятия автомобильного транспорта (2006)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</si>
  <si>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</si>
  <si>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</si>
  <si>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</si>
  <si>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</si>
  <si>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</si>
  <si>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</si>
  <si>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</si>
  <si>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 xml:space="preserve"> Стадийность проектирования К=0,5;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</si>
  <si>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</si>
  <si>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</si>
  <si>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</si>
  <si>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</si>
  <si>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</si>
  <si>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ТЧ п.2.45 Проектирование наружных установок промышленного телевизионного оборудования на территории объекта К=1,1;</t>
  </si>
  <si>
    <t>ТЧ п.3.2 Для зданий и сооружений со скрытой прокладкой инженерных коммуникаций К=1,2;</t>
  </si>
  <si>
    <t>Прим.1 При защите объекта двумя рубежами защиты К=1,2;</t>
  </si>
  <si>
    <t>Прим.2 При наличии на объекте нескольких отдельных помещений с различными режимами работы, а также объектов с различным административным подчинением, на каждый режим работы и объект К=1,1;</t>
  </si>
  <si>
    <t>ТЧ п.2.6 Сейсмичность 9 баллов (Принципиальные технические решения=30%) К=0,3*1,3+0,7=1,09 К=1,09;</t>
  </si>
  <si>
    <t>ТЧ п.2.7 Стадийность проектирования К=0,25;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</si>
  <si>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</si>
  <si>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</si>
  <si>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 xml:space="preserve">СБЦП "Объекты связи (2010)" табл.24 п.10
(СБЦП02-24-10) 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</si>
  <si>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</si>
  <si>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</si>
  <si>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</si>
  <si>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</si>
  <si>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</si>
  <si>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</si>
  <si>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</si>
  <si>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</si>
  <si>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</si>
  <si>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</si>
  <si>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</si>
  <si>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</si>
  <si>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</si>
  <si>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</si>
  <si>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</si>
  <si>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</si>
  <si>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>ВСЕГО по смете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</si>
  <si>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</si>
  <si>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</si>
  <si>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</si>
  <si>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</si>
  <si>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</si>
  <si>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</si>
  <si>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</si>
  <si>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</si>
  <si>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</si>
  <si>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</si>
  <si>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</si>
  <si>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</si>
  <si>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</si>
  <si>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</si>
  <si>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</si>
  <si>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</si>
  <si>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</si>
  <si>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</si>
  <si>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</si>
  <si>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</si>
  <si>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</si>
  <si>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</si>
  <si>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</si>
  <si>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</si>
  <si>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</si>
  <si>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</si>
  <si>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</si>
  <si>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</si>
  <si>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</si>
  <si>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</si>
  <si>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</si>
  <si>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- 3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</si>
  <si>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</si>
  <si>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</si>
  <si>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</si>
  <si>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</si>
  <si>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</si>
  <si>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</si>
  <si>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</si>
  <si>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</si>
  <si>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</si>
  <si>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</si>
  <si>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</si>
  <si>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</si>
  <si>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</si>
  <si>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</si>
  <si>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</si>
  <si>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</si>
  <si>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</si>
  <si>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</si>
  <si>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</si>
  <si>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</si>
  <si>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</si>
  <si>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</si>
  <si>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</si>
  <si>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</si>
  <si>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</si>
  <si>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</si>
  <si>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</si>
  <si>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</si>
  <si>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</si>
  <si>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</si>
  <si>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</si>
  <si>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</si>
  <si>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</si>
  <si>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</si>
  <si>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НДС</t>
  </si>
  <si>
    <t>ИТОГО с учетом НДС</t>
  </si>
  <si>
    <t>на  инженерно-геологические изыскания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</si>
  <si>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</si>
  <si>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</si>
  <si>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</si>
  <si>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</si>
  <si>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</si>
  <si>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</si>
  <si>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</si>
  <si>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</si>
  <si>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</si>
  <si>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</si>
  <si>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</si>
  <si>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</si>
  <si>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</si>
  <si>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</si>
  <si>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</si>
  <si>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</si>
  <si>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</si>
  <si>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</si>
  <si>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</si>
  <si>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</si>
  <si>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</si>
  <si>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свыше 50 до 100м, III кат.сложности</t>
  </si>
  <si>
    <t xml:space="preserve">СБЦ-99, т.93, п.2                    K1 - прим. 1            </t>
  </si>
  <si>
    <t>Плановая и высотная привязка местоположения геологических выработок   расст. между точками  свыше 50 до 100м, III кат.сложности</t>
  </si>
  <si>
    <t xml:space="preserve">СБЦ-99, т.93, п.2 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</si>
  <si>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</si>
  <si>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</si>
  <si>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</si>
  <si>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</si>
  <si>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</si>
  <si>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</si>
  <si>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</si>
  <si>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</si>
  <si>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</si>
  <si>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</si>
  <si>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</si>
  <si>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</si>
  <si>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</si>
  <si>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</si>
  <si>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</si>
  <si>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 3000 м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</si>
  <si>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</si>
  <si>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</si>
  <si>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</si>
  <si>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</si>
  <si>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</si>
  <si>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</si>
  <si>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</si>
  <si>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</si>
  <si>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</si>
  <si>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</si>
  <si>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</si>
  <si>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</si>
  <si>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</si>
  <si>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</si>
  <si>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</si>
  <si>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</si>
  <si>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</si>
  <si>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</si>
  <si>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</si>
  <si>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</si>
  <si>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</si>
  <si>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</si>
  <si>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</si>
  <si>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</si>
  <si>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</si>
  <si>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</si>
  <si>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</si>
  <si>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</si>
  <si>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</si>
  <si>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</si>
  <si>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</si>
  <si>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</si>
  <si>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</si>
  <si>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</si>
  <si>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</si>
  <si>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</si>
  <si>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</si>
  <si>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</si>
  <si>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</si>
  <si>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</si>
  <si>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</si>
  <si>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</si>
  <si>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</si>
  <si>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</si>
  <si>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</si>
  <si>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</si>
  <si>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 xml:space="preserve">1 программа 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</si>
  <si>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</si>
  <si>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</si>
  <si>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</si>
  <si>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</si>
  <si>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</si>
  <si>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</si>
  <si>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</si>
  <si>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>СБЦ-99, т.5 п.6</t>
  </si>
  <si>
    <t xml:space="preserve">СБЦ-99, О.У.п.13, прим. 1 к=2,5 </t>
  </si>
  <si>
    <t>ИТОГО прочие расходы</t>
  </si>
  <si>
    <t>ИТОГО в ценах 1991 года:</t>
  </si>
  <si>
    <t>НДС 20%</t>
  </si>
  <si>
    <t>ВСЕГО по смете с учетом непредвиденных расходов 10 %</t>
  </si>
  <si>
    <t>на инженерно-геофизические изыскания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</si>
  <si>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</si>
  <si>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</si>
  <si>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</si>
  <si>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</si>
  <si>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</si>
  <si>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</si>
  <si>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</si>
  <si>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</si>
  <si>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</si>
  <si>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</si>
  <si>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</si>
  <si>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</si>
  <si>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</si>
  <si>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</si>
  <si>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</si>
  <si>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</si>
  <si>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</si>
  <si>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</si>
  <si>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</si>
  <si>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</si>
  <si>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</si>
  <si>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</si>
  <si>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</si>
  <si>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</si>
  <si>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</si>
  <si>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</si>
  <si>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</si>
  <si>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</si>
  <si>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</si>
  <si>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</si>
  <si>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</si>
  <si>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</si>
  <si>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</si>
  <si>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</si>
  <si>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</si>
  <si>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</si>
  <si>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</si>
  <si>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</si>
  <si>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</si>
  <si>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</si>
  <si>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</si>
  <si>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</si>
  <si>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</si>
  <si>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</si>
  <si>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</si>
  <si>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</si>
  <si>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</si>
  <si>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2. Камеральные работы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</si>
  <si>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</si>
  <si>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</si>
  <si>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</si>
  <si>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</si>
  <si>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</si>
  <si>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</si>
  <si>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</si>
  <si>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</si>
  <si>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</si>
  <si>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</si>
  <si>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1 расчет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</si>
  <si>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</si>
  <si>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</si>
  <si>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</si>
  <si>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</si>
  <si>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</si>
  <si>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</si>
  <si>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</si>
  <si>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 xml:space="preserve"> Составление  технического отчета                             (недостаточно  изученная)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</si>
  <si>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</si>
  <si>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</si>
  <si>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</si>
  <si>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</si>
  <si>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</si>
  <si>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</si>
  <si>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</si>
  <si>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</si>
  <si>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</si>
  <si>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</si>
  <si>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</si>
  <si>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</si>
  <si>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ВСЕГО по смете с НДС:</t>
  </si>
  <si>
    <t>Оценка селевой и лавинной опасности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</si>
  <si>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</si>
  <si>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</si>
  <si>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</si>
  <si>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</si>
  <si>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</si>
  <si>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</si>
  <si>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</si>
  <si>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</si>
  <si>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</si>
  <si>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</si>
  <si>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</si>
  <si>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</si>
  <si>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</si>
  <si>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</si>
  <si>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</si>
  <si>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</si>
  <si>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</si>
  <si>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</si>
  <si>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</si>
  <si>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</si>
  <si>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</si>
  <si>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</si>
  <si>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</si>
  <si>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</si>
  <si>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</si>
  <si>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</si>
  <si>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</si>
  <si>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</si>
  <si>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</si>
  <si>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</si>
  <si>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</si>
  <si>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</si>
  <si>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</si>
  <si>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1 профиль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</si>
  <si>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</si>
  <si>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</si>
  <si>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</si>
  <si>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</si>
  <si>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</si>
  <si>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</si>
  <si>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</si>
  <si>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</si>
  <si>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</si>
  <si>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</si>
  <si>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</si>
  <si>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</si>
  <si>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</si>
  <si>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</si>
  <si>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</si>
  <si>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</si>
  <si>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</si>
  <si>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</si>
  <si>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</si>
  <si>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</si>
  <si>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</si>
  <si>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</si>
  <si>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</si>
  <si>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</si>
  <si>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</si>
  <si>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</si>
  <si>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</si>
  <si>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</si>
  <si>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</si>
  <si>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</si>
  <si>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</si>
  <si>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</si>
  <si>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</si>
  <si>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</si>
  <si>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</si>
  <si>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</si>
  <si>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</si>
  <si>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</si>
  <si>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Табл.60, § 10, прим 4 (к-0.9)</t>
  </si>
  <si>
    <t>Табл.60, § 10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</si>
  <si>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</si>
  <si>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</si>
  <si>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</si>
  <si>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>0.1 га</t>
  </si>
  <si>
    <t>ИТОГО</t>
  </si>
  <si>
    <t>Коэффициент</t>
  </si>
  <si>
    <t>Расходы по внутреннему транспорту при расстоянии до 15 км</t>
  </si>
  <si>
    <t>%</t>
  </si>
  <si>
    <t xml:space="preserve"> Табл.4,   § 3.5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</si>
  <si>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</si>
  <si>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</si>
  <si>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</si>
  <si>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</si>
  <si>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</si>
  <si>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</si>
  <si>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</si>
  <si>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</si>
  <si>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</si>
  <si>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</si>
  <si>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</si>
  <si>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</si>
  <si>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</si>
  <si>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</si>
  <si>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</si>
  <si>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</si>
  <si>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</si>
  <si>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</si>
  <si>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</si>
  <si>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</si>
  <si>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</si>
  <si>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</si>
  <si>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</si>
  <si>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</si>
  <si>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</si>
  <si>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</si>
  <si>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</si>
  <si>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</si>
  <si>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</si>
  <si>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</si>
  <si>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</si>
  <si>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</si>
  <si>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</si>
  <si>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</si>
  <si>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</si>
  <si>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</si>
  <si>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</si>
  <si>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</si>
  <si>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</si>
  <si>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</si>
  <si>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</si>
  <si>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</si>
  <si>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</si>
  <si>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</si>
  <si>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</si>
  <si>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</si>
  <si>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</si>
  <si>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</si>
  <si>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</si>
  <si>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</si>
  <si>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</si>
  <si>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</si>
  <si>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</si>
  <si>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</si>
  <si>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</si>
  <si>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</si>
  <si>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</si>
  <si>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</si>
  <si>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</si>
  <si>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</si>
  <si>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</si>
  <si>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</si>
  <si>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</si>
  <si>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</si>
  <si>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</si>
  <si>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</si>
  <si>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</si>
  <si>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EL8 (секции 8.1 и 8.2.)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</si>
  <si>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</si>
  <si>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</si>
  <si>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</si>
  <si>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</si>
  <si>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</si>
  <si>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</si>
  <si>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</si>
  <si>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</si>
  <si>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</si>
  <si>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</si>
  <si>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</si>
  <si>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</si>
  <si>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</si>
  <si>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</si>
  <si>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</si>
  <si>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</si>
  <si>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</si>
  <si>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</si>
  <si>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</si>
  <si>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</si>
  <si>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</si>
  <si>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</si>
  <si>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</si>
  <si>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</si>
  <si>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</si>
  <si>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</si>
  <si>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</si>
  <si>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</si>
  <si>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</si>
  <si>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</si>
  <si>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</si>
  <si>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</si>
  <si>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</si>
  <si>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</si>
  <si>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</si>
  <si>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</si>
  <si>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</si>
  <si>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</si>
  <si>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</si>
  <si>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</si>
  <si>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</si>
  <si>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</si>
  <si>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Археологические исследования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</si>
  <si>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</si>
  <si>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</si>
  <si>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</si>
  <si>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-25 га.</t>
  </si>
  <si>
    <t xml:space="preserve">Камеральные работы </t>
  </si>
  <si>
    <t>S участка  в га.</t>
  </si>
  <si>
    <t>Табл.2 § 1 участок S -25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</si>
  <si>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</si>
  <si>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</si>
  <si>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</si>
  <si>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</si>
  <si>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</si>
  <si>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</si>
  <si>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</si>
  <si>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</si>
  <si>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</si>
  <si>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</si>
  <si>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</si>
  <si>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</si>
  <si>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</si>
  <si>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</si>
  <si>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</si>
  <si>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1.7</t>
  </si>
  <si>
    <t>Смета № 7-ар</t>
  </si>
  <si>
    <t>1.8</t>
  </si>
  <si>
    <t>СМЕТА № 1-из</t>
  </si>
  <si>
    <t>Смета №8-ВОП</t>
  </si>
  <si>
    <t>Смета № 8-ВОП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</si>
  <si>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</si>
  <si>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</si>
  <si>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</si>
  <si>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</si>
  <si>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</si>
  <si>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</si>
  <si>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</si>
  <si>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</si>
  <si>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</si>
  <si>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</si>
  <si>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</si>
  <si>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</si>
  <si>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</si>
  <si>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</si>
  <si>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</si>
  <si>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</si>
  <si>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</si>
  <si>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</si>
  <si>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</si>
  <si>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</si>
  <si>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</si>
  <si>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</si>
  <si>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</si>
  <si>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</si>
  <si>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</si>
  <si>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</si>
  <si>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 xml:space="preserve"> Стадийность проектирования К=0,42;</t>
  </si>
  <si>
    <t xml:space="preserve">   Проектные работы: Системы противопожарной и охранной защиты (1999)</t>
  </si>
  <si>
    <t xml:space="preserve"> Стадийность проектирования К=1;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</si>
  <si>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</si>
  <si>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</si>
  <si>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</si>
  <si>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>Выполнение изысканий в неблагоприятный период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</si>
  <si>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</si>
  <si>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</si>
  <si>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</si>
  <si>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Выполнение изысканий в горных и высокогорных районах (св 3000м)</t>
  </si>
  <si>
    <t xml:space="preserve">ОУ п.7г  табл. 2, п.4       </t>
  </si>
  <si>
    <t>Обследование территории на наличие взрывоопасных предметов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</si>
  <si>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</si>
  <si>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</si>
  <si>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</si>
  <si>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>Сумма, руб. без НДС</t>
  </si>
  <si>
    <t>СМЕТА № 6-из</t>
  </si>
  <si>
    <t>СМЕТА № 5-из</t>
  </si>
  <si>
    <t xml:space="preserve"> Смета № 2-из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</si>
  <si>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</si>
  <si>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</si>
  <si>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</si>
  <si>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</si>
  <si>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</si>
  <si>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</si>
  <si>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>СОТ внутренняя</t>
  </si>
  <si>
    <t xml:space="preserve">Установка промышленного телевизионного оборудования в готовом здании с числом камер от 2 до 12, 6(1 камера) </t>
  </si>
  <si>
    <t xml:space="preserve">СБЦ "Системы противопожарной и охранной защиты (1999)" табл.5 п.1
(СБЦ1-5-1) </t>
  </si>
  <si>
    <t xml:space="preserve">Установки охранной сигнализации, защищающие объект площадью: 400-700м2, 1(объект) </t>
  </si>
  <si>
    <t xml:space="preserve">СБЦ "Системы противопожарной и охранной защиты (1999)" табл.5 п.4
(СБЦ1-5-4) </t>
  </si>
  <si>
    <t>Система телефонной связи (СТС)</t>
  </si>
  <si>
    <t xml:space="preserve">СБЦП "Объекты связи (2010)" табл.3 п.1
(СБЦП02-3-1) </t>
  </si>
  <si>
    <t>Система часофикации (СЧ)</t>
  </si>
  <si>
    <t xml:space="preserve">СБЦП "Объекты связи (2010)" табл.9 п.5
(СБЦП02-9-5) </t>
  </si>
  <si>
    <t xml:space="preserve"> Стадийность проектирования К=0,49;</t>
  </si>
  <si>
    <t>Система вызова персонала (СВП)</t>
  </si>
  <si>
    <t xml:space="preserve">СБЦП "Объекты связи (2010)" табл.24 п.8
(СБЦП02-24-8) </t>
  </si>
  <si>
    <t xml:space="preserve">Платформы низкие пассажирские или грузовые площадью: до 1500 м2, 10(10 м2) </t>
  </si>
  <si>
    <t xml:space="preserve">СБЦП "Железные дороги (2014)" табл.7 п.5-1
(СБЦП09-7-5-1) </t>
  </si>
  <si>
    <t>МУ п.3.7 Сейсмичность 9 баллов  К= 1,3 для 52% разделов (АР=9%, КР=12%,  ТХ-31%). К=(0,52*1,3+0,48)=1,156 К=1,156;</t>
  </si>
  <si>
    <t xml:space="preserve">   Проектные работы: Железные дороги (2014)</t>
  </si>
  <si>
    <t>Раздел 2. Сети инженерного обеспечения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</si>
  <si>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</si>
  <si>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</si>
  <si>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охранного освещения (СОО)</t>
  </si>
  <si>
    <t>Раздел 4. ГО и ЧС</t>
  </si>
  <si>
    <t>Итого по разделу 4 ГО и ЧС</t>
  </si>
  <si>
    <t xml:space="preserve">   Итого по разделу 4 ГО и ЧС</t>
  </si>
  <si>
    <t xml:space="preserve">   Итоги по разделу 2 Сети инженерного обеспечения</t>
  </si>
  <si>
    <t xml:space="preserve">   Итоги по разделу 4 ГО и ЧС</t>
  </si>
  <si>
    <t>Станционные опоры для установки технологического оборудования</t>
  </si>
  <si>
    <t>Разработка и согласование специальных технических условий по пожарной безопасности (СТУ МПБ)</t>
  </si>
  <si>
    <t>2.2.</t>
  </si>
  <si>
    <t>2.3.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</si>
  <si>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</si>
  <si>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</si>
  <si>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</si>
  <si>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- Разработка и согласование специальных технических условий по пожарной безопасности (СТУ МПБ);</t>
  </si>
  <si>
    <t>Резерв средств на непредвиденные работы и затраты для проектных работ</t>
  </si>
  <si>
    <t>в том числе: Резерв средств на непредвиденные работы и затраты</t>
  </si>
  <si>
    <t>в том числе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</si>
  <si>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</si>
  <si>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</si>
  <si>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</si>
  <si>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(один водный объект)</t>
  </si>
  <si>
    <t>- оценка воздействия проектируемого объекта на водные биологические ресурсы и среду их обитания;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</si>
  <si>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</si>
  <si>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</si>
  <si>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</si>
  <si>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2.4.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</si>
  <si>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</si>
  <si>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</si>
  <si>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- резерв средств на непредвиденные работы и затраты в размере 2% от затрат на проектные работы;</t>
  </si>
  <si>
    <t>Всесезонный туристско-рекреационный комплекс «Эльбрус», 
Кабардино-Балкарская Республика. 
Пассажирская подвесная канатная дорога EL7</t>
  </si>
  <si>
    <t>- Выполнение научно-технического сопровождения проектирования конструкций и сооружений повышенного уровня ответственности ППКД и инженерной защиты территории;</t>
  </si>
  <si>
    <t>КП (письмо ООО "Альфапроект" исх. №66 от 02.06.2021)</t>
  </si>
  <si>
    <t xml:space="preserve">Предполагаемая (предельная) стоимость строительства объекта: 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</si>
  <si>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</si>
  <si>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</si>
  <si>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</si>
  <si>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</si>
  <si>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</si>
  <si>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</si>
  <si>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</si>
  <si>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</si>
  <si>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</si>
  <si>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</si>
  <si>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</si>
  <si>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>м по горизонтали</t>
  </si>
  <si>
    <t>шт.</t>
  </si>
  <si>
    <t>"Объекты Северного склона поселка Романтик, ВТРК "Архыз". 
Этап 1. Пассажирская канатная дорога NL1. (Секция 1.G1-G2, Секция 2.G3-G4, Секция 3.G5-G6) 
ППКД</t>
  </si>
  <si>
    <t>II квартал 2016 г.</t>
  </si>
  <si>
    <t>IV квартал 2019 г.</t>
  </si>
  <si>
    <t>кв.м</t>
  </si>
  <si>
    <t>«Всесезонный туристско-рекреационный комплекс «Эльбрус», Кабардино-Балкарская Республика. Пассажирская подвесная канатная дорога EL6»
Нижняя станция пассажирской подвесной канатной дороги EL6</t>
  </si>
  <si>
    <t>"Объекты Северного склона поселка Романтик, ВТРК "Архыз". 
Этап 1. Пассажирская канатная дорога NL1. (Секция 1.G1-G2, Секция 2.G3-G4, Секция 3.G5-G6) Операторская</t>
  </si>
  <si>
    <t>Снегоудерживающие сооружения высотой 3,5 м</t>
  </si>
  <si>
    <t>п.м</t>
  </si>
  <si>
    <t>Всесезонный туристско-рекреационный комплекс "Ведучи", Чеченская Республика. Горнолыжная трасса VP-3</t>
  </si>
  <si>
    <t>IV квартал 2020 г.</t>
  </si>
  <si>
    <t>«Всесезонный туристско-рекреационный комплекс «Эльбрус», Кабардино-Балкарская Республика. Пассажирская подвесная канатная дорога EL6»
Нижняя станция пассажирской подвесной канатной дороги EL6
Кабельные линии 0,4 кВ</t>
  </si>
  <si>
    <t>"Объекты Северного склона поселка Романтик, ВТРК "Архыз". 
Этап 1. Пассажирская канатная дорога NL1. (Секция 1.G1-G2, Секция 2.G3-G4, Секция 3.G5-G6)  
Внутриплощадочные сети связи</t>
  </si>
  <si>
    <t>м ППКД</t>
  </si>
  <si>
    <t>камера</t>
  </si>
  <si>
    <t>объектов</t>
  </si>
  <si>
    <t>Автоматическая установка пожарной сигнализации</t>
  </si>
  <si>
    <t xml:space="preserve">     кв.м</t>
  </si>
  <si>
    <t>Система оповещения и управления эвакуацией при пожаре</t>
  </si>
  <si>
    <t>канал</t>
  </si>
  <si>
    <t>Система экстренной связи</t>
  </si>
  <si>
    <t>стойки вызова</t>
  </si>
  <si>
    <t>Структурированная кабельная система (СКС)</t>
  </si>
  <si>
    <t>узел</t>
  </si>
  <si>
    <t>Система передачи данных сетей связи (СПД-СС)</t>
  </si>
  <si>
    <t>точек подключения</t>
  </si>
  <si>
    <t>Система вызова персонала</t>
  </si>
  <si>
    <t>Наружное освещение</t>
  </si>
  <si>
    <t>м</t>
  </si>
  <si>
    <t>Наименование объекта строительства</t>
  </si>
  <si>
    <t>Обоснование</t>
  </si>
  <si>
    <t>Кол.</t>
  </si>
  <si>
    <t>Стоимость в  тыс. руб.</t>
  </si>
  <si>
    <t>Итого с учетом коэффициентов по общим указаниям сборника НЦС</t>
  </si>
  <si>
    <t>Поправочные коэффициенты</t>
  </si>
  <si>
    <t>Коэффициент перехода от базового района к уровню цен Кабардино-Балкарская Республика</t>
  </si>
  <si>
    <t>ТЧ сборника п.23
Таблица № 2</t>
  </si>
  <si>
    <t xml:space="preserve">Регионально-климатический коэффициент </t>
  </si>
  <si>
    <t>Коэффициент на сейсмичность</t>
  </si>
  <si>
    <t>ТЧ сборника п.26</t>
  </si>
  <si>
    <t>Зональный коэффициент</t>
  </si>
  <si>
    <t>100м</t>
  </si>
  <si>
    <t>Стоимость по НЦС (Прокладка линии уличного освещения с подземной прокладкой кабеля силового с медн.жилами с изоляцией ПВХ, с броней, в защитном шланге из ПВХ напряжением 1 кВ, число жил 4 и сеч.16 мм2)</t>
  </si>
  <si>
    <t>12-03-004-01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</si>
  <si>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EL7</t>
  </si>
  <si>
    <t>Переходная платформа для перехода между ВСКД EL7 и ВСКД EL8.2 (S=100 м2): Надземная из металлоконструкций, шириной до 4 м, длиной до 25 м. С выходом с платформы непосредственно на землю и на переходную платформу для перехода между проектируемой станцией ВСКД и ВСКД EL8.2.</t>
  </si>
  <si>
    <t>Перрон посадки/высадки ВСКД EL7 (S=400 м2): Надземная  открытая платформа из металлоконструкций.</t>
  </si>
  <si>
    <t xml:space="preserve">Платформы низкие пассажирские или грузовые площадью: до 1500 м2, 40(10 м2) </t>
  </si>
  <si>
    <t>Гараж кресел (S=560 м2: Здание из металлоконструкций прямоугольной формы, размером 33х17 м.) + Павильон наклонного транспортера спуска/подъема кресел в гараж кресел S=30 м2</t>
  </si>
  <si>
    <t xml:space="preserve">Закрытые одноэтажные стоянки автотранспорта площадью: до 1500 м2, 560+30=590(1 м2) </t>
  </si>
  <si>
    <t>Перрон посадки/высадки НСКД EL7 (S=400 м2): Надземная  открытая платформа.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</si>
  <si>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40(м2) </t>
  </si>
  <si>
    <t xml:space="preserve">СБЦП "Искусственные сооружения (2015)" табл.1 п.4.2-1
(СБЦП16-1-4.2-1) </t>
  </si>
  <si>
    <t xml:space="preserve"> Стадии проектирования К=0,23;</t>
  </si>
  <si>
    <t>ОП п.1.7 Выполнение работ по оценке воздействия объекта капитального строительства на окружающую среду  К=1,04;</t>
  </si>
  <si>
    <t>МУ п.3.7 Сейсмичность 9 баллов  К= 1,3 для 52% разделов (КР=48%). К=(0,48*1,3+0,52)=1,144 К=1,144;</t>
  </si>
  <si>
    <t>ТЧ п.2.1.10 При высоте опор менее 40 м: менее 10 м К=0,85;</t>
  </si>
  <si>
    <t>Нагорные канавы (протяженностью 400 м): 20 нагорных канав протяженностью до 20 м каждая.</t>
  </si>
  <si>
    <t xml:space="preserve">Канализационные коллекторы с сооружениями на них, прокладываемые по незастроенной территории, пропускной способностью до 500 м3/ч, рельефе местности  III группы сложности, 0,4(1 км) </t>
  </si>
  <si>
    <t xml:space="preserve">СБЦП "Объекты водоснабжения и канализации (2015)" табл.8 п.3
(СБЦП17-8-3) </t>
  </si>
  <si>
    <t>ОП п.1.7 Стадия проектирования К=0,6;</t>
  </si>
  <si>
    <t>МУ п. 3.7 Сейсмичность 9 баллов к разделам КР= 18%, Инж.оборуд,сети=45%: К=0,63*1,3+0,37=1,189. К=1,189;</t>
  </si>
  <si>
    <t>ОП п.1.13 Оценка воздействия объекта капитального строительства на окружающую среду (ОВОС) К=1,04;</t>
  </si>
  <si>
    <t>НСКД EL7</t>
  </si>
  <si>
    <t>ВСКД EL7</t>
  </si>
  <si>
    <t>Линейные опоры КД столбчатые высотой 25 м (все опоры индивидуальные)</t>
  </si>
  <si>
    <t>Линейные опоры КД (рамные) высотой 40 м для устройства пролета над участком ледника (все опоры индивидуальные)</t>
  </si>
  <si>
    <t xml:space="preserve">Стальные опоры радиовещательной и связной радиостанции высотой от 12 до 250 м (Опора ТО19), 40(1 м по высоте опоры) </t>
  </si>
  <si>
    <t xml:space="preserve">Стальные опоры радиовещательной и связной радиостанции высотой от 12 до 250 м (Опора ТО20), 40(1 м по высоте опоры) </t>
  </si>
  <si>
    <t xml:space="preserve">   Проектные работы: Искусственные сооружения (2015)</t>
  </si>
  <si>
    <t xml:space="preserve">   Проектные работы: Объекты водоснабжения и канализации (2015)</t>
  </si>
  <si>
    <t>Кабельная линия 0,4 кВ в траншее (200 м): От ТП-КД-3 до ВСКД.</t>
  </si>
  <si>
    <t xml:space="preserve">Кабельные линии напряжением до 35 кВ с интервалами протяженности: свыше 100 до 500 м, 200(м) </t>
  </si>
  <si>
    <t xml:space="preserve">СБЦП "Коммунальные инженерные сети и сооружения (2012)" табл.17 п.2
(СБЦП07-17-2) </t>
  </si>
  <si>
    <t>Реконструкция ТП-КД-5 1х160 кВА в ТП-КД-5 2х160 кВА: С установкой второго трансформатора 10/0,4 кВ мощностью 160 кВА.</t>
  </si>
  <si>
    <t>Стоимость проектирования двухтрансформаторной ТП 2х160 кВА учтена в СД по объекту EL6</t>
  </si>
  <si>
    <t>Наружное освещение (200 м): освещение перрона посадки/высадки НСКД и ВСКД.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</si>
  <si>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 до 250 м, 200(п.м) </t>
  </si>
  <si>
    <t xml:space="preserve">СБЦП "Коммунальные инженерные сети и сооружения (2012)" табл.2 п.2
(СБЦП07-2-2) </t>
  </si>
  <si>
    <t>Контроля и управления доступом (СКУД)</t>
  </si>
  <si>
    <t>Охранного телевидения (СОТ) наружная</t>
  </si>
  <si>
    <t>Система передачи данных СБ (СПД-СБ)</t>
  </si>
  <si>
    <t xml:space="preserve">Аппаратная выделенной телефонной или телеграфной связи с количеством установок: от 1 до 20, 2(1 установка) </t>
  </si>
  <si>
    <t>Автоматическое порошковое пожаротушение: Защищаемый объект – помещение ДГУ на ВСКД (S=12 м2)</t>
  </si>
  <si>
    <t xml:space="preserve">Автоматические установки пожаротушения газовые, модульные и импульсного действия (порошковые, аэрозольные и др.), с электрическим пуском, при количестве на объекте защищаемых помещений (направлений): до 2, 1(объект) </t>
  </si>
  <si>
    <t xml:space="preserve">СБЦ "Системы противопожарной и охранной защиты (1999)" табл.2 п.1-1
(СБЦ1-2-1-1) </t>
  </si>
  <si>
    <t>ТЧ п.2.6 Сейсмичность 9 баллов к разделам Технологическая часть=38%, Автоматика и сигнализация=39%: К=(0,38+0,39)*1,3+0,23=1,231. К=1,231;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</si>
  <si>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 Первый этап. Пассажирская подвесная канатная дорога кресельного типа SL8 с отцепляемым зажимом</t>
  </si>
  <si>
    <t>2 кв. 2016</t>
  </si>
  <si>
    <t xml:space="preserve">Ленточный подъемник EL7Bis:
-тип подъемника:  наземный с движущей лентой без защитной галереи;
-производительность до 2400 чел/ч;
-скорость плавно регулируемая от 0,2 до 0,7 м/с;
-протяженность до 240 м (уточнить проектом);
-материал движущей ленты пластик с антискользящими резиновыми прокладками;
-ширина движущей ленты 600 мм;
-отметка размещения станции отправки (нижней) 3280 (уточнить проектом);
-отметка размещения станции прибытия (верхней) 3290 (уточнить проектом).
</t>
  </si>
  <si>
    <t>Фундаменты под линейные и станционные столбчатые опоры КД</t>
  </si>
  <si>
    <t>Переходная платформа для перехода между ВСКД EL7 и ВСКД EL8.2</t>
  </si>
  <si>
    <t>Перрон посадки/высадки ВСКД EL7</t>
  </si>
  <si>
    <t>Операторская ВСКД EL7</t>
  </si>
  <si>
    <t xml:space="preserve">Гараж кресел </t>
  </si>
  <si>
    <t>Павильон наклонного транспортера спуска/подъема кресел в гараж кресел</t>
  </si>
  <si>
    <t>Перрон посадки/высадки НСКД EL7</t>
  </si>
  <si>
    <t>Операторская НСКД EL7</t>
  </si>
  <si>
    <t xml:space="preserve">Насыпь трассы для ленточного подъемника EL7Bis для перемещения от НСКД EL7 в сторону НСКД EL6 </t>
  </si>
  <si>
    <t>Шириной 5 м длиной 250 м с равномерным уклоном.</t>
  </si>
  <si>
    <t>Надземная пешеходная эстакада для перемещения посетителей  от НСКД EL6 в сторону НСКД EL7.</t>
  </si>
  <si>
    <t>Нагорные канавы</t>
  </si>
  <si>
    <t>20 нагорных канав протяженностью до 20 м каждая.</t>
  </si>
  <si>
    <t xml:space="preserve">Закрепление русла ручьев каменной наброской </t>
  </si>
  <si>
    <t>Организация рельефа, комплексное благоустройство и озеленение в границах территории в районе ВСКД.</t>
  </si>
  <si>
    <t>Организация рельефа, комплексное благоустройство и озеленение в границах территории в районе НСКД.</t>
  </si>
  <si>
    <t>Сети инженерного обеспечения:</t>
  </si>
  <si>
    <t>Кабельная линия 0,4 кВ в траншее</t>
  </si>
  <si>
    <t xml:space="preserve">От ТП-КД-3 до ВСКД. </t>
  </si>
  <si>
    <t xml:space="preserve">От ТП-КД-5 до и оборудования станции прибытия ленточного подъемника EL7Bis. </t>
  </si>
  <si>
    <t>Освещение перрона посадки/высадки НСКД и ВСКД.</t>
  </si>
  <si>
    <t>Наружная сеть связи</t>
  </si>
  <si>
    <t>Сети связи и безопасности</t>
  </si>
  <si>
    <t>количество узлов</t>
  </si>
  <si>
    <t>Охранно-тревожная сигнализация (СОТС)</t>
  </si>
  <si>
    <t>Платежно–пропускная система (ППС)</t>
  </si>
  <si>
    <t>турникет</t>
  </si>
  <si>
    <t>платежный терминал</t>
  </si>
  <si>
    <t>Автоматическое порошковое пожаротушение</t>
  </si>
  <si>
    <t> Уточнить проектом</t>
  </si>
  <si>
    <t>Уточнить проектом</t>
  </si>
  <si>
    <t>Охранного телевидения (СОТ) внутренняя</t>
  </si>
  <si>
    <t>с учетом затрат по главам 9-12 - ориентировочно 15 % от стоимости СМР+оборудование.</t>
  </si>
  <si>
    <t>Горнолыжная и сопутствующая инфраструктура на южноориентированном склоне ВТРК "Ведучи". Этап 0
(Конвейерный подъёмник LST)</t>
  </si>
  <si>
    <t>1 квартал 2017 г.</t>
  </si>
  <si>
    <t>с учетом операторских, гаража кресел, инж.защиты, КТП, внутриплощад.сетей 10 и 0,4 кВ, освещения подъездной дороги, устройства съезда к МФЦ, сетей связи, сетей водоснабжения и водоотведения, благоустройства и прочих затрат.</t>
  </si>
  <si>
    <t>ТЧ сборника п.22
Таблица № 4</t>
  </si>
  <si>
    <t>ТЧ сборника п.32
Таблица № 9</t>
  </si>
  <si>
    <t>Расчет по УНЦС</t>
  </si>
  <si>
    <t>учтено в п.1</t>
  </si>
  <si>
    <t>Затраты учтены в п.1: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</si>
  <si>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 Первый этап. Пассажирская подвесная канатная дорога кресельного типа SL8 с отцепляемым зажимом"
Гараж кресел</t>
  </si>
  <si>
    <t xml:space="preserve">Пассажирская подвесная канатная дорога EL7:
-тип дороги: кольцевая пассажирская подвесная канатная дорога с отцепляемыми от несуще-тягового каната на станциях 6-местными  креслами с защитными колпаками;
-протяженность 1300 м по горизонтали (уточнить проектом); 
-перепад высот 385 м (уточнить проектом); 
-производительность до 2400 чел/ч на подъем; 
-скорость до 6,0 м/с;
-режим эксплуатации: в светлое время суток;
-отметка размещения нижней станции 3280 (уточнить проектом);
-отметка размещения верхней станции 3665 (уточнить проектом);
 -приводная станция верхняя;
- натяжная станция нижняя; 
-количество линейных опор – 18 шт. столбчатых высотой 25 м, 2 шт. рамные высотой до 40 м для устройства пролета над участком ледника (уточнить проектом);
 -количество станционных опор для установки технологического оборудования станций - по 2 опоры высотой до 10 м на каждой станции (уточняется проектом);
-здание операторских проектируемые (каркасного типа с ограждающими конструкциями из сендвич-панелей);
-с воздушной линией безопасности ППКД;
</t>
  </si>
  <si>
    <t>учтены затраты: КР, АР, ЭС, ВК, ОВиК, Система противопожарной защиты, АУПП, СС</t>
  </si>
  <si>
    <t>В увязке с решениями участка размещения ВСКД EL8.2, с учетом существующего рельефа и отметок прилегающих горнолыжных трас EP16, EP18. - Учтено в п.1</t>
  </si>
  <si>
    <t>Цена по аналогу включает затраты:
Автоматизация наружного водоснабжения, Внутриплощадочные линии связи, Информационные видеоэкраны, СОТ</t>
  </si>
  <si>
    <t>Цена по аналогу включает затраты:
фундаменты опор НСКД и ВСКД
оборудование ППКД,
авиационные работы,
электрооборудование и система управления ППКД,
молниезащита и заземление ППКД,
фундаменты под турникеты,
система оповещения пассажиров,
фундаменты ВСКД и НСКД,
операторские ВСКД и НСКД (КР, АР, ЭС, Отопление и кондиционирование, Система противопожарной защиты, Сети связи),
вертик. планировка, благоустройство, озеленение (в пропорциональном размере от СМР)</t>
  </si>
  <si>
    <t>применительно.</t>
  </si>
  <si>
    <t>Реконструкция ТП-КД-5 1х160 кВА в ТП-КД-5 2х160 кВА  </t>
  </si>
  <si>
    <t>КТП 10(6) кВ, проходная, киоскового типа, количество и мощность: 1х160 кВА</t>
  </si>
  <si>
    <t>21-01-005-02</t>
  </si>
  <si>
    <t>1 ед. (объект)</t>
  </si>
  <si>
    <t>ТЧ сборника п.21
Таблица № 2</t>
  </si>
  <si>
    <t>ТЧ сборника п.22
Таблица № 3</t>
  </si>
  <si>
    <t>С установкой второго трансформатора 10/0,4 кВ мощностью 160 кВА.
В цене аналога учтено строительство КТП 10(6)кВ проходного типа мощностью 1х160 кВА.</t>
  </si>
  <si>
    <t>"Объекты Северного склона поселка Романтик, ВТРК "Архыз".
Этап 1. Пассажирская канатная дорога NL1. (Секция 1.G1-G2, Секция 2.G3-G4, Секция 3.G5-G6)</t>
  </si>
  <si>
    <r>
      <t xml:space="preserve">центров и реперов - II. </t>
    </r>
    <r>
      <rPr>
        <i/>
        <u/>
        <sz val="10"/>
        <rFont val="Times New Roman Cyr"/>
        <charset val="204"/>
      </rPr>
      <t xml:space="preserve"> высокогорный район</t>
    </r>
  </si>
  <si>
    <t>Табл.1 § 3</t>
  </si>
  <si>
    <r>
      <t xml:space="preserve">центров и реперов - II. </t>
    </r>
    <r>
      <rPr>
        <i/>
        <u/>
        <sz val="10"/>
        <rFont val="Times New Roman Cyr"/>
        <charset val="204"/>
      </rPr>
      <t>высокогорный район</t>
    </r>
  </si>
  <si>
    <t>в М 1:1000.  h 1</t>
  </si>
  <si>
    <t>Категория сложности выполнения работ - III</t>
  </si>
  <si>
    <t>в М 1:500. h - 0.5</t>
  </si>
  <si>
    <t>ВСЕГО ПОЛЕВЫЕ РАБОТЫ:</t>
  </si>
  <si>
    <r>
      <t xml:space="preserve">центров и реперов - III. </t>
    </r>
    <r>
      <rPr>
        <i/>
        <u/>
        <sz val="10"/>
        <rFont val="Times New Roman Cyr"/>
        <charset val="204"/>
      </rPr>
      <t xml:space="preserve"> высокогорный район</t>
    </r>
  </si>
  <si>
    <r>
      <t xml:space="preserve">центров и реперов - III. </t>
    </r>
    <r>
      <rPr>
        <i/>
        <u/>
        <sz val="10"/>
        <rFont val="Times New Roman Cyr"/>
        <charset val="204"/>
      </rPr>
      <t>высокогорный район</t>
    </r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</si>
  <si>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</si>
  <si>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r>
      <t xml:space="preserve"> работ  </t>
    </r>
    <r>
      <rPr>
        <i/>
        <u/>
        <sz val="10"/>
        <rFont val="Times New Roman"/>
        <family val="1"/>
        <charset val="204"/>
      </rPr>
      <t>до 75  тыс. руб.</t>
    </r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</si>
  <si>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</si>
  <si>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</si>
  <si>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Цены приведены к базисному уровню на 01.01.2001 г.)</t>
  </si>
  <si>
    <t>«Всесезонный туристско-рекреационный комплекс «Эльбрус», Кабардино-Балкарская Республика. Пассажирская подвесная канатная дорога EL7»</t>
  </si>
  <si>
    <t xml:space="preserve">СБЦ-99, т.9, п.3, прим.3 </t>
  </si>
  <si>
    <t>Описание точек наблюдений при составлении инженерно-геологических карт (III кат. сложности)</t>
  </si>
  <si>
    <t>О.У., п.8а</t>
  </si>
  <si>
    <t>О.У., п.8г</t>
  </si>
  <si>
    <t xml:space="preserve">Сбор, изучение и систематизация материалов изысканий прошлых лет: 
по горным выработкам III кат. сложности ИГУ
</t>
  </si>
  <si>
    <t>СБЦ-99, т.78 п.1</t>
  </si>
  <si>
    <t xml:space="preserve">Сбор, изучение и систематизация материалов изысканий прошлых лет: 
по цифровым показателям III кат. сложности ИГУ
</t>
  </si>
  <si>
    <t>СБЦ-99, т.78 п.2</t>
  </si>
  <si>
    <t>Расходы по внешнему транспорту св. 2000 км при выполнении экспедиционных работ 2 месяца</t>
  </si>
  <si>
    <t>Георадиолокационное зондирование. Применительно. Одиночные годографы На дневной поверхности, категория сложности V   1840пм /1м =920 точек</t>
  </si>
  <si>
    <t>Рекогносцировочное обследование реки, категория сложности III</t>
  </si>
  <si>
    <t>1 км реки</t>
  </si>
  <si>
    <t>Табл.43 п.1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</si>
  <si>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</si>
  <si>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</si>
  <si>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</si>
  <si>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</si>
  <si>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</si>
  <si>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</si>
  <si>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</si>
  <si>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</si>
  <si>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</si>
  <si>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</si>
  <si>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</si>
  <si>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</si>
  <si>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</si>
  <si>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Табл.48 п.3</t>
  </si>
  <si>
    <t>ИТОГО по позиции 1 на высоте 2000-3000 в неблагоприятный период</t>
  </si>
  <si>
    <t>Измерение расхода воды детальным методом (ширина реки до 20 м)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</si>
  <si>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</si>
  <si>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</si>
  <si>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</si>
  <si>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</si>
  <si>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Табл.56 п.15</t>
  </si>
  <si>
    <t>Составление вспомогательной таблицы характеристик гидрологического режима при числе лет до 50</t>
  </si>
  <si>
    <t>Табл.52 п.1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</si>
  <si>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</si>
  <si>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</si>
  <si>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до 50</t>
  </si>
  <si>
    <t>Табл. 56 п.12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</si>
  <si>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</si>
  <si>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</si>
  <si>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</si>
  <si>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</si>
  <si>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</si>
  <si>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</si>
  <si>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 xml:space="preserve">Построение кривой расходов гидравлическим методом </t>
  </si>
  <si>
    <t>1 график</t>
  </si>
  <si>
    <t>Табл.55 п.1</t>
  </si>
  <si>
    <t>Табл. 53 п.2</t>
  </si>
  <si>
    <t xml:space="preserve">Табл. 62 п.4, прим.6       </t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</si>
  <si>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</si>
  <si>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EL7
</t>
  </si>
  <si>
    <t>Отбор  проб почво-грунтов на химический анализ 0-20 см. - 3 пробы. 0.2 -0.5 м. - 3 пробы</t>
  </si>
  <si>
    <t xml:space="preserve">Отбор пробпочво-грунтов для бактериологического анализа (3)  и на паразитические показатели (3) </t>
  </si>
  <si>
    <t>Отбор пробпочво-грунтов на агрохимический  анализ (3 разреза)</t>
  </si>
  <si>
    <t xml:space="preserve">Отбор природной воды на химические показатели с поверхностного слоя </t>
  </si>
  <si>
    <t>Табл.60, § 1</t>
  </si>
  <si>
    <t xml:space="preserve">Отбор проб донных отложений на химические показатели </t>
  </si>
  <si>
    <t>Табл.60, § 11</t>
  </si>
  <si>
    <t>Табл.91, § 2</t>
  </si>
  <si>
    <t xml:space="preserve">Радиационное обследование участка площадью  св 1 га (измерение гамма-съемка 1.3 га, МАД) под площадными объектами </t>
  </si>
  <si>
    <t>Табл.92, § 3</t>
  </si>
  <si>
    <t>Выполнение полевых изыскательских работ в неблагоприятный период</t>
  </si>
  <si>
    <t>Табл.2, § 3 (к-1.3)</t>
  </si>
  <si>
    <t>0,013</t>
  </si>
  <si>
    <t>Выполнение изысканий в горном и высокогорном районах с отметками св. 2000 м К=1,2</t>
  </si>
  <si>
    <t>Табл.1, § 2 (к-1.20)</t>
  </si>
  <si>
    <t>0,012</t>
  </si>
  <si>
    <t>Расходы по внутреннему транспорту  св 5 км до 10 км</t>
  </si>
  <si>
    <t xml:space="preserve"> Табл. 5, § 5.1</t>
  </si>
  <si>
    <t>Анализ воды</t>
  </si>
  <si>
    <t>Стандартный (типовой) анализ воды</t>
  </si>
  <si>
    <t xml:space="preserve"> Табл.73, § 2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</si>
  <si>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EL7
</t>
  </si>
  <si>
    <t>Всесезонный туристско-рекреационный комплекс «Эльбрус», 
Кабардино-Балкарская Республика. 
Пассажирская подвесная канатная дорога EL7.</t>
  </si>
  <si>
    <t xml:space="preserve"> Смета №4-из</t>
  </si>
  <si>
    <t>Смета №7-ар</t>
  </si>
  <si>
    <t>Прогнозный индекс-дефлятор  рассчитан в соответствии с графиком выполнения работ.</t>
  </si>
  <si>
    <t>Поставка ПОМА</t>
  </si>
  <si>
    <t>в том числе поставка ПОМА</t>
  </si>
  <si>
    <t>с НДС</t>
  </si>
  <si>
    <t>Индекс пересчета в текущие цены на III квартал 2022 г. принят согласно Письму Минстроя России 
от 05.08.2022 N 39010-ИФ/09.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</si>
  <si>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</t>
  </si>
  <si>
    <t>Стоимость работ в ценах на дату формирования начальной (максимальной) цены контракта</t>
  </si>
  <si>
    <t>Стоимость работ в ценах  сметной документации
III квартал 2022 г.</t>
  </si>
  <si>
    <t>АО "КАВКАЗ.РФ"</t>
  </si>
  <si>
    <t>Наименование организации – заказчика: АО "КАВКАЗ.РФ"</t>
  </si>
  <si>
    <t>Наименование организации заказчика:  АО "КАВКАЗ.РФ"</t>
  </si>
  <si>
    <t>Итого с учетом индекса изменения сметной стоимости на III квартал 2022 г (письмо Минстроя России от 05.08.2022 N 39010-ИФ/09)</t>
  </si>
  <si>
    <t>ИТОГО  в ценах III квартала 2022 года (письмо Минстроя России от 05.08.2022 N 39010-ИФ/09)</t>
  </si>
  <si>
    <t>ВСЕГО по смете:</t>
  </si>
  <si>
    <t>ИТОГО в ценах III квартала 2022 года (Письмо Минстроя России от 05.08.2022 N 39010-ИФ/09)</t>
  </si>
  <si>
    <t>Итого  по смете в базовых ценах 01.01.1991 г.</t>
  </si>
  <si>
    <t xml:space="preserve">Итого в ценах 01.01.1991 г. с учетом непредвиденных расходов и затрат для доп. работ гл. 4 </t>
  </si>
  <si>
    <t>ИТОГО  в ценах III квартала 2022 года (Письмо Минстроя России от 05.08.2022 N 39010-ИФ/09)</t>
  </si>
  <si>
    <t>Составление программы работ, глубина изучения св. 10 до 15 м, площадь изучения - до 1 км2, III категория сложности ИГУ</t>
  </si>
  <si>
    <t>СБЦ-99, т.81, п.3 К1-прим.</t>
  </si>
  <si>
    <t>Стоимость инж.изыск.в ценах III кв.2022</t>
  </si>
  <si>
    <t>Индекс III кв.2022</t>
  </si>
  <si>
    <t>Стоимость проектных работ в ценах III кв.2022</t>
  </si>
  <si>
    <t>Индекс пересчета в текущие цены 2022 г</t>
  </si>
  <si>
    <t>Дата формирования НМЦК</t>
  </si>
  <si>
    <t>окончание первого года</t>
  </si>
  <si>
    <t>Продолжительность выполнения работ, мес.</t>
  </si>
  <si>
    <t>начало второго года</t>
  </si>
  <si>
    <t>окончание второго года</t>
  </si>
  <si>
    <t>начало третьего года</t>
  </si>
  <si>
    <t>Доля сметной стоимости, подлежащая выполнению подрядчиком в 2022 году</t>
  </si>
  <si>
    <t>Доля сметной стоимости, подлежащая выполнению подрядчиком в 2023 году</t>
  </si>
  <si>
    <t>Доля сметной стоимости, подлежащая выполнению подрядчиком в 2024 году</t>
  </si>
  <si>
    <t>Индекс Минэкономразвития РФ на 2022 г. (Письмо Минэкономразвития России от 28.09.2022 № 36804-ПК/Д03и)</t>
  </si>
  <si>
    <t>ежемесячный прогнозный индекс на 2022 год</t>
  </si>
  <si>
    <t>^(1/12)</t>
  </si>
  <si>
    <t>Индекс Минэкономразвития РФ на 2023 г. (Письмо Минэкономразвития России от 28.09.2022 № 36804-ПК/Д03и)</t>
  </si>
  <si>
    <t>ежемесячный прогнозный индекс на 2023 год</t>
  </si>
  <si>
    <t>Индекс Минэкономразвития РФ на 2024 г. (Письмо Минэкономразвития России от 28.09.2022 № 36804-ПК/Д03и)</t>
  </si>
  <si>
    <t>ежемесячный прогнозный индекс на 2024 год</t>
  </si>
  <si>
    <t>К на 2022 =</t>
  </si>
  <si>
    <t>К на 2023 =</t>
  </si>
  <si>
    <t>К на 2024 =</t>
  </si>
  <si>
    <t>Индекс прогнозной инфляции</t>
  </si>
  <si>
    <t>Применены индексы на III квартал 2022 года по Письму Минстроя России от 05.08.2022 N 39010-ИФ/09.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</si>
  <si>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Заданием на проектирование объекта капитального строительства.</t>
  </si>
  <si>
    <t>Итого по расчету: 8 242 271,00 руб.</t>
  </si>
  <si>
    <t>((48500+30*(0.4*150+0.6*0.5*150))*0,7)*1,156*0,4*5,07,
где количество 10=10</t>
  </si>
  <si>
    <t>84 761,00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</si>
  <si>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</t>
  </si>
  <si>
    <t>((48500+30*(0.4*150+0.6*0.5*150))*0,7)*1,156*0,4*5,07,
где количество 40=40</t>
  </si>
  <si>
    <t>Операторская ВСКД EL7 (S=60 м2): В здании операторской помещение оператора 12 м2, помещение службы безопасности 12 м2, санузел для персонала (автономный биотуалет) 3 м2, электрощитовая 10 м2, ДГУ аварийного привода КД 12 м2, серверная до 8 м2_x000D_
Каркасное здание с ограждающими конструкциями из сендвич-панелей.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</si>
  <si>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60(м2) </t>
  </si>
  <si>
    <t>(455800+580*60)*0,8*1,06*0,5*1,2661*1,04*0,4*5,07,
где количество 60=60</t>
  </si>
  <si>
    <t>555 473,00</t>
  </si>
  <si>
    <t>Индекс пересчета стоимости проектных работ на III квартал 2022 к уровню цен по состоянию на 01.01.2001 (приложение №3 к письму Минстроя РФ от 05.08.2022 N 39010-ИФ/09) Кинф=5,07;</t>
  </si>
  <si>
    <t>Архитектурные решения. Конструктивные и объемно-планировочные решения 13,8%;</t>
  </si>
  <si>
    <t xml:space="preserve">76 655,00 </t>
  </si>
  <si>
    <t>Инженерное оборудование. Технологические решения: Система электроснабжения 5,4%;</t>
  </si>
  <si>
    <t xml:space="preserve">29 996,00 </t>
  </si>
  <si>
    <t>Инженерное оборудование. Технологические решения: Система водоснабжения. Система водоотведения 2,6%;</t>
  </si>
  <si>
    <t xml:space="preserve">14 442,00 </t>
  </si>
  <si>
    <t>Инженерное оборудование. Технологические решения: Отопление, вентиляция, тепловые сети 3,3%;</t>
  </si>
  <si>
    <t xml:space="preserve">18 331,00 </t>
  </si>
  <si>
    <t>Инженерное оборудование. Технологические решения: Сети связи 0,9%;</t>
  </si>
  <si>
    <t xml:space="preserve">4 999,00 </t>
  </si>
  <si>
    <t>Инженерное оборудование. Технологические решения: Технологические решения 61,7%;</t>
  </si>
  <si>
    <t xml:space="preserve">342 727,00 </t>
  </si>
  <si>
    <t>Мероприятия по обеспечению пожарной безопасности 1,8%;</t>
  </si>
  <si>
    <t xml:space="preserve">9 999,00 </t>
  </si>
  <si>
    <t>Мероприятия по энергоэффективности 2,5%;</t>
  </si>
  <si>
    <t xml:space="preserve">13 887,00 </t>
  </si>
  <si>
    <t>Смета на строительство 8%;</t>
  </si>
  <si>
    <t xml:space="preserve">44 438,00 </t>
  </si>
  <si>
    <t>((7000+122*(0.4*1500+0.6*0.5*1500))*0,7)*0,796*0,3*5,07,
где количество 590=560+30</t>
  </si>
  <si>
    <t>114 497,00</t>
  </si>
  <si>
    <t>Технологическая часть 9,7%;</t>
  </si>
  <si>
    <t xml:space="preserve">11 106,00 </t>
  </si>
  <si>
    <t>Архитектурно-строитель-ная часть и генплан 26,3%;</t>
  </si>
  <si>
    <t xml:space="preserve">30 113,00 </t>
  </si>
  <si>
    <t>Отопление, вентиляция и теплоснабжение 11%;</t>
  </si>
  <si>
    <t xml:space="preserve">12 595,00 </t>
  </si>
  <si>
    <t>Водоснабжение и канализация 8,9%;</t>
  </si>
  <si>
    <t xml:space="preserve">10 190,00 </t>
  </si>
  <si>
    <t>Электроснабжение и электрооборудование, автоматизация 9%;</t>
  </si>
  <si>
    <t xml:space="preserve">10 305,00 </t>
  </si>
  <si>
    <t>Связь и сигнализация 0,7%;</t>
  </si>
  <si>
    <t>Проект организации строительства 1,4%;</t>
  </si>
  <si>
    <t xml:space="preserve">1 603,00 </t>
  </si>
  <si>
    <t>Охрана окружающей среды 8%;</t>
  </si>
  <si>
    <t xml:space="preserve">9 160,00 </t>
  </si>
  <si>
    <t>Системы пожарной защиты 5%;</t>
  </si>
  <si>
    <t xml:space="preserve">5 725,00 </t>
  </si>
  <si>
    <t>Дымоудаление 5%;</t>
  </si>
  <si>
    <t>Энергоэффективность 4%;</t>
  </si>
  <si>
    <t xml:space="preserve">4 580,00 </t>
  </si>
  <si>
    <t>Отходы производства 1%;</t>
  </si>
  <si>
    <t xml:space="preserve">1 145,00 </t>
  </si>
  <si>
    <t>Индивидуальный тепловой пункт 4%;</t>
  </si>
  <si>
    <t>Сметная документация 6%;</t>
  </si>
  <si>
    <t xml:space="preserve">6 870,00 </t>
  </si>
  <si>
    <t>Операторская НСКД EL7 (S=40 м2): В здании операторской помещение оператора КД 12 м2, помещение службы безопасности 12 м2,, санузел для персонала (автономный биотуалет) 3 м2, , электрощитовая 6 м2._x000D_
Каркасное здание с ограждающими конструкциями из сендвич-панелей.</t>
  </si>
  <si>
    <t>(455800+580*40)*0,8*1,06*0,5*1,2661*1,04*0,4*5,07,
где количество 40=40</t>
  </si>
  <si>
    <t>542 339,00</t>
  </si>
  <si>
    <t xml:space="preserve">74 843,00 </t>
  </si>
  <si>
    <t xml:space="preserve">29 286,00 </t>
  </si>
  <si>
    <t xml:space="preserve">14 101,00 </t>
  </si>
  <si>
    <t xml:space="preserve">17 897,00 </t>
  </si>
  <si>
    <t xml:space="preserve">4 881,00 </t>
  </si>
  <si>
    <t xml:space="preserve">334 623,00 </t>
  </si>
  <si>
    <t xml:space="preserve">9 762,00 </t>
  </si>
  <si>
    <t xml:space="preserve">13 558,00 </t>
  </si>
  <si>
    <t xml:space="preserve">43 387,00 </t>
  </si>
  <si>
    <t>Надземная пешеходная эстакада для перемещения посетителей  от НСКД EL6 в сторону НСКД EL7: Открытая надземная эстакада из металлоконструкций  с решетчатым настилом длиной до 50 м и шириной 3 м.</t>
  </si>
  <si>
    <t xml:space="preserve">Пешеходный переход (технологическая эстакада) шириной до 3 м над железнодорожным или автодорожным проездом, из типовых конструкций пролетных строений и опор, размер наибольшего пролета до 42 м, полной длиной: свыше 25 до 600 м, 50(м) </t>
  </si>
  <si>
    <t>(67100+660*50)*0,23*1,04*1,144*0,85*5,07,
где количество 50=50</t>
  </si>
  <si>
    <t>118 045,00</t>
  </si>
  <si>
    <t>Пояснительная записка (общие вопросы проектирования) 22%;</t>
  </si>
  <si>
    <t xml:space="preserve">25 970,00 </t>
  </si>
  <si>
    <t>Конструктивные решения. Искусственные сооружения: опоры 40%;</t>
  </si>
  <si>
    <t xml:space="preserve">47 218,00 </t>
  </si>
  <si>
    <t>Конструктивные решения. Искусственные сооружения: проелтные строения 8%;</t>
  </si>
  <si>
    <t xml:space="preserve">9 444,00 </t>
  </si>
  <si>
    <t>Проект организации строительства 18%;</t>
  </si>
  <si>
    <t xml:space="preserve">21 248,00 </t>
  </si>
  <si>
    <t>Смета на строительство 5%;</t>
  </si>
  <si>
    <t xml:space="preserve">5 902,00 </t>
  </si>
  <si>
    <t>Иная документация (архитектурные решения) 7%;</t>
  </si>
  <si>
    <t xml:space="preserve">8 263,00 </t>
  </si>
  <si>
    <t>(110740+18350*0,4)*0,6*1,189*1,04*5,07,
где количество 0,4=0,4</t>
  </si>
  <si>
    <t>444 172,00</t>
  </si>
  <si>
    <t>Пояснительная записка 2%;</t>
  </si>
  <si>
    <t xml:space="preserve">8 883,00 </t>
  </si>
  <si>
    <t>Схема планировочной организации земельного участка 2%;</t>
  </si>
  <si>
    <t>Архитектурные решения 5%;</t>
  </si>
  <si>
    <t xml:space="preserve">22 209,00 </t>
  </si>
  <si>
    <t>Конструктивные и объемнопланировочные решения 18%;</t>
  </si>
  <si>
    <t xml:space="preserve">79 951,00 </t>
  </si>
  <si>
    <t>Инженерное оборудование, сети, инженерно-технические мероприятия, технологические решения: Система электроснабжения 8%;</t>
  </si>
  <si>
    <t xml:space="preserve">35 534,00 </t>
  </si>
  <si>
    <t>Инженерное оборудование, сети, инженерно-технические мероприятия, технологические решения: Система водоснабжения 2%;</t>
  </si>
  <si>
    <t>Инженерное оборудование, сети, инженерно-технические мероприятия, технологические решения: Система водоотведения 2%;</t>
  </si>
  <si>
    <t>Инженерное оборудование, сети, инженерно-технические мероприятия, технологические решения: Отопление, вентиляция 6%;</t>
  </si>
  <si>
    <t xml:space="preserve">26 650,00 </t>
  </si>
  <si>
    <t>Инженерное оборудование, сети, инженерно-технические мероприятия, технологические решения: Основные общеинженерные системы связи и оповещения 2%;</t>
  </si>
  <si>
    <t>Инженерное оборудование, сети, инженерно-технические мероприятия, технологические решения: Технологические решения 25%;</t>
  </si>
  <si>
    <t xml:space="preserve">111 043,00 </t>
  </si>
  <si>
    <t>Проект организации строительства 6%;</t>
  </si>
  <si>
    <t>Перечень мероприятий по охране окружающей среды 8%;</t>
  </si>
  <si>
    <t>Мероприятия по обеспечению пожарной безопасности 4%;</t>
  </si>
  <si>
    <t xml:space="preserve">17 767,00 </t>
  </si>
  <si>
    <t>Требования к обеспечению безопасной эксплуатации объекта капитального строительства 1%;</t>
  </si>
  <si>
    <t xml:space="preserve">4 442,00 </t>
  </si>
  <si>
    <t>Мероприятия по обеспечению соблюдения требований энергетической эффективности и требований оснащенности зданий, строений и сооружений приборами учета используемых энергетических ресурсов 2%;</t>
  </si>
  <si>
    <t>Смета на строительство 7%;</t>
  </si>
  <si>
    <t xml:space="preserve">31 092,00 </t>
  </si>
  <si>
    <t>Организация рельефа, комплексное благоустройство и озеленение в границах территории в районе ВСКД. 1500 м2 В увязке с решениями участка размещения ВСКД EL8.2, с учетом существующего рельефа и отметок прилегающих горнолыжных трас EP16, EP18.</t>
  </si>
  <si>
    <t>Организация рельефа, комплексное благоустройство и озеленение в границах территории в районе НСКД. 1600 м2 В увязке с размещением станции отправки (нижней станции)  с зоной выката горнолыжной трассы EP16, EP12, EP13.2</t>
  </si>
  <si>
    <t xml:space="preserve">Парки, сады, скверы, бульвары площадью: до 1 га, (1500+1600)/10000=0,31(га) </t>
  </si>
  <si>
    <t xml:space="preserve">СБЦП "Территориальное планирование и планировка территорий (2010)" табл.5 п.1
(СБЦП01-5-1) </t>
  </si>
  <si>
    <t>((18920+5060*(0.4*1+0.6*0.5*1))*0,7)*(1+(0,2+0,2+0,6+0,1))*0,4*5,07,
где количество 0,31=(1500+1600)/10000</t>
  </si>
  <si>
    <t>66 963,00</t>
  </si>
  <si>
    <t>Таб.8 Наличие опасных природно-техногенных процессов, зон возможных стихийных бедствий (К=1,1-1,2) К=1,2;</t>
  </si>
  <si>
    <t>Таб.8 Наличие курортных и рекреационных районов, зон и т.д. (К=1,1-1,2) К=1,2;</t>
  </si>
  <si>
    <t>Таб.8 Наличие неблагоприятных природных условий, требующих сложных мероприятий по инженерной подготовке территории (К=1,2-1,6) К=1,6;</t>
  </si>
  <si>
    <t>ОП п.1.9 При проектировании парков, садов, скверов, бульваров на местности с уклоном поверхности менее 0,005 (0,5%) или более 0,05 (5%), превышающей по площади 30% планируемой территории К=1,1;</t>
  </si>
  <si>
    <t>Генплан и транспорт 23%;</t>
  </si>
  <si>
    <t xml:space="preserve">15 401,00 </t>
  </si>
  <si>
    <t>Разбивочные чертежи планировки 9%;</t>
  </si>
  <si>
    <t xml:space="preserve">6 027,00 </t>
  </si>
  <si>
    <t>Дендрологический план 13%;</t>
  </si>
  <si>
    <t xml:space="preserve">8 705,00 </t>
  </si>
  <si>
    <t>Посадочные и разбивочные чертежи озеленения 14%;</t>
  </si>
  <si>
    <t xml:space="preserve">9 375,00 </t>
  </si>
  <si>
    <t>Вертикальная планировка 16%;</t>
  </si>
  <si>
    <t xml:space="preserve">10 714,00 </t>
  </si>
  <si>
    <t>Дорожная сеть 9%;</t>
  </si>
  <si>
    <t>Ливнестоки 7%;</t>
  </si>
  <si>
    <t xml:space="preserve">4 687,00 </t>
  </si>
  <si>
    <t>Смета на строительство 9%;</t>
  </si>
  <si>
    <t>(58040+398*10)*0,6*1,04*5,07*0,4708,
где количество 10=10</t>
  </si>
  <si>
    <t>92 376,00</t>
  </si>
  <si>
    <t xml:space="preserve">3 924,00 </t>
  </si>
  <si>
    <t>Архитектурные решения 6%;</t>
  </si>
  <si>
    <t xml:space="preserve">11 773,00 </t>
  </si>
  <si>
    <t>Конструктивные и объемно-планировочные решения 15,6%;</t>
  </si>
  <si>
    <t xml:space="preserve">30 609,00 </t>
  </si>
  <si>
    <t>Проект организация строительства 3%;</t>
  </si>
  <si>
    <t xml:space="preserve">5 886,00 </t>
  </si>
  <si>
    <t>Охрана окружающей среды (ООС) 9%;</t>
  </si>
  <si>
    <t xml:space="preserve">17 659,00 </t>
  </si>
  <si>
    <t>Мероприятия по обеспечению пожарной безопасности 6%;</t>
  </si>
  <si>
    <t>Смета на строительство 3,48%;</t>
  </si>
  <si>
    <t xml:space="preserve">6 828,00 </t>
  </si>
  <si>
    <t>(58040+398*25)*1,04*0,6*5,07*0,4236,
где количество 25=25</t>
  </si>
  <si>
    <t>91 116,00</t>
  </si>
  <si>
    <t xml:space="preserve">4 302,00 </t>
  </si>
  <si>
    <t>Конструктивные и объемно-планировочные решения 17,4%;</t>
  </si>
  <si>
    <t xml:space="preserve">37 427,00 </t>
  </si>
  <si>
    <t xml:space="preserve">6 453,00 </t>
  </si>
  <si>
    <t xml:space="preserve">19 359,00 </t>
  </si>
  <si>
    <t xml:space="preserve">12 906,00 </t>
  </si>
  <si>
    <t>Смета на строительство 2,96%;</t>
  </si>
  <si>
    <t xml:space="preserve">6 367,00 </t>
  </si>
  <si>
    <t>(58040+398*40)*1,04*0,6*5,07*0,4236,
где количество 40=40</t>
  </si>
  <si>
    <t>99 116,00</t>
  </si>
  <si>
    <t xml:space="preserve">4 680,00 </t>
  </si>
  <si>
    <t xml:space="preserve">40 713,00 </t>
  </si>
  <si>
    <t xml:space="preserve">7 020,00 </t>
  </si>
  <si>
    <t xml:space="preserve">21 059,00 </t>
  </si>
  <si>
    <t xml:space="preserve">14 039,00 </t>
  </si>
  <si>
    <t xml:space="preserve">6 926,00 </t>
  </si>
  <si>
    <t>Лавинорез на ППКД EL9 высотой 6 м = 3шт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</si>
  <si>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0,3 до 1,1 тыс.м2, 60*6*3/1000=1,08(тыс.м2) </t>
  </si>
  <si>
    <t xml:space="preserve">СБЦП "Заглубленные сооружения и конструкции, водопонижение, противооползневые сооружения и мероприятия (2015)" табл.1 п.29
(СБЦП15-1-29) </t>
  </si>
  <si>
    <t>(160512+321480*1,08)*0,3*1,04*1,021*0,35*5,07,
где количество 1,08=60*6*3/1000</t>
  </si>
  <si>
    <t>286 994,00</t>
  </si>
  <si>
    <t xml:space="preserve">5 740,00 </t>
  </si>
  <si>
    <t>Схема планировочной организации земельного участка 4%;</t>
  </si>
  <si>
    <t xml:space="preserve">11 480,00 </t>
  </si>
  <si>
    <t>Архитектурные решения 7%;</t>
  </si>
  <si>
    <t xml:space="preserve">20 090,00 </t>
  </si>
  <si>
    <t>Конструктивные и объемно-планировочные решения 7%;</t>
  </si>
  <si>
    <t>Инженерное оборудование, сети инженерно-технические мероприятия, технологические решения: Технологические решения 49%;</t>
  </si>
  <si>
    <t xml:space="preserve">140 627,00 </t>
  </si>
  <si>
    <t>Инженерное оборудование, сети инженерно-технические мероприятия, технологические решения: Электроснабжение, автоматика, связь, сигнализация 12%;</t>
  </si>
  <si>
    <t xml:space="preserve">34 439,00 </t>
  </si>
  <si>
    <t>Проект организация строительства (ПОС) 4%;</t>
  </si>
  <si>
    <t>Охрана окружающей среды (ООС) 8%;</t>
  </si>
  <si>
    <t xml:space="preserve">22 960,00 </t>
  </si>
  <si>
    <t>Мероприятия по обеспечению пожарной безопасности 2%;</t>
  </si>
  <si>
    <t xml:space="preserve">14 350,00 </t>
  </si>
  <si>
    <t xml:space="preserve">      Итого Поз. 4</t>
  </si>
  <si>
    <t xml:space="preserve">   Проектные работы: Территориальное планирование и планировка территорий (2010)</t>
  </si>
  <si>
    <t xml:space="preserve">      Итого Поз. 9</t>
  </si>
  <si>
    <t>2 207 824,00</t>
  </si>
  <si>
    <t xml:space="preserve">      Итого Поз. 10-33</t>
  </si>
  <si>
    <t>254 283,00</t>
  </si>
  <si>
    <t xml:space="preserve">      Итого Поз. 1-2, 5</t>
  </si>
  <si>
    <t xml:space="preserve">      Итого Поз. 7</t>
  </si>
  <si>
    <t>1 097 812,00</t>
  </si>
  <si>
    <t xml:space="preserve">      Итого Поз. 3, 6</t>
  </si>
  <si>
    <t xml:space="preserve">      Итого Поз. 8</t>
  </si>
  <si>
    <t xml:space="preserve">      Итого Поз. 34</t>
  </si>
  <si>
    <t>4 590 590,00</t>
  </si>
  <si>
    <t>(7763+42*200)*1,191*1,04*0,4*5,07,
где количество 200=200</t>
  </si>
  <si>
    <t>40 601,00</t>
  </si>
  <si>
    <t>Проект полосы отвода 2%;</t>
  </si>
  <si>
    <t>Здания и сооружения, входящие в инфраструктуру объекта 6%;</t>
  </si>
  <si>
    <t xml:space="preserve">2 436,00 </t>
  </si>
  <si>
    <t>Проект организации строительства 2%;</t>
  </si>
  <si>
    <t>Проект организации работ по сносу (демонтажу) 1%;</t>
  </si>
  <si>
    <t>Мероприятия по охране окружающей среды 9%;</t>
  </si>
  <si>
    <t xml:space="preserve">3 654,00 </t>
  </si>
  <si>
    <t>Мероприятия по обеспечению пожарной безопасности 3%;</t>
  </si>
  <si>
    <t xml:space="preserve">1 218,00 </t>
  </si>
  <si>
    <t xml:space="preserve">2 030,00 </t>
  </si>
  <si>
    <t>Раздел «Технологические конструктивные решения линейного объекта. Искусственные сооружения (инженерное обустройство, сети)» - Технологические решения 24,5%;</t>
  </si>
  <si>
    <t xml:space="preserve">9 947,00 </t>
  </si>
  <si>
    <t>Раздел «Технологические конструктивные решения линейного объекта. Искусственные сооружения (инженерное обустройство, сети)» - Конструктивные решения 27,5%;</t>
  </si>
  <si>
    <t xml:space="preserve">11 165,00 </t>
  </si>
  <si>
    <t>Раздел «Технологические конструктивные решения линейного объекта. Искусственные сооружения (инженерное обустройство, сети)» - Искусственные сооружения 1,5%;</t>
  </si>
  <si>
    <t>Раздел «Технологические конструктивные решения линейного объекта. Искусственные сооружения (инженерное обустройство, сети)» - Обустройство 2,5%;</t>
  </si>
  <si>
    <t xml:space="preserve">1 015,00 </t>
  </si>
  <si>
    <t>Раздел «Технологические конструктивные решения линейного объекта. Искусственные сооружения (инженерное обустройство, сети)» - Электроснабжение 10%;</t>
  </si>
  <si>
    <t xml:space="preserve">4 060,00 </t>
  </si>
  <si>
    <t>Раздел «Технологические конструктивные решения линейного объекта. Искусственные сооружения (инженерное обустройство, сети)» - Водоснабжение и водоотведение 2,5%;</t>
  </si>
  <si>
    <t>Раздел «Технологические конструктивные решения линейного объекта. Искусственные сооружения (инженерное обустройство, сети)» - Связь, сигнализация, АСУ 1,5%;</t>
  </si>
  <si>
    <t>Кабельная линия 0,4 кВ в траншее (400 м): От ТП-КД-5 до НСКД</t>
  </si>
  <si>
    <t xml:space="preserve">Кабельные линии напряжением до 35 кВ с интервалами протяженности: свыше 100 до 500 м, 150(м) </t>
  </si>
  <si>
    <t>(7763+42*150)*1,191*1,04*0,4*5,07,
где количество 150=150</t>
  </si>
  <si>
    <t>35 326,00</t>
  </si>
  <si>
    <t xml:space="preserve">2 120,00 </t>
  </si>
  <si>
    <t xml:space="preserve">3 179,00 </t>
  </si>
  <si>
    <t xml:space="preserve">1 060,00 </t>
  </si>
  <si>
    <t xml:space="preserve">1 766,00 </t>
  </si>
  <si>
    <t xml:space="preserve">8 655,00 </t>
  </si>
  <si>
    <t xml:space="preserve">9 715,00 </t>
  </si>
  <si>
    <t xml:space="preserve">3 533,00 </t>
  </si>
  <si>
    <t>(7720+136*200)*1,191*1,04*0,4*5,07,
где количество 200=200</t>
  </si>
  <si>
    <t>87 718,00</t>
  </si>
  <si>
    <t xml:space="preserve">1 754,00 </t>
  </si>
  <si>
    <t xml:space="preserve">5 263,00 </t>
  </si>
  <si>
    <t xml:space="preserve">7 895,00 </t>
  </si>
  <si>
    <t xml:space="preserve">2 632,00 </t>
  </si>
  <si>
    <t xml:space="preserve">4 386,00 </t>
  </si>
  <si>
    <t xml:space="preserve">21 491,00 </t>
  </si>
  <si>
    <t xml:space="preserve">24 122,00 </t>
  </si>
  <si>
    <t xml:space="preserve">1 316,00 </t>
  </si>
  <si>
    <t xml:space="preserve">2 193,00 </t>
  </si>
  <si>
    <t xml:space="preserve">8 772,00 </t>
  </si>
  <si>
    <t>Наружная сеть связи (200 м): ВОЛС с прокладкой в лотке по конструкциям платформы станций КД</t>
  </si>
  <si>
    <t xml:space="preserve">Прокладка первого кабеля в проектируемой телефонной канализации при длине участка прокладки: до 250 м, 1(объект) </t>
  </si>
  <si>
    <t xml:space="preserve">СБЦП "Коммунальные инженерные сети и сооружения (2012)" табл.1 п.38
(СБЦП07-1-38) </t>
  </si>
  <si>
    <t>(31000*1)*1,2*1,191*1,04*0,4*5,07,
где количество 1=1</t>
  </si>
  <si>
    <t>93 445,00</t>
  </si>
  <si>
    <t xml:space="preserve">1 869,00 </t>
  </si>
  <si>
    <t xml:space="preserve">5 607,00 </t>
  </si>
  <si>
    <t xml:space="preserve">8 410,00 </t>
  </si>
  <si>
    <t xml:space="preserve">2 803,00 </t>
  </si>
  <si>
    <t xml:space="preserve">4 672,00 </t>
  </si>
  <si>
    <t xml:space="preserve">22 894,00 </t>
  </si>
  <si>
    <t xml:space="preserve">25 697,00 </t>
  </si>
  <si>
    <t xml:space="preserve">1 402,00 </t>
  </si>
  <si>
    <t xml:space="preserve">2 336,00 </t>
  </si>
  <si>
    <t xml:space="preserve">9 345,00 </t>
  </si>
  <si>
    <t>257 090,00</t>
  </si>
  <si>
    <t xml:space="preserve">      Итого Поз. 35-38</t>
  </si>
  <si>
    <t xml:space="preserve">Установка промышленного телевизионного оборудования в готовом здании с числом камер от 2 до 12, 4(1 камера) </t>
  </si>
  <si>
    <t>(36610+4570*4)*1,006*1,04*0,5*5,07,
где количество 4=4</t>
  </si>
  <si>
    <t>145 580,00</t>
  </si>
  <si>
    <t>Охранного телевидения (СОТ) наружная, АРМ 2 шт</t>
  </si>
  <si>
    <t xml:space="preserve">Установка промышленного телевизионного оборудования в готовом здании с числом камер от 2 до 12, 19(1 камера) </t>
  </si>
  <si>
    <t>(36610+4570*(0.4*12+0.6*19))*1,1*1,006*1,04*0,5*5,07,
где количество 19=19</t>
  </si>
  <si>
    <t>322 797,00</t>
  </si>
  <si>
    <t xml:space="preserve">Автоматизированное рабочее место (АРМ) оператора на базе ПЭВМ, 2(1 АРМ) </t>
  </si>
  <si>
    <t xml:space="preserve">СБЦП "Объекты связи (2010)" табл.24 п.1
(СБЦП02-24-1) </t>
  </si>
  <si>
    <t>(2400*2)*1,006*0,5*1,04*5,07,
где количество 2=2</t>
  </si>
  <si>
    <t>12 731,00</t>
  </si>
  <si>
    <t>(36610+4570*6)*1,006*1,04*0,5*5,07,
где количество 6=6</t>
  </si>
  <si>
    <t>169 822,00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</si>
  <si>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 до 250 м, 250(п.м) </t>
  </si>
  <si>
    <t>(7720+136*250)*1,191*1,04*0,4*5,07,
где количество 250=250</t>
  </si>
  <si>
    <t>104 799,00</t>
  </si>
  <si>
    <t xml:space="preserve">2 096,00 </t>
  </si>
  <si>
    <t xml:space="preserve">6 288,00 </t>
  </si>
  <si>
    <t xml:space="preserve">1 048,00 </t>
  </si>
  <si>
    <t xml:space="preserve">9 432,00 </t>
  </si>
  <si>
    <t xml:space="preserve">3 144,00 </t>
  </si>
  <si>
    <t xml:space="preserve">5 240,00 </t>
  </si>
  <si>
    <t xml:space="preserve">25 676,00 </t>
  </si>
  <si>
    <t xml:space="preserve">28 820,00 </t>
  </si>
  <si>
    <t xml:space="preserve">1 572,00 </t>
  </si>
  <si>
    <t xml:space="preserve">2 620,00 </t>
  </si>
  <si>
    <t xml:space="preserve">10 480,00 </t>
  </si>
  <si>
    <t>Система экстренной связи: Стойка вызова  на НСКД, ВСКД</t>
  </si>
  <si>
    <t xml:space="preserve">Структурированная кабельная сеть с числом узлов: от 2 до 10, 2(1 узел) </t>
  </si>
  <si>
    <t>(2450+3680*2)*1,006*1,04*0,5*5,07,
где количество 2=2</t>
  </si>
  <si>
    <t>26 018,00</t>
  </si>
  <si>
    <t>Охранно-тревожная сигнализация (СОТС): Защитить: 2 операторские 50 м2 и 40 м2, гараж кресел 560 м2, станции канатной дороги. Количество рубежей охраны – 2.</t>
  </si>
  <si>
    <t xml:space="preserve">Установки охранной сигнализации, защищающие объект площадью: до 100м2, 2+2=4(объект) </t>
  </si>
  <si>
    <t>(540*4)*1,2*1,2*1,1*1,09*0,25*38,79,
где количество 4=2+2</t>
  </si>
  <si>
    <t>36 166,00</t>
  </si>
  <si>
    <t>Индекс пересчета стоимости проектных работ на III квартал 2022 к уровню цен по состоянию на 01.01.1995, с учетом положений, приведенных в _x000D_;</t>
  </si>
  <si>
    <t>письме Госстроя России от 13.01.1996 № 9-1-1/6 (приложение №3 к письму Минстроя РФ от 05.08.2022 N 39010-ИФ/09) Кинф=38,79;</t>
  </si>
  <si>
    <t xml:space="preserve">10 850,00 </t>
  </si>
  <si>
    <t>Принципиальные технические решения, технико-экономический анализ 30%;</t>
  </si>
  <si>
    <t xml:space="preserve">24 231,00 </t>
  </si>
  <si>
    <t>Автоматика и сигнализация 67%;</t>
  </si>
  <si>
    <t xml:space="preserve">1 085,00 </t>
  </si>
  <si>
    <t>Сметная документация 3%;</t>
  </si>
  <si>
    <t>(875*1)*1,2*1,2*1,1*1,09*0,25*38,79,
где количество 1=1</t>
  </si>
  <si>
    <t>14 650,00</t>
  </si>
  <si>
    <t xml:space="preserve">4 395,00 </t>
  </si>
  <si>
    <t xml:space="preserve">9 816,00 </t>
  </si>
  <si>
    <t>АРМ на ВСКД</t>
  </si>
  <si>
    <t xml:space="preserve">Автоматизированное рабочее место (АРМ) оператора на базе ПЭВМ, 1(1 АРМ) </t>
  </si>
  <si>
    <t>(2400*1)*1,006*0,5*1,04*5,07,
где количество 1=1</t>
  </si>
  <si>
    <t>6 365,00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</si>
  <si>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18(1 канал) </t>
  </si>
  <si>
    <t>(25980+4623*18)*1,006*1,04*0,42*5,07,
где количество 18=18</t>
  </si>
  <si>
    <t>243 269,00</t>
  </si>
  <si>
    <t xml:space="preserve">Структурированная кабельная сеть с числом узлов:свыше 25 до 50, 32(1 узел) </t>
  </si>
  <si>
    <t>(34200+790*32)*1,006*1,04*0,5*5,07,
где количество 32=32</t>
  </si>
  <si>
    <t>157 754,00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</si>
  <si>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28(1 канал) </t>
  </si>
  <si>
    <t>(25980+4623*28)*1,006*1,04*0,42*5,07,
где количество 28=28</t>
  </si>
  <si>
    <t>346 263,00</t>
  </si>
  <si>
    <t xml:space="preserve">Аппаратная выделенной телефонной или телеграфной связи с количеством установок: от 1 до 20, 4(1 установка) </t>
  </si>
  <si>
    <t>(1740+632*4)*1,006*1,04*0,5*5,07,
где количество 4=4</t>
  </si>
  <si>
    <t>11 320,00</t>
  </si>
  <si>
    <t>Конструктивные и объемно-планировочные решения 12%;</t>
  </si>
  <si>
    <t xml:space="preserve">1 358,00 </t>
  </si>
  <si>
    <t>Электроснабжение 16%;</t>
  </si>
  <si>
    <t xml:space="preserve">1 811,00 </t>
  </si>
  <si>
    <t>Водоснабжение 2%;</t>
  </si>
  <si>
    <t>Водоотведение 2%;</t>
  </si>
  <si>
    <t>Отопление, вентиляция, кондиционирование воздуха 10%;</t>
  </si>
  <si>
    <t xml:space="preserve">1 132,00 </t>
  </si>
  <si>
    <t>Связь 2%;</t>
  </si>
  <si>
    <t>Газоснабжение 1%;</t>
  </si>
  <si>
    <t>Технологические решения 18%;</t>
  </si>
  <si>
    <t xml:space="preserve">2 038,00 </t>
  </si>
  <si>
    <t xml:space="preserve">1 019,00 </t>
  </si>
  <si>
    <t>Мероприятия по обеспечению доступа инвалидов 1%;</t>
  </si>
  <si>
    <t>Система часофикации (СЧ): На НСКД и ВСКД в районе посадки, на операторских, установка уличных часов.</t>
  </si>
  <si>
    <t xml:space="preserve">Станция электрочасофикации с числом подключаемых вторичных электрочасов: до 50, 2(1 вторичные электрочасы) </t>
  </si>
  <si>
    <t>((364+3,5*(0.4*50+0.6*0.5*50))*0,7)*1,006*1,04*0,49*5,07,
где количество 2=2</t>
  </si>
  <si>
    <t>(1740+632*2)*1,006*1,04*0,5*5,07,
где количество 2=2</t>
  </si>
  <si>
    <t>7 967,00</t>
  </si>
  <si>
    <t xml:space="preserve">1 275,00 </t>
  </si>
  <si>
    <t xml:space="preserve">1 434,00 </t>
  </si>
  <si>
    <t>Платежно–пропускная система (ППС): турникеты, платежный терминал</t>
  </si>
  <si>
    <t xml:space="preserve">Установка промышленного телевизионного оборудования в готовом здании с числом камер от 2 до 12, 6+1=7(1 камера) </t>
  </si>
  <si>
    <t>(36610+4570*7)*1,006*1,04*0,5*1,1*5,07,
где количество 7=6+1</t>
  </si>
  <si>
    <t>200 136,00</t>
  </si>
  <si>
    <t>(2560*1)*1,231*0,25*38,79,
где количество 1=1</t>
  </si>
  <si>
    <t>30 560,00</t>
  </si>
  <si>
    <t xml:space="preserve">6 112,00 </t>
  </si>
  <si>
    <t>Принципиальные технические решения, технико-экономический анализ 20%;</t>
  </si>
  <si>
    <t xml:space="preserve">11 613,00 </t>
  </si>
  <si>
    <t>Технологическая часть 38%;</t>
  </si>
  <si>
    <t xml:space="preserve">11 918,00 </t>
  </si>
  <si>
    <t>Автоматика и сигнализация 39%;</t>
  </si>
  <si>
    <t>Система охраны опор канатной дороги (СООКД) 56 видеокамер</t>
  </si>
  <si>
    <t xml:space="preserve">Установка промышленного телевизионного оборудования в готовом здании с числом камер от 2 до 12, 56(1 камера) </t>
  </si>
  <si>
    <t>(36610+4570*(0.4*12+0.6*56))*1,1*1,006*1,04*0,5*5,07,
где количество 56=56</t>
  </si>
  <si>
    <t>618 783,00</t>
  </si>
  <si>
    <t>ВОЛС по опорам = 2800 м</t>
  </si>
  <si>
    <t xml:space="preserve">Прокладка кабелей и подвеска проводов связи и радио по опорам, протяженностью: свыше 1000 до 6000 м, 2800(м) </t>
  </si>
  <si>
    <t xml:space="preserve">СБЦП "Коммунальные инженерные сети и сооружения (2012)" табл.1 п.50
(СБЦП07-1-50) </t>
  </si>
  <si>
    <t>(47000+58*2800)*1,04*1,186*1,2*0,4*0,4*5,07,
где количество 2800=2800</t>
  </si>
  <si>
    <t>251 422,00</t>
  </si>
  <si>
    <t>СБЦП МУ(2009) п.3.7 Сейсмичность 9 баллов К=1,3 для разделов проектирования (ТХ- 24,5%; КР-27,5%; ЭС-10%) к=62%*1,3+38%=118,6% К=1,186;</t>
  </si>
  <si>
    <t>ТЧ п.2.1.2 При проектировании прокладки кабелей связи по столбовой линии без установки опор, до К=0,4;</t>
  </si>
  <si>
    <t xml:space="preserve">5 028,00 </t>
  </si>
  <si>
    <t xml:space="preserve">15 085,00 </t>
  </si>
  <si>
    <t xml:space="preserve">2 514,00 </t>
  </si>
  <si>
    <t xml:space="preserve">22 628,00 </t>
  </si>
  <si>
    <t xml:space="preserve">7 543,00 </t>
  </si>
  <si>
    <t xml:space="preserve">12 571,00 </t>
  </si>
  <si>
    <t xml:space="preserve">61 598,00 </t>
  </si>
  <si>
    <t xml:space="preserve">69 141,00 </t>
  </si>
  <si>
    <t xml:space="preserve">3 771,00 </t>
  </si>
  <si>
    <t xml:space="preserve">6 286,00 </t>
  </si>
  <si>
    <t xml:space="preserve">25 142,00 </t>
  </si>
  <si>
    <t>СОТС = 18 приборов (Защищаемая площадь 288 м2 (по 16 м2 на опору))</t>
  </si>
  <si>
    <t xml:space="preserve">Установки охранной сигнализации, защищающие объект площадью: 200-400м2, 1(объект) </t>
  </si>
  <si>
    <t xml:space="preserve">СБЦ "Системы противопожарной и охранной защиты (1999)" табл.5 п.3
(СБЦ1-5-3) </t>
  </si>
  <si>
    <t>(738*1)*0,4*38,79,
где количество 1=1</t>
  </si>
  <si>
    <t>11 451,00</t>
  </si>
  <si>
    <t xml:space="preserve">3 435,00 </t>
  </si>
  <si>
    <t xml:space="preserve">7 672,00 </t>
  </si>
  <si>
    <t>Система оперативной диспетчерской связи (СОДС) = 2 телефона</t>
  </si>
  <si>
    <t xml:space="preserve">Установка оперативно-диспетчерской связи емкостью в номерах: до 50, 2(1 номер) </t>
  </si>
  <si>
    <t xml:space="preserve">СБЦП "Объекты связи (2010)" табл.9 п.2
(СБЦП02-9-1) </t>
  </si>
  <si>
    <t>((1020+15*(0.4*50+0.6*0.5*50))*0,7)*0,48*1,144*1,04*5,07,
где количество 2=2</t>
  </si>
  <si>
    <t>3 131,00</t>
  </si>
  <si>
    <t xml:space="preserve"> Стадийность проектирования К=0,48;</t>
  </si>
  <si>
    <t>СБЦП МУ(2009) п.3.7 Сейсмичность 9 баллов К=1,3 для разделов проектирования (КР-12%, ЭС-16%, СС-2%, ТХ-18%) к=48%*1,3+52%=114,4% К=1,144;</t>
  </si>
  <si>
    <t>Система охранного теленаблюдения горнолыжных трасс (СОТ ГЛТ)</t>
  </si>
  <si>
    <t xml:space="preserve">Установка промышленного телевизионного оборудования в готовом здании с числом камерот 2 до 12, 12(1 камера) </t>
  </si>
  <si>
    <t>(36610+4570*12)*0,5*1,1*1,144*1,04*5,07,
где количество 12=12</t>
  </si>
  <si>
    <t>303 399,00</t>
  </si>
  <si>
    <t xml:space="preserve">6 068,00 </t>
  </si>
  <si>
    <t xml:space="preserve">18 204,00 </t>
  </si>
  <si>
    <t xml:space="preserve">36 408,00 </t>
  </si>
  <si>
    <t xml:space="preserve">48 544,00 </t>
  </si>
  <si>
    <t xml:space="preserve">30 340,00 </t>
  </si>
  <si>
    <t xml:space="preserve">3 034,00 </t>
  </si>
  <si>
    <t xml:space="preserve">54 612,00 </t>
  </si>
  <si>
    <t xml:space="preserve">9 102,00 </t>
  </si>
  <si>
    <t xml:space="preserve">27 306,00 </t>
  </si>
  <si>
    <t xml:space="preserve">24 272,00 </t>
  </si>
  <si>
    <t>Система речевого оповещения (СРО)</t>
  </si>
  <si>
    <t xml:space="preserve">Производственная громкоговорящая избирательная или циркулярная связь в производственных помещениях с количеством абонентов: до 10, 2(1 абонент) </t>
  </si>
  <si>
    <t xml:space="preserve">СБЦП "Объекты связи (2010)" табл.9 п.3
(СБЦП02-9-3) </t>
  </si>
  <si>
    <t>((1390+102*(0.4*10+0.6*0.5*10))*0,7)*1,144*0,48*1,04*5,07,
где количество 2=2</t>
  </si>
  <si>
    <t>4 264,00</t>
  </si>
  <si>
    <t>Система экстренной связи горнолыжных трасс (СЭС ГЛТ) = 2 стойки</t>
  </si>
  <si>
    <t>Линия связи = 200 м</t>
  </si>
  <si>
    <t>(33000*1)*1,04*1,186*0,4*5,07,
где количество 1=1</t>
  </si>
  <si>
    <t>82 547,00</t>
  </si>
  <si>
    <t xml:space="preserve">1 651,00 </t>
  </si>
  <si>
    <t xml:space="preserve">4 953,00 </t>
  </si>
  <si>
    <t xml:space="preserve">7 429,00 </t>
  </si>
  <si>
    <t xml:space="preserve">2 476,00 </t>
  </si>
  <si>
    <t xml:space="preserve">4 127,00 </t>
  </si>
  <si>
    <t xml:space="preserve">20 224,00 </t>
  </si>
  <si>
    <t xml:space="preserve">22 700,00 </t>
  </si>
  <si>
    <t xml:space="preserve">1 238,00 </t>
  </si>
  <si>
    <t xml:space="preserve">2 064,00 </t>
  </si>
  <si>
    <t xml:space="preserve">8 255,00 </t>
  </si>
  <si>
    <t>Система информирования и оповещения (СИО)</t>
  </si>
  <si>
    <t xml:space="preserve">Устройство отображения: алфавитно-цифровое табло, 1(1 табло) </t>
  </si>
  <si>
    <t xml:space="preserve">СБЦП "Коммунальные инженерные сети и сооружения (2012)" табл.34 п.12
(СБЦП07-34-12) </t>
  </si>
  <si>
    <t>(7960*1)*0,3*1,04*1,021*5,07,
где количество 1=1</t>
  </si>
  <si>
    <t>12 856,00</t>
  </si>
  <si>
    <t xml:space="preserve"> Стадийность проектирования К=0,3;</t>
  </si>
  <si>
    <t xml:space="preserve"> Сейсмичность 9 баллов (п. 3.7 МУ) для раздела электроснабжение- 7% К=(0,07*1,3+0,93)=1,021 К=1,021;</t>
  </si>
  <si>
    <t>92 827,00</t>
  </si>
  <si>
    <t xml:space="preserve">      Итого Поз. 45-46, 55, 58</t>
  </si>
  <si>
    <t>451 624,00</t>
  </si>
  <si>
    <t xml:space="preserve">      Итого Поз. 43, 57, 63, 65</t>
  </si>
  <si>
    <t>2 587 879,00</t>
  </si>
  <si>
    <t xml:space="preserve">      Итого Поз. 39-42, 44, 47-54, 56, 59-62, 64</t>
  </si>
  <si>
    <t>3 132 330,00</t>
  </si>
  <si>
    <t>(30500*1)*1,06*1,6*5,07,
где количество 1=1</t>
  </si>
  <si>
    <t>262 261,00</t>
  </si>
  <si>
    <t xml:space="preserve">      Итого Поз. 66</t>
  </si>
  <si>
    <t xml:space="preserve">      Проектные работы: Предприятия автомобильного транспорта (2006)</t>
  </si>
  <si>
    <t xml:space="preserve">         Итого Поз. 4</t>
  </si>
  <si>
    <t xml:space="preserve">      Проектные работы: Территориальное планирование и планировка территорий (2010)</t>
  </si>
  <si>
    <t xml:space="preserve">         Итого Поз. 9</t>
  </si>
  <si>
    <t xml:space="preserve">      Проектные работы: Объекты связи (2010)</t>
  </si>
  <si>
    <t xml:space="preserve">         Итого Поз. 10-33</t>
  </si>
  <si>
    <t xml:space="preserve">      Проектные работы: Железные дороги (2014)</t>
  </si>
  <si>
    <t xml:space="preserve">         Итого Поз. 1-2, 5</t>
  </si>
  <si>
    <t xml:space="preserve">      Проектные работы: Искусственные сооружения (2015)</t>
  </si>
  <si>
    <t xml:space="preserve">         Итого Поз. 7</t>
  </si>
  <si>
    <t xml:space="preserve">      Проектные работы: Объекты нефтеперерабатывающей и нефтехимической промышленности (2015)</t>
  </si>
  <si>
    <t xml:space="preserve">         Итого Поз. 3, 6</t>
  </si>
  <si>
    <t xml:space="preserve">      Проектные работы: Объекты водоснабжения и канализации (2015)</t>
  </si>
  <si>
    <t xml:space="preserve">         Итого Поз. 8</t>
  </si>
  <si>
    <t xml:space="preserve">      Проектные работы: Заглубленные сооружения и конструкции, водопонижение, противооползневые сооружения и мероприятия (2015)</t>
  </si>
  <si>
    <t xml:space="preserve">         Итого Поз. 34</t>
  </si>
  <si>
    <t xml:space="preserve">      Итого по разделу 1 Здания и сооружения</t>
  </si>
  <si>
    <t xml:space="preserve">      Проектные работы: Коммунальные инженерные сети и сооружения (2012)</t>
  </si>
  <si>
    <t xml:space="preserve">         Итого Поз. 35-38</t>
  </si>
  <si>
    <t xml:space="preserve">      Итого по разделу 2 Сети инженерного обеспечения</t>
  </si>
  <si>
    <t xml:space="preserve">      Проектные работы: Системы противопожарной и охранной защиты (1999)</t>
  </si>
  <si>
    <t xml:space="preserve">         Итого Поз. 45-46, 55, 58</t>
  </si>
  <si>
    <t xml:space="preserve">         Итого Поз. 43, 57, 63, 65</t>
  </si>
  <si>
    <t xml:space="preserve">         Итого Поз. 39-42, 44, 47-54, 56, 59-62, 64</t>
  </si>
  <si>
    <t xml:space="preserve">      Итого по разделу 3 Сети связи и безопасности</t>
  </si>
  <si>
    <t xml:space="preserve">      Проектные работы: Инженерно-технические мероприятия ГО (2006)</t>
  </si>
  <si>
    <t xml:space="preserve">         Итого Поз. 66</t>
  </si>
  <si>
    <t xml:space="preserve">      Итого по разделу 4 ГО и ЧС</t>
  </si>
  <si>
    <t>8 242 271,00</t>
  </si>
  <si>
    <t>Сумма Спд и Сиж (млн.рублей,</t>
  </si>
  <si>
    <t>Процент от суммы Спд и Сиж</t>
  </si>
  <si>
    <t>в ценах 2001 года)</t>
  </si>
  <si>
    <t>(П)</t>
  </si>
  <si>
    <t>0-0,15</t>
  </si>
  <si>
    <t>более 0,15</t>
  </si>
  <si>
    <t>более 0,25</t>
  </si>
  <si>
    <t>более 0,5</t>
  </si>
  <si>
    <t>более 0,75</t>
  </si>
  <si>
    <t>более 1</t>
  </si>
  <si>
    <t>более 1,5</t>
  </si>
  <si>
    <t>более 3</t>
  </si>
  <si>
    <t>более 4</t>
  </si>
  <si>
    <t>более 6</t>
  </si>
  <si>
    <t>более 8</t>
  </si>
  <si>
    <t>более 12</t>
  </si>
  <si>
    <t>более 18</t>
  </si>
  <si>
    <t>более 24</t>
  </si>
  <si>
    <t>более 30</t>
  </si>
  <si>
    <t>более 36</t>
  </si>
  <si>
    <t>более 45</t>
  </si>
  <si>
    <t>более 52,5</t>
  </si>
  <si>
    <t>более 60</t>
  </si>
  <si>
    <t>более 70</t>
  </si>
  <si>
    <t>более 80</t>
  </si>
  <si>
    <t>более 100</t>
  </si>
  <si>
    <t>более 120</t>
  </si>
  <si>
    <t>более 140</t>
  </si>
  <si>
    <t>более 160</t>
  </si>
  <si>
    <t>более 180</t>
  </si>
  <si>
    <t>более 200</t>
  </si>
  <si>
    <t>более 220</t>
  </si>
  <si>
    <t xml:space="preserve">более 6 до 8 млн </t>
  </si>
  <si>
    <t>Приложение №1 к приказу ФГБУ "Главрыбвод" от 30 декабря 2021 г. №266.</t>
  </si>
  <si>
    <t>Пассажирская подвесная канатная дорога EL7:
-тип дороги: кольцевая пассажирская подвесная канатная дорога с отцепляемыми от несуще-тягового каната на станциях 6-местными  креслами с защитными колпаками;
-протяженность 1300 м по горизонтали (уточнить проектом); 
-перепад высот 385 м (уточнить проектом); 
-производительность до 2400 чел/ч на подъем; 
-скорость до 6,0 м/с;
-режим эксплуатации: в светлое время суток;
-отметка размещения нижней станции 3280 (уточнить проектом);
-отметка размещения верхней станции 3665 (уточнить проектом);
 -приводная станция верхняя;
- натяжная станция нижняя; 
-количество линейных опор – 18 шт. столбчатых высотой 25 м, 2 шт. рамные высотой до 40 м для устройства пролета над участком ледника (уточнить проектом);
 -количество станционных опор для установки технологического оборудования станций - по 2 опоры высотой до 10 м на каждой станции (уточняется проектом);
-здание операторских проектируемые (каркасного типа с ограждающими конструкциями из сендвич-панелей);
-посадочный конвейер (транспортер) на нижней станции канатной дороги;
-с воздушной линией безопасности ППКД;</t>
  </si>
  <si>
    <t xml:space="preserve">Надземная из металлоконструкций, шириной до 4 м, длиной до 25 м. Общей площадь. До 100 м2.
 С выходом с платформы непосредственно на землю и на переходную платформу для перехода между проектируемой станцией ВСКД и ВСКД EL8.2.
</t>
  </si>
  <si>
    <t>Открытая надземная эстакада из металлоконструкций  с решетчатым настилом длиной до 50 м и шириной 3 м.</t>
  </si>
  <si>
    <t>В увязке с размещением станции отправки (нижней станции)  с зоной выката горнолыжной трассы EP16, EP12, EP13.2   - Учтено в п.1</t>
  </si>
  <si>
    <t>От ТП-КД-5 до НСКД</t>
  </si>
  <si>
    <t>ВОЛС с прокладкой в лотке по конструкциям платформы станций КД.</t>
  </si>
  <si>
    <t>Защитить:
2 операторские 50 м2 и 40 м2, гараж кресел 560 м2, 2 станции КД</t>
  </si>
  <si>
    <t>Защитить:
2 операторские 50 м2 и 40 м2, гараж кресел 560 м2.</t>
  </si>
  <si>
    <t>Стойка вызова  на НСКД, ВСКД</t>
  </si>
  <si>
    <t>м2</t>
  </si>
  <si>
    <t>Защитить:
2 операторские 50 м2 и 40 м2, гараж кресел 560 м2, станции канатной дороги. 
Уточнить проектом</t>
  </si>
  <si>
    <t>На НСКД и ВСКД в районе посадки, на операторских, установка уличных часов.
 Уточнить проектом</t>
  </si>
  <si>
    <t xml:space="preserve">Защищаемый объект – гараж кресел, если требуется по СТУ
Уточнить проектом.
</t>
  </si>
  <si>
    <t xml:space="preserve">Защищаемый объект – помещение ДГУ на ВСКД
Уточнить проектом
</t>
  </si>
  <si>
    <t>Система охраны опор канатной дороги (СООКД)</t>
  </si>
  <si>
    <t>видеокамера</t>
  </si>
  <si>
    <t>Защищаемая площадь 288 м2 (по 16 м2 на опору)</t>
  </si>
  <si>
    <t>Система оперативной диспетчерской связи (СОДС)</t>
  </si>
  <si>
    <t>телефон</t>
  </si>
  <si>
    <t>Система охранная телевизионная горнолыжных трасс (СОТ ГЛТ)</t>
  </si>
  <si>
    <t>стойка</t>
  </si>
  <si>
    <t>Система экстренной связи горнолыжных трасс (СЭС ГЛТ)</t>
  </si>
  <si>
    <t>Линии связи</t>
  </si>
  <si>
    <t>Кабель  UTP, бронированный, в грунте в трубе пластиковой двустенной Д50мм – до 150 м, по опорам КД в гофротрубе Д40 – до 50 м</t>
  </si>
  <si>
    <t>динамик</t>
  </si>
  <si>
    <t>видеоэкран</t>
  </si>
  <si>
    <t xml:space="preserve">Уточняется проектом.
Общая протяженность  1 лавинореза 60 м
</t>
  </si>
  <si>
    <t>ПИР</t>
  </si>
  <si>
    <t>% ПИР</t>
  </si>
  <si>
    <t>5.Письмо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</si>
  <si>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Индексы-дефляторы Минэкономразвития РФ:</t>
  </si>
  <si>
    <t>1. Письмо Министерства экономического развития РФ от 25 ноября 2016 г. № 36144-АВ/Д03и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</si>
  <si>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2. Письмо Минэкономразвития России от 05.10.2017 N 28216-АТ/Д03и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</si>
  <si>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3. Письмо Минэкономразвития России (Министерства экономического развития РФ) от 03 октября 2018 г. №28438-АТ/Д03и</t>
  </si>
  <si>
    <t>4.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</si>
  <si>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6. Письмо Минэкономразвития России от 28.09.2022 № 36804-ПК/Д03и.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</si>
  <si>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Индекс пересчета в уровень цен 
на 1 квартал 2024 г.</t>
  </si>
  <si>
    <t>НЦС-81-02-21-2022</t>
  </si>
  <si>
    <t>НЦС 81-02-21-2022</t>
  </si>
  <si>
    <t>НЦС 81-02-12-2022</t>
  </si>
  <si>
    <t>100 м</t>
  </si>
  <si>
    <t>ТЧ сборника п.24 
Таблица № 4
I температурная зона</t>
  </si>
  <si>
    <t>Стоимость единицы изм. по состоянию на 01.01.2022 г., тыс. руб.*</t>
  </si>
  <si>
    <t>4.</t>
  </si>
  <si>
    <t>Подпорные стены: уголковые сборно-монолитные</t>
  </si>
  <si>
    <t>НЦС 81-02-08-2022</t>
  </si>
  <si>
    <t>1 пог.м.</t>
  </si>
  <si>
    <t>Высотой до 6 м</t>
  </si>
  <si>
    <t>08-08-007-02</t>
  </si>
  <si>
    <t>Коэффициент на строительство в высокогорных условиях при высоте над уровнем моря: 2500-3000 м</t>
  </si>
  <si>
    <t>ТЧ сборника п.33 
Таблица № 11
I температурная зона</t>
  </si>
  <si>
    <t>Лавинорез на ППКД EL7 высотой 6 м (3 шт): протяженность 1 шт 60 м</t>
  </si>
  <si>
    <t>п.м.</t>
  </si>
  <si>
    <t>Всесезонный туристско-рекреационный комплекс "Архыз", Карачаево-Черкесская Республика. Комплексная система безопасности. Техническая подсистема.</t>
  </si>
  <si>
    <t>II квартал 2019 г.</t>
  </si>
  <si>
    <t>Абонентское устройство (стойка)</t>
  </si>
  <si>
    <t>м2 защищаемой площади</t>
  </si>
  <si>
    <t>СОТС: на 18 опорах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</si>
  <si>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
Второй этап. Многофункциональный центр.</t>
  </si>
  <si>
    <t>НЦС 81-02-11-2022</t>
  </si>
  <si>
    <t>Воздушная прокладка линий связи по существующим опорам 
ВЛ 35-220кВ кабелем волоконно-оптическим</t>
  </si>
  <si>
    <t>Оптический кабель самонесущий неметаллический 
многомодульный, допустимое растягивающее усилие -
12кН, диаметр модуля - 10, количество волокон - 24</t>
  </si>
  <si>
    <t>11-02-001-15</t>
  </si>
  <si>
    <t>Коэффициент перехода от базового района к уровню цен Кабардино-Балкарской Республики</t>
  </si>
  <si>
    <t>ТЧ сборника п.22 
Таблица № 4
I температурная зона</t>
  </si>
  <si>
    <t>ТЧ сборника п.24</t>
  </si>
  <si>
    <t>ВОЛС по опорам КД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</si>
  <si>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</si>
  <si>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</si>
  <si>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</si>
  <si>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</si>
  <si>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</si>
  <si>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</si>
  <si>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</si>
  <si>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</si>
  <si>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</si>
  <si>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</si>
  <si>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</si>
  <si>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</si>
  <si>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</si>
  <si>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</si>
  <si>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</si>
  <si>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</si>
  <si>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</si>
  <si>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</si>
  <si>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Приложение № 2</t>
  </si>
  <si>
    <t>Утверждено приказом № 421 от 4 августа 2020 г. Минстроя РФ</t>
  </si>
  <si>
    <t>СОГЛАСОВАНО:</t>
  </si>
  <si>
    <t>УТВЕРЖДАЮ:</t>
  </si>
  <si>
    <t/>
  </si>
  <si>
    <t>"____" ________________ 2022 года</t>
  </si>
  <si>
    <t>Наименование программного продукта</t>
  </si>
  <si>
    <t>ГРАНД-Смета, версия 2022.2</t>
  </si>
  <si>
    <t xml:space="preserve">Наименование редакции сметных нормативов  </t>
  </si>
  <si>
    <t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</si>
  <si>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 Минстроя России  об утверждении дополнений и изменений 
к сметным нормативам </t>
  </si>
  <si>
    <t>Реквизиты письма Минстроя России об индексах изменения сметной стоимости 
строительства, включаемые в федеральный реестр сметных нормативов и размещаемые в 
федеральной государственной информационной системе ценообразования 
в строительстве, подготовленного  в соответствии  пунктом 85 Методики  расчета индексов 
изменения  сметной стоимости строительства, утвержденной  приказом Министерства 
строительства и жилищно-коммунального хозяйства Российской Федерации от 5 июня 2019
г. № 326/пр¹</t>
  </si>
  <si>
    <t xml:space="preserve">Реквизиты нормативного  правового  акта  об утверждении оплаты труда, утверждаемый  в соответствии с пунктом 22(1) Правилами мониторинга цен, утвержденными постановлением
Правительства Российской Федерации от 23 декабря 2016 г. № 1452 </t>
  </si>
  <si>
    <t xml:space="preserve">Наименование субъекта Российской Федерации </t>
  </si>
  <si>
    <t xml:space="preserve">Наименование зоны субъекта Российской Федерации </t>
  </si>
  <si>
    <t>Всесезонный туристско-рекреационный комплекс «Эльбрус», Кабардино-Балкарская Республика.</t>
  </si>
  <si>
    <t>(наименование стройки)</t>
  </si>
  <si>
    <t>Пассажирская подвесная канатная дорога EL8 (секции 8.1 и 8.2)</t>
  </si>
  <si>
    <t>(наименование объекта капитального строительства)</t>
  </si>
  <si>
    <t>ЛОКАЛЬНЫЙ СМЕТНЫЙ РАСЧЕТ (СМЕТА) № 2</t>
  </si>
  <si>
    <t>Видеоэкран</t>
  </si>
  <si>
    <t>(наименование конструктивного решения)</t>
  </si>
  <si>
    <t xml:space="preserve">Составлен </t>
  </si>
  <si>
    <t>базисно-индексным</t>
  </si>
  <si>
    <t>методом</t>
  </si>
  <si>
    <t>Основание</t>
  </si>
  <si>
    <t>(проектная и (или) иная техническая документация)</t>
  </si>
  <si>
    <t xml:space="preserve">Составлен(а) в текущем (базисном) уровне цен </t>
  </si>
  <si>
    <t>01.01.2000 с пересчетом в цены III квартала 2022 г.</t>
  </si>
  <si>
    <t xml:space="preserve">Сметная стоимость </t>
  </si>
  <si>
    <t>(163,63)</t>
  </si>
  <si>
    <t>тыс.руб.</t>
  </si>
  <si>
    <t>в том числе:</t>
  </si>
  <si>
    <t>строительных работ</t>
  </si>
  <si>
    <t>(0)</t>
  </si>
  <si>
    <t>Средства на оплату труда рабочих</t>
  </si>
  <si>
    <t>(1,62)</t>
  </si>
  <si>
    <t>монтажных работ</t>
  </si>
  <si>
    <t>(4,94)</t>
  </si>
  <si>
    <t>Нормативные затраты труда рабочих</t>
  </si>
  <si>
    <t>чел.час.</t>
  </si>
  <si>
    <t>оборудования</t>
  </si>
  <si>
    <t>(158,69)</t>
  </si>
  <si>
    <t>Нормативные затраты труда машинистов</t>
  </si>
  <si>
    <t>прочих затрат</t>
  </si>
  <si>
    <t>Количество</t>
  </si>
  <si>
    <t>Сметная стоимость в базисном уровне цен (в текущем уровне цен (гр. 8) для ресурсов, отсутствующих в ФРСН), руб.</t>
  </si>
  <si>
    <t>Индексы</t>
  </si>
  <si>
    <t>Сметная стоимость в текущем уровне цен, руб.</t>
  </si>
  <si>
    <t>на единицу</t>
  </si>
  <si>
    <t>коэффициенты</t>
  </si>
  <si>
    <t>всего с учетом коэффициентов</t>
  </si>
  <si>
    <t>всего</t>
  </si>
  <si>
    <t>Раздел 1. Монтаж оборудования</t>
  </si>
  <si>
    <t>1</t>
  </si>
  <si>
    <t>ФЕРм11-04-007-03</t>
  </si>
  <si>
    <t>Экран-табло отображения цифровой информации с люминесцентным подсветом до 500 знакомест</t>
  </si>
  <si>
    <t>шт</t>
  </si>
  <si>
    <t>Приказ от 07.07.2022 № 557/пр прил.8 табл.1 п.8.3</t>
  </si>
  <si>
    <t>Производство работ осуществляется в горной местности: на высоте свыше 3000 м над уровнем моря ОЗП=1,5; ЭМ=1,5 к расх.; ЗПМ=1,5; ТЗ=1,5; ТЗМ=1,5</t>
  </si>
  <si>
    <t>1-4-4</t>
  </si>
  <si>
    <t>Затраты труда рабочих (ср 4,4)</t>
  </si>
  <si>
    <t>чел.-ч</t>
  </si>
  <si>
    <t>91.05.05-015</t>
  </si>
  <si>
    <t>Краны на автомобильном ходу, грузоподъемность 16 т</t>
  </si>
  <si>
    <t>маш.час</t>
  </si>
  <si>
    <t>91.06.03-061</t>
  </si>
  <si>
    <t>Лебедки электрические тяговым усилием до 12,26 кН (1,25 т)</t>
  </si>
  <si>
    <t>91.14.02-001</t>
  </si>
  <si>
    <t>Автомобили бортовые, грузоподъемность до 5 т</t>
  </si>
  <si>
    <t>01.7.15.03-0031</t>
  </si>
  <si>
    <t>Болты с гайками и шайбами оцинкованные, диаметр 6 мм</t>
  </si>
  <si>
    <t>кг</t>
  </si>
  <si>
    <t>10.3.02.03-0013</t>
  </si>
  <si>
    <t>Припои оловянно-свинцовые бессурьмянистые, марка ПОС61</t>
  </si>
  <si>
    <t>т</t>
  </si>
  <si>
    <t>14.4.04.09-0017</t>
  </si>
  <si>
    <t>Эмаль ХВ-124, защитная, зеленая</t>
  </si>
  <si>
    <t>20.2.10.03-0006</t>
  </si>
  <si>
    <t>Наконечники кабельные медные соединительные</t>
  </si>
  <si>
    <t>100 шт</t>
  </si>
  <si>
    <t>999-0005</t>
  </si>
  <si>
    <t>Масса</t>
  </si>
  <si>
    <t>999-9950</t>
  </si>
  <si>
    <t>Вспомогательные ненормируемые ресурсы (2% от Оплаты труда рабочих)</t>
  </si>
  <si>
    <t>руб</t>
  </si>
  <si>
    <t>ОТ</t>
  </si>
  <si>
    <t>2</t>
  </si>
  <si>
    <t>ЭМ</t>
  </si>
  <si>
    <t>3</t>
  </si>
  <si>
    <t>в т.ч. ОТм</t>
  </si>
  <si>
    <t>4</t>
  </si>
  <si>
    <t>М</t>
  </si>
  <si>
    <t>ЗТ</t>
  </si>
  <si>
    <t>ЗТм</t>
  </si>
  <si>
    <t>Итого по расценке</t>
  </si>
  <si>
    <t>ФОТ</t>
  </si>
  <si>
    <t>Приказ № 812/пр от 21.12.2020 Прил. п.53</t>
  </si>
  <si>
    <t>НР Приборы, средства автоматизации и вычислительной техники</t>
  </si>
  <si>
    <t>Приказ № 774/пр от 11.12.2020 Прил. п.53</t>
  </si>
  <si>
    <t>СП Приборы, средства автоматизации и вычислительной техники</t>
  </si>
  <si>
    <t>Всего по позиции</t>
  </si>
  <si>
    <t>2
О</t>
  </si>
  <si>
    <t>ФССЦ-62.7.01.01-0001</t>
  </si>
  <si>
    <t>Видеоэкран светодиодный, полноцветный размером 3,84х2,56 м (из 9 модулей) HATA 200 SMD.RGB</t>
  </si>
  <si>
    <t>(Инженерное оборудование)</t>
  </si>
  <si>
    <t>Итоги по смете:</t>
  </si>
  <si>
    <t xml:space="preserve">     Итого прямые затраты (справочно)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</si>
  <si>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</si>
  <si>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</si>
  <si>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</si>
  <si>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</si>
  <si>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</si>
  <si>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Монтажные работы</t>
  </si>
  <si>
    <t xml:space="preserve">               оплата труда</t>
  </si>
  <si>
    <t xml:space="preserve">               эксплуатация машин и механизмов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</si>
  <si>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</si>
  <si>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</si>
  <si>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     накладные расходы</t>
  </si>
  <si>
    <t xml:space="preserve">               сметная прибыль</t>
  </si>
  <si>
    <t xml:space="preserve">     Оборудование</t>
  </si>
  <si>
    <t xml:space="preserve">          Инженерное оборудование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</si>
  <si>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</si>
  <si>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</si>
  <si>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</si>
  <si>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ВСЕГО по смете</t>
  </si>
  <si>
    <t>Составил:</t>
  </si>
  <si>
    <t>[должность, подпись (инициалы, фамилия)]</t>
  </si>
  <si>
    <t>Проверил:</t>
  </si>
  <si>
    <t>¹ Зарегистрирован Министерством юстиции Российской Федерации 10 сентября 2019 г., регистрационный № 55869), с изменениями, внесенными приказом Министерства строительства и жилищно-коммунального хозяйства Российской Федерации от 20 февраля 2021 г. № 79/пр (зарегистрирован Министерством юстиции Российской Федерации 9 августа 2021 г., регистрационный № 64577)</t>
  </si>
  <si>
    <t>² Под прочими затратами понимаются затраты, учитываемые в соответствии с пунктом 184 Методики.</t>
  </si>
  <si>
    <t>³ Под прочими работами понимаются затраты, учитываемые в соответствии с пунктами 122-128 Методики.</t>
  </si>
  <si>
    <t>ЛСР №2</t>
  </si>
  <si>
    <t>III квартал 2022</t>
  </si>
  <si>
    <t>на основании ЛСР №2 с дополнительным учетом 15% на прочие и ПИР.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</si>
  <si>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28.09.2022 № 36804-ПК/Д03и.</t>
  </si>
  <si>
    <t>Заместитель директора Департамента развития инфраструктуры АО "КАВКАЗ.РФ"</t>
  </si>
  <si>
    <t>при необходимости!</t>
  </si>
  <si>
    <r>
      <t xml:space="preserve">Научно-техническое сопровождение инженерно-геологических изысканий, оценки их результатов и определения физических характеристик грунтов (НТС ИГИ) </t>
    </r>
    <r>
      <rPr>
        <sz val="12"/>
        <color rgb="FFFF0000"/>
        <rFont val="Times New Roman"/>
        <family val="1"/>
        <charset val="204"/>
      </rPr>
      <t>(при необходимости);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</si>
</sst>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#,##0.00000"/>
    <numFmt numFmtId="179" formatCode="#,##0\ _р_."/>
    <numFmt numFmtId="180" formatCode="#,##0.00_р_."/>
    <numFmt numFmtId="181" formatCode="_-* #,##0.00\ _₽_-;\-* #,##0.00\ _₽_-;_-* &quot;-&quot;??\ _₽_-;_-@_-"/>
    <numFmt numFmtId="182" formatCode="0.0000"/>
    <numFmt numFmtId="183" formatCode="0.0000000"/>
    <numFmt numFmtId="184" formatCode="#,##0.0000"/>
  </numFmts>
  <fonts count="1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b/>
      <sz val="14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1F2326"/>
      <name val="Segoe UI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1973">
    <xf numFmtId="0" fontId="0" fillId="0" borderId="0"/>
    <xf numFmtId="0" fontId="38" fillId="0" borderId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1" fillId="3" borderId="0">
      <alignment horizontal="left" vertical="center"/>
    </xf>
    <xf numFmtId="0" fontId="41" fillId="3" borderId="0">
      <alignment horizontal="center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right" vertical="center"/>
    </xf>
    <xf numFmtId="0" fontId="41" fillId="3" borderId="0">
      <alignment horizontal="center" vertical="center"/>
    </xf>
    <xf numFmtId="165" fontId="38" fillId="0" borderId="0" applyFont="0" applyFill="0" applyBorder="0" applyAlignment="0" applyProtection="0"/>
    <xf numFmtId="0" fontId="38" fillId="0" borderId="0"/>
    <xf numFmtId="0" fontId="38" fillId="0" borderId="0"/>
    <xf numFmtId="165" fontId="44" fillId="0" borderId="0" applyFont="0" applyFill="0" applyBorder="0" applyAlignment="0" applyProtection="0"/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5" fillId="4" borderId="0">
      <alignment horizontal="right" vertical="center"/>
    </xf>
    <xf numFmtId="0" fontId="41" fillId="3" borderId="0">
      <alignment horizontal="right" vertical="center"/>
    </xf>
    <xf numFmtId="0" fontId="41" fillId="3" borderId="0">
      <alignment horizontal="right" vertical="center"/>
    </xf>
    <xf numFmtId="0" fontId="41" fillId="3" borderId="0">
      <alignment horizontal="right" vertical="center"/>
    </xf>
    <xf numFmtId="0" fontId="41" fillId="5" borderId="0">
      <alignment horizontal="center" vertical="center"/>
    </xf>
    <xf numFmtId="0" fontId="45" fillId="4" borderId="0">
      <alignment horizontal="left" vertical="center"/>
    </xf>
    <xf numFmtId="0" fontId="45" fillId="0" borderId="0">
      <alignment horizontal="left" vertical="top"/>
    </xf>
    <xf numFmtId="0" fontId="41" fillId="5" borderId="0">
      <alignment horizontal="center" vertical="center"/>
    </xf>
    <xf numFmtId="0" fontId="45" fillId="4" borderId="0">
      <alignment horizontal="center" vertical="center"/>
    </xf>
    <xf numFmtId="0" fontId="45" fillId="0" borderId="0">
      <alignment horizontal="center" vertical="center"/>
    </xf>
    <xf numFmtId="0" fontId="46" fillId="4" borderId="0">
      <alignment horizontal="left" vertical="center"/>
    </xf>
    <xf numFmtId="0" fontId="45" fillId="0" borderId="0">
      <alignment horizontal="center" vertical="center"/>
    </xf>
    <xf numFmtId="0" fontId="45" fillId="4" borderId="0">
      <alignment horizontal="center" vertical="center"/>
    </xf>
    <xf numFmtId="0" fontId="45" fillId="4" borderId="0">
      <alignment horizontal="left" vertical="center"/>
    </xf>
    <xf numFmtId="0" fontId="45" fillId="4" borderId="0">
      <alignment horizontal="right" vertical="center"/>
    </xf>
    <xf numFmtId="0" fontId="45" fillId="4" borderId="0">
      <alignment horizontal="center" vertical="center"/>
    </xf>
    <xf numFmtId="0" fontId="45" fillId="4" borderId="0">
      <alignment horizontal="left" vertical="top"/>
    </xf>
    <xf numFmtId="0" fontId="45" fillId="4" borderId="0">
      <alignment horizontal="right" vertical="center"/>
    </xf>
    <xf numFmtId="0" fontId="45" fillId="4" borderId="0">
      <alignment horizontal="right" vertical="top"/>
    </xf>
    <xf numFmtId="0" fontId="45" fillId="4" borderId="0">
      <alignment horizontal="center" vertical="center"/>
    </xf>
    <xf numFmtId="0" fontId="41" fillId="3" borderId="0">
      <alignment horizontal="center" vertical="center"/>
    </xf>
    <xf numFmtId="0" fontId="41" fillId="3" borderId="0">
      <alignment horizontal="center" vertical="center"/>
    </xf>
    <xf numFmtId="0" fontId="41" fillId="3" borderId="0">
      <alignment horizontal="center" vertical="center"/>
    </xf>
    <xf numFmtId="0" fontId="47" fillId="4" borderId="0">
      <alignment horizontal="left" vertical="top"/>
    </xf>
    <xf numFmtId="0" fontId="45" fillId="4" borderId="0">
      <alignment horizontal="left" vertical="center"/>
    </xf>
    <xf numFmtId="0" fontId="47" fillId="4" borderId="0">
      <alignment horizontal="left" vertical="top"/>
    </xf>
    <xf numFmtId="0" fontId="47" fillId="4" borderId="0">
      <alignment horizontal="center" vertical="center"/>
    </xf>
    <xf numFmtId="0" fontId="48" fillId="4" borderId="0">
      <alignment horizontal="center" vertical="center"/>
    </xf>
    <xf numFmtId="0" fontId="48" fillId="0" borderId="0">
      <alignment horizontal="center" vertical="center"/>
    </xf>
    <xf numFmtId="0" fontId="45" fillId="4" borderId="0">
      <alignment horizontal="center" vertical="center"/>
    </xf>
    <xf numFmtId="0" fontId="45" fillId="0" borderId="0">
      <alignment horizontal="center" vertical="top"/>
    </xf>
    <xf numFmtId="0" fontId="45" fillId="4" borderId="0">
      <alignment horizontal="center" vertical="center"/>
    </xf>
    <xf numFmtId="0" fontId="49" fillId="0" borderId="0">
      <alignment horizontal="left" vertical="top"/>
    </xf>
    <xf numFmtId="0" fontId="45" fillId="4" borderId="0">
      <alignment horizontal="center" vertical="center"/>
    </xf>
    <xf numFmtId="0" fontId="45" fillId="0" borderId="0">
      <alignment horizontal="left" vertical="top"/>
    </xf>
    <xf numFmtId="0" fontId="45" fillId="4" borderId="0">
      <alignment horizontal="left" vertical="center"/>
    </xf>
    <xf numFmtId="0" fontId="49" fillId="0" borderId="0">
      <alignment horizontal="left" vertical="center"/>
    </xf>
    <xf numFmtId="0" fontId="41" fillId="5" borderId="0">
      <alignment horizontal="left" vertical="center"/>
    </xf>
    <xf numFmtId="0" fontId="45" fillId="4" borderId="0">
      <alignment horizontal="left" vertical="center"/>
    </xf>
    <xf numFmtId="0" fontId="49" fillId="0" borderId="0">
      <alignment horizontal="left" vertical="top"/>
    </xf>
    <xf numFmtId="0" fontId="41" fillId="5" borderId="0">
      <alignment horizontal="left" vertical="center"/>
    </xf>
    <xf numFmtId="0" fontId="5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39" fillId="0" borderId="0"/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left" vertical="center"/>
    </xf>
    <xf numFmtId="0" fontId="41" fillId="3" borderId="0">
      <alignment horizontal="right" vertical="center"/>
    </xf>
    <xf numFmtId="0" fontId="41" fillId="3" borderId="0">
      <alignment horizontal="right" vertical="center"/>
    </xf>
    <xf numFmtId="0" fontId="41" fillId="3" borderId="0">
      <alignment horizontal="right" vertical="center"/>
    </xf>
    <xf numFmtId="0" fontId="41" fillId="5" borderId="0">
      <alignment horizontal="center" vertical="center"/>
    </xf>
    <xf numFmtId="0" fontId="41" fillId="3" borderId="0">
      <alignment horizontal="center" vertical="center"/>
    </xf>
    <xf numFmtId="0" fontId="41" fillId="3" borderId="0">
      <alignment horizontal="center" vertical="center"/>
    </xf>
    <xf numFmtId="0" fontId="41" fillId="5" borderId="0">
      <alignment horizontal="left" vertical="center"/>
    </xf>
    <xf numFmtId="0" fontId="44" fillId="0" borderId="0"/>
    <xf numFmtId="0" fontId="43" fillId="0" borderId="0"/>
    <xf numFmtId="9" fontId="44" fillId="0" borderId="0" applyFont="0" applyFill="0" applyBorder="0" applyAlignment="0" applyProtection="0"/>
    <xf numFmtId="0" fontId="37" fillId="0" borderId="0"/>
    <xf numFmtId="0" fontId="51" fillId="0" borderId="0">
      <alignment horizontal="right" vertical="center"/>
    </xf>
    <xf numFmtId="0" fontId="52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top"/>
    </xf>
    <xf numFmtId="0" fontId="54" fillId="0" borderId="0">
      <alignment horizontal="center" vertical="center"/>
    </xf>
    <xf numFmtId="0" fontId="53" fillId="0" borderId="0">
      <alignment horizontal="center" vertical="top"/>
    </xf>
    <xf numFmtId="0" fontId="51" fillId="0" borderId="0">
      <alignment horizontal="left" vertical="top"/>
    </xf>
    <xf numFmtId="0" fontId="51" fillId="0" borderId="0">
      <alignment horizontal="left" vertical="center"/>
    </xf>
    <xf numFmtId="0" fontId="53" fillId="0" borderId="4">
      <alignment horizontal="center" vertical="center"/>
    </xf>
    <xf numFmtId="0" fontId="51" fillId="0" borderId="4">
      <alignment horizontal="center" vertical="center"/>
    </xf>
    <xf numFmtId="0" fontId="53" fillId="0" borderId="4">
      <alignment horizontal="left" vertical="center"/>
    </xf>
    <xf numFmtId="0" fontId="53" fillId="0" borderId="4">
      <alignment horizontal="right" vertical="center"/>
    </xf>
    <xf numFmtId="0" fontId="53" fillId="0" borderId="4">
      <alignment horizontal="left" vertical="top"/>
    </xf>
    <xf numFmtId="164" fontId="38" fillId="0" borderId="0" applyFont="0" applyFill="0" applyBorder="0" applyAlignment="0" applyProtection="0"/>
    <xf numFmtId="165" fontId="4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6" fillId="0" borderId="0"/>
    <xf numFmtId="0" fontId="53" fillId="0" borderId="0">
      <alignment horizontal="left" vertical="top"/>
    </xf>
    <xf numFmtId="0" fontId="53" fillId="0" borderId="4">
      <alignment horizontal="right" vertical="top"/>
    </xf>
    <xf numFmtId="0" fontId="53" fillId="0" borderId="4">
      <alignment horizontal="left" vertical="top"/>
    </xf>
    <xf numFmtId="0" fontId="53" fillId="0" borderId="10">
      <alignment horizontal="left" vertical="top"/>
    </xf>
    <xf numFmtId="0" fontId="53" fillId="0" borderId="2">
      <alignment horizontal="left" vertical="top"/>
    </xf>
    <xf numFmtId="0" fontId="51" fillId="0" borderId="0">
      <alignment horizontal="left" vertical="top"/>
    </xf>
    <xf numFmtId="0" fontId="53" fillId="0" borderId="0">
      <alignment horizontal="center" vertical="top"/>
    </xf>
    <xf numFmtId="0" fontId="54" fillId="0" borderId="0">
      <alignment horizontal="center" vertical="center"/>
    </xf>
    <xf numFmtId="0" fontId="35" fillId="0" borderId="0"/>
    <xf numFmtId="0" fontId="38" fillId="0" borderId="0"/>
    <xf numFmtId="0" fontId="45" fillId="4" borderId="0">
      <alignment horizontal="left" vertical="center"/>
    </xf>
    <xf numFmtId="0" fontId="44" fillId="3" borderId="0">
      <alignment horizontal="center" vertical="center"/>
    </xf>
    <xf numFmtId="0" fontId="50" fillId="0" borderId="0"/>
    <xf numFmtId="0" fontId="50" fillId="0" borderId="0"/>
    <xf numFmtId="0" fontId="45" fillId="4" borderId="0">
      <alignment horizontal="left" vertical="center"/>
    </xf>
    <xf numFmtId="0" fontId="35" fillId="0" borderId="0"/>
    <xf numFmtId="0" fontId="39" fillId="0" borderId="0"/>
    <xf numFmtId="0" fontId="65" fillId="0" borderId="0"/>
    <xf numFmtId="164" fontId="38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2" fillId="0" borderId="0"/>
    <xf numFmtId="0" fontId="51" fillId="0" borderId="0">
      <alignment horizontal="right" vertical="center"/>
    </xf>
    <xf numFmtId="0" fontId="51" fillId="0" borderId="0">
      <alignment horizontal="right" vertical="center"/>
    </xf>
    <xf numFmtId="0" fontId="31" fillId="0" borderId="0"/>
    <xf numFmtId="0" fontId="30" fillId="0" borderId="0"/>
    <xf numFmtId="0" fontId="29" fillId="0" borderId="0"/>
    <xf numFmtId="0" fontId="54" fillId="0" borderId="0">
      <alignment horizontal="center" vertical="center"/>
    </xf>
    <xf numFmtId="0" fontId="53" fillId="0" borderId="0">
      <alignment horizontal="center" vertical="top"/>
    </xf>
    <xf numFmtId="0" fontId="51" fillId="0" borderId="0">
      <alignment horizontal="left" vertical="top"/>
    </xf>
    <xf numFmtId="0" fontId="53" fillId="0" borderId="0">
      <alignment horizontal="left" vertical="top"/>
    </xf>
    <xf numFmtId="0" fontId="53" fillId="0" borderId="4">
      <alignment horizontal="center" vertical="center"/>
    </xf>
    <xf numFmtId="0" fontId="51" fillId="0" borderId="4">
      <alignment horizontal="center" vertical="center"/>
    </xf>
    <xf numFmtId="0" fontId="53" fillId="0" borderId="4">
      <alignment horizontal="left" vertical="center"/>
    </xf>
    <xf numFmtId="0" fontId="53" fillId="0" borderId="2">
      <alignment horizontal="left" vertical="top"/>
    </xf>
    <xf numFmtId="0" fontId="53" fillId="0" borderId="4">
      <alignment horizontal="right" vertical="center"/>
    </xf>
    <xf numFmtId="0" fontId="53" fillId="0" borderId="4">
      <alignment horizontal="right" vertical="top"/>
    </xf>
    <xf numFmtId="0" fontId="53" fillId="0" borderId="0">
      <alignment horizontal="left" vertical="center"/>
    </xf>
    <xf numFmtId="0" fontId="27" fillId="0" borderId="0"/>
    <xf numFmtId="0" fontId="26" fillId="0" borderId="0"/>
    <xf numFmtId="0" fontId="25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8" fillId="0" borderId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5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25" fillId="0" borderId="0"/>
    <xf numFmtId="0" fontId="51" fillId="0" borderId="0">
      <alignment horizontal="right" vertical="center"/>
    </xf>
    <xf numFmtId="0" fontId="51" fillId="0" borderId="0">
      <alignment horizontal="right" vertical="center"/>
    </xf>
    <xf numFmtId="0" fontId="53" fillId="0" borderId="4">
      <alignment horizontal="right" vertical="top"/>
    </xf>
    <xf numFmtId="0" fontId="53" fillId="0" borderId="4">
      <alignment horizontal="left"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25" fillId="0" borderId="0"/>
    <xf numFmtId="165" fontId="50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168" fontId="38" fillId="0" borderId="0" applyFont="0" applyFill="0" applyBorder="0" applyAlignment="0" applyProtection="0"/>
    <xf numFmtId="0" fontId="43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2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0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3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4" borderId="0" applyNumberFormat="0" applyBorder="0" applyAlignment="0" applyProtection="0"/>
    <xf numFmtId="0" fontId="75" fillId="8" borderId="0" applyNumberFormat="0" applyBorder="0" applyAlignment="0" applyProtection="0"/>
    <xf numFmtId="0" fontId="76" fillId="25" borderId="16" applyNumberFormat="0" applyAlignment="0" applyProtection="0"/>
    <xf numFmtId="0" fontId="77" fillId="26" borderId="17" applyNumberFormat="0" applyAlignment="0" applyProtection="0"/>
    <xf numFmtId="0" fontId="78" fillId="0" borderId="0" applyNumberFormat="0" applyFill="0" applyBorder="0" applyAlignment="0" applyProtection="0"/>
    <xf numFmtId="0" fontId="79" fillId="9" borderId="0" applyNumberFormat="0" applyBorder="0" applyAlignment="0" applyProtection="0"/>
    <xf numFmtId="0" fontId="80" fillId="0" borderId="18" applyNumberFormat="0" applyFill="0" applyAlignment="0" applyProtection="0"/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0" fontId="82" fillId="0" borderId="0" applyNumberFormat="0" applyFill="0" applyBorder="0" applyAlignment="0" applyProtection="0"/>
    <xf numFmtId="0" fontId="83" fillId="12" borderId="16" applyNumberFormat="0" applyAlignment="0" applyProtection="0"/>
    <xf numFmtId="0" fontId="84" fillId="0" borderId="21" applyNumberFormat="0" applyFill="0" applyAlignment="0" applyProtection="0"/>
    <xf numFmtId="0" fontId="85" fillId="27" borderId="0" applyNumberFormat="0" applyBorder="0" applyAlignment="0" applyProtection="0"/>
    <xf numFmtId="0" fontId="86" fillId="0" borderId="0" applyNumberFormat="0" applyFill="0" applyBorder="0" applyAlignment="0" applyProtection="0"/>
    <xf numFmtId="0" fontId="38" fillId="28" borderId="22" applyNumberFormat="0" applyFont="0" applyAlignment="0" applyProtection="0"/>
    <xf numFmtId="0" fontId="87" fillId="25" borderId="23" applyNumberFormat="0" applyAlignment="0" applyProtection="0"/>
    <xf numFmtId="0" fontId="45" fillId="4" borderId="0">
      <alignment horizontal="left" vertical="center"/>
    </xf>
    <xf numFmtId="0" fontId="45" fillId="0" borderId="0">
      <alignment horizontal="center" vertical="center"/>
    </xf>
    <xf numFmtId="0" fontId="49" fillId="0" borderId="0">
      <alignment horizontal="center" vertical="center"/>
    </xf>
    <xf numFmtId="0" fontId="45" fillId="0" borderId="0">
      <alignment horizontal="left" vertical="center"/>
    </xf>
    <xf numFmtId="0" fontId="45" fillId="0" borderId="0">
      <alignment horizontal="right" vertical="center"/>
    </xf>
    <xf numFmtId="0" fontId="45" fillId="0" borderId="0">
      <alignment horizontal="center" vertical="center"/>
    </xf>
    <xf numFmtId="0" fontId="45" fillId="0" borderId="0">
      <alignment horizontal="left" vertical="top"/>
    </xf>
    <xf numFmtId="0" fontId="45" fillId="0" borderId="0">
      <alignment horizontal="right" vertical="center"/>
    </xf>
    <xf numFmtId="0" fontId="45" fillId="0" borderId="0">
      <alignment horizontal="left" vertical="center"/>
    </xf>
    <xf numFmtId="0" fontId="41" fillId="3" borderId="0">
      <alignment horizontal="center" vertical="center"/>
    </xf>
    <xf numFmtId="0" fontId="45" fillId="0" borderId="0">
      <alignment horizontal="right" vertical="top"/>
    </xf>
    <xf numFmtId="0" fontId="45" fillId="0" borderId="0">
      <alignment horizontal="left" vertical="top"/>
    </xf>
    <xf numFmtId="0" fontId="88" fillId="0" borderId="0" applyNumberFormat="0" applyFill="0" applyBorder="0" applyAlignment="0" applyProtection="0"/>
    <xf numFmtId="0" fontId="89" fillId="0" borderId="24" applyNumberFormat="0" applyFill="0" applyAlignment="0" applyProtection="0"/>
    <xf numFmtId="0" fontId="90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74" fillId="24" borderId="0" applyNumberFormat="0" applyBorder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1" fillId="12" borderId="16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2" fillId="25" borderId="23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0" fontId="93" fillId="25" borderId="16" applyNumberFormat="0" applyAlignment="0" applyProtection="0"/>
    <xf numFmtId="169" fontId="38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20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98" fillId="26" borderId="17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99" fillId="2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0" fillId="8" borderId="0" applyNumberFormat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0" fontId="38" fillId="28" borderId="22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2" fillId="0" borderId="21" applyNumberFormat="0" applyFill="0" applyAlignment="0" applyProtection="0"/>
    <xf numFmtId="0" fontId="103" fillId="0" borderId="0"/>
    <xf numFmtId="0" fontId="8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3" fontId="39" fillId="0" borderId="0" applyFont="0" applyFill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9" fontId="43" fillId="0" borderId="0" applyFont="0" applyFill="0" applyBorder="0" applyAlignment="0" applyProtection="0"/>
    <xf numFmtId="0" fontId="21" fillId="0" borderId="0"/>
    <xf numFmtId="0" fontId="20" fillId="0" borderId="0"/>
    <xf numFmtId="0" fontId="43" fillId="0" borderId="0"/>
    <xf numFmtId="0" fontId="39" fillId="0" borderId="0"/>
    <xf numFmtId="170" fontId="38" fillId="0" borderId="0" applyFont="0" applyFill="0" applyBorder="0" applyAlignment="0" applyProtection="0"/>
    <xf numFmtId="0" fontId="19" fillId="0" borderId="0"/>
    <xf numFmtId="0" fontId="42" fillId="0" borderId="0">
      <alignment horizontal="center"/>
    </xf>
    <xf numFmtId="0" fontId="39" fillId="0" borderId="4" applyBorder="0" applyAlignment="0">
      <alignment horizontal="center" wrapText="1"/>
    </xf>
    <xf numFmtId="0" fontId="42" fillId="0" borderId="0">
      <alignment horizontal="left" vertical="top"/>
    </xf>
    <xf numFmtId="0" fontId="18" fillId="0" borderId="0"/>
    <xf numFmtId="0" fontId="130" fillId="0" borderId="0"/>
    <xf numFmtId="0" fontId="133" fillId="0" borderId="0"/>
    <xf numFmtId="0" fontId="17" fillId="0" borderId="0"/>
    <xf numFmtId="0" fontId="17" fillId="0" borderId="0"/>
    <xf numFmtId="165" fontId="71" fillId="0" borderId="0" applyFont="0" applyFill="0" applyBorder="0" applyAlignment="0" applyProtection="0"/>
    <xf numFmtId="0" fontId="71" fillId="0" borderId="0"/>
    <xf numFmtId="0" fontId="38" fillId="0" borderId="0"/>
    <xf numFmtId="0" fontId="156" fillId="0" borderId="0"/>
    <xf numFmtId="0" fontId="17" fillId="0" borderId="0"/>
    <xf numFmtId="0" fontId="16" fillId="0" borderId="0"/>
    <xf numFmtId="0" fontId="51" fillId="0" borderId="0">
      <alignment horizontal="left" vertical="top"/>
    </xf>
    <xf numFmtId="0" fontId="53" fillId="0" borderId="0">
      <alignment horizontal="left" vertical="top"/>
    </xf>
    <xf numFmtId="0" fontId="51" fillId="0" borderId="0">
      <alignment horizontal="left" vertical="center"/>
    </xf>
    <xf numFmtId="0" fontId="53" fillId="0" borderId="0">
      <alignment horizontal="left"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80" fillId="0" borderId="0"/>
  </cellStyleXfs>
  <cellXfs count="1812">
    <xf numFmtId="0" fontId="0" fillId="0" borderId="0" xfId="0"/>
    <xf numFmtId="0" fontId="42" fillId="2" borderId="0" xfId="63" applyFont="1" applyFill="1"/>
    <xf numFmtId="0" fontId="42" fillId="2" borderId="0" xfId="63" applyFont="1" applyFill="1" applyAlignment="1">
      <alignment vertical="center"/>
    </xf>
    <xf numFmtId="0" fontId="42" fillId="2" borderId="4" xfId="1" applyFont="1" applyFill="1" applyBorder="1" applyAlignment="1">
      <alignment horizontal="left" vertical="center" wrapText="1" shrinkToFit="1"/>
    </xf>
    <xf numFmtId="0" fontId="56" fillId="2" borderId="4" xfId="1" applyFont="1" applyFill="1" applyBorder="1" applyAlignment="1">
      <alignment horizontal="center" vertical="center" wrapText="1"/>
    </xf>
    <xf numFmtId="0" fontId="56" fillId="2" borderId="11" xfId="1" applyFont="1" applyFill="1" applyBorder="1" applyAlignment="1">
      <alignment horizontal="center" vertical="center" wrapText="1"/>
    </xf>
    <xf numFmtId="0" fontId="38" fillId="0" borderId="0" xfId="1" applyFont="1" applyFill="1"/>
    <xf numFmtId="0" fontId="60" fillId="2" borderId="4" xfId="1" applyFont="1" applyFill="1" applyBorder="1" applyAlignment="1">
      <alignment horizontal="left" vertical="center" wrapText="1"/>
    </xf>
    <xf numFmtId="0" fontId="56" fillId="0" borderId="0" xfId="1" applyFont="1"/>
    <xf numFmtId="0" fontId="57" fillId="3" borderId="0" xfId="1" applyFont="1" applyFill="1"/>
    <xf numFmtId="164" fontId="38" fillId="0" borderId="0" xfId="1" applyNumberFormat="1" applyFont="1"/>
    <xf numFmtId="0" fontId="38" fillId="0" borderId="0" xfId="1" applyFont="1" applyAlignment="1">
      <alignment horizontal="center" vertical="center"/>
    </xf>
    <xf numFmtId="9" fontId="56" fillId="2" borderId="11" xfId="1" applyNumberFormat="1" applyFont="1" applyFill="1" applyBorder="1" applyAlignment="1">
      <alignment horizontal="center" vertical="center" wrapText="1"/>
    </xf>
    <xf numFmtId="4" fontId="58" fillId="2" borderId="4" xfId="1" applyNumberFormat="1" applyFont="1" applyFill="1" applyBorder="1" applyAlignment="1">
      <alignment horizontal="center" vertical="center" wrapText="1"/>
    </xf>
    <xf numFmtId="0" fontId="38" fillId="0" borderId="0" xfId="1" applyFont="1"/>
    <xf numFmtId="0" fontId="40" fillId="2" borderId="0" xfId="63" applyFont="1" applyFill="1" applyAlignment="1">
      <alignment horizontal="left" vertical="center" wrapText="1"/>
    </xf>
    <xf numFmtId="0" fontId="56" fillId="0" borderId="0" xfId="1" applyFont="1" applyFill="1" applyAlignment="1">
      <alignment horizontal="center" vertical="center"/>
    </xf>
    <xf numFmtId="0" fontId="56" fillId="0" borderId="0" xfId="1" applyFont="1" applyFill="1"/>
    <xf numFmtId="0" fontId="55" fillId="0" borderId="0" xfId="1" applyFont="1" applyFill="1" applyAlignment="1">
      <alignment horizontal="center" vertical="center"/>
    </xf>
    <xf numFmtId="0" fontId="56" fillId="0" borderId="0" xfId="1" applyFont="1" applyFill="1" applyAlignment="1">
      <alignment horizontal="left" vertical="top"/>
    </xf>
    <xf numFmtId="0" fontId="58" fillId="0" borderId="0" xfId="1" applyFont="1" applyBorder="1" applyAlignment="1">
      <alignment horizontal="left" vertical="top"/>
    </xf>
    <xf numFmtId="0" fontId="56" fillId="0" borderId="0" xfId="1" applyFont="1" applyBorder="1" applyAlignment="1"/>
    <xf numFmtId="0" fontId="56" fillId="0" borderId="0" xfId="1" applyFont="1" applyBorder="1" applyAlignment="1">
      <alignment horizontal="center" vertical="center"/>
    </xf>
    <xf numFmtId="0" fontId="38" fillId="0" borderId="0" xfId="1" applyFont="1" applyBorder="1" applyAlignment="1"/>
    <xf numFmtId="0" fontId="55" fillId="0" borderId="4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40" fillId="3" borderId="4" xfId="1" applyFont="1" applyFill="1" applyBorder="1" applyAlignment="1">
      <alignment horizontal="center" vertical="center" wrapText="1"/>
    </xf>
    <xf numFmtId="0" fontId="56" fillId="3" borderId="4" xfId="1" applyFont="1" applyFill="1" applyBorder="1" applyAlignment="1">
      <alignment horizontal="left" vertical="center" wrapText="1"/>
    </xf>
    <xf numFmtId="0" fontId="56" fillId="3" borderId="4" xfId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center" vertical="center" wrapText="1"/>
    </xf>
    <xf numFmtId="2" fontId="42" fillId="3" borderId="4" xfId="1" applyNumberFormat="1" applyFont="1" applyFill="1" applyBorder="1" applyAlignment="1">
      <alignment horizontal="right" vertical="center"/>
    </xf>
    <xf numFmtId="0" fontId="39" fillId="3" borderId="4" xfId="1" applyFont="1" applyFill="1" applyBorder="1" applyAlignment="1">
      <alignment horizontal="center" vertical="center" wrapText="1"/>
    </xf>
    <xf numFmtId="0" fontId="60" fillId="3" borderId="4" xfId="1" applyFont="1" applyFill="1" applyBorder="1" applyAlignment="1">
      <alignment horizontal="left" vertical="center" wrapText="1"/>
    </xf>
    <xf numFmtId="0" fontId="60" fillId="3" borderId="4" xfId="1" applyFont="1" applyFill="1" applyBorder="1" applyAlignment="1">
      <alignment horizontal="center" vertical="center" wrapText="1"/>
    </xf>
    <xf numFmtId="4" fontId="60" fillId="3" borderId="4" xfId="1" applyNumberFormat="1" applyFont="1" applyFill="1" applyBorder="1" applyAlignment="1">
      <alignment horizontal="right" vertical="center" wrapText="1"/>
    </xf>
    <xf numFmtId="0" fontId="61" fillId="3" borderId="4" xfId="1" applyFont="1" applyFill="1" applyBorder="1" applyAlignment="1">
      <alignment horizontal="center" vertical="center" wrapText="1"/>
    </xf>
    <xf numFmtId="4" fontId="58" fillId="2" borderId="4" xfId="63" applyNumberFormat="1" applyFont="1" applyFill="1" applyBorder="1" applyAlignment="1">
      <alignment horizontal="center" vertical="center" wrapText="1"/>
    </xf>
    <xf numFmtId="0" fontId="60" fillId="2" borderId="4" xfId="63" applyFont="1" applyFill="1" applyBorder="1" applyAlignment="1">
      <alignment horizontal="left" vertical="center" wrapText="1"/>
    </xf>
    <xf numFmtId="0" fontId="56" fillId="2" borderId="4" xfId="63" applyFont="1" applyFill="1" applyBorder="1" applyAlignment="1">
      <alignment horizontal="center" vertical="center" wrapText="1"/>
    </xf>
    <xf numFmtId="9" fontId="56" fillId="2" borderId="4" xfId="63" applyNumberFormat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left" vertical="center" wrapText="1"/>
    </xf>
    <xf numFmtId="0" fontId="40" fillId="0" borderId="4" xfId="1" applyFont="1" applyFill="1" applyBorder="1" applyAlignment="1">
      <alignment horizontal="left" vertical="center" wrapText="1"/>
    </xf>
    <xf numFmtId="4" fontId="42" fillId="0" borderId="4" xfId="1" applyNumberFormat="1" applyFont="1" applyFill="1" applyBorder="1" applyAlignment="1">
      <alignment horizontal="center" vertical="center" wrapText="1"/>
    </xf>
    <xf numFmtId="0" fontId="42" fillId="0" borderId="0" xfId="1" applyFont="1" applyFill="1" applyBorder="1" applyAlignment="1">
      <alignment horizontal="center" vertical="center" wrapText="1"/>
    </xf>
    <xf numFmtId="10" fontId="42" fillId="0" borderId="11" xfId="1" applyNumberFormat="1" applyFont="1" applyFill="1" applyBorder="1" applyAlignment="1">
      <alignment horizontal="center" vertical="center" wrapText="1"/>
    </xf>
    <xf numFmtId="10" fontId="42" fillId="0" borderId="0" xfId="1" applyNumberFormat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8" fillId="0" borderId="4" xfId="1" applyFont="1" applyFill="1" applyBorder="1"/>
    <xf numFmtId="0" fontId="60" fillId="0" borderId="4" xfId="1" applyFont="1" applyFill="1" applyBorder="1" applyAlignment="1">
      <alignment horizontal="left" vertical="center" wrapText="1"/>
    </xf>
    <xf numFmtId="0" fontId="60" fillId="0" borderId="4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4" xfId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left" vertical="center" wrapText="1"/>
    </xf>
    <xf numFmtId="2" fontId="42" fillId="3" borderId="4" xfId="1" applyNumberFormat="1" applyFont="1" applyFill="1" applyBorder="1" applyAlignment="1">
      <alignment horizontal="center" vertical="center" wrapText="1"/>
    </xf>
    <xf numFmtId="2" fontId="42" fillId="3" borderId="4" xfId="1" applyNumberFormat="1" applyFont="1" applyFill="1" applyBorder="1" applyAlignment="1">
      <alignment horizontal="left" vertical="center"/>
    </xf>
    <xf numFmtId="9" fontId="42" fillId="3" borderId="4" xfId="1" applyNumberFormat="1" applyFont="1" applyFill="1" applyBorder="1" applyAlignment="1">
      <alignment horizontal="center" vertical="center"/>
    </xf>
    <xf numFmtId="166" fontId="42" fillId="3" borderId="4" xfId="1" applyNumberFormat="1" applyFont="1" applyFill="1" applyBorder="1" applyAlignment="1">
      <alignment horizontal="center" vertical="center"/>
    </xf>
    <xf numFmtId="2" fontId="38" fillId="3" borderId="4" xfId="1" applyNumberFormat="1" applyFont="1" applyFill="1" applyBorder="1" applyAlignment="1">
      <alignment horizontal="center"/>
    </xf>
    <xf numFmtId="9" fontId="42" fillId="3" borderId="4" xfId="1" applyNumberFormat="1" applyFont="1" applyFill="1" applyBorder="1" applyAlignment="1">
      <alignment horizontal="left" vertical="center" wrapText="1"/>
    </xf>
    <xf numFmtId="4" fontId="42" fillId="3" borderId="4" xfId="1" applyNumberFormat="1" applyFont="1" applyFill="1" applyBorder="1" applyAlignment="1">
      <alignment horizontal="right" vertical="center" wrapText="1"/>
    </xf>
    <xf numFmtId="10" fontId="42" fillId="3" borderId="4" xfId="1" applyNumberFormat="1" applyFont="1" applyFill="1" applyBorder="1" applyAlignment="1">
      <alignment horizontal="center" vertical="center"/>
    </xf>
    <xf numFmtId="2" fontId="42" fillId="3" borderId="4" xfId="1" applyNumberFormat="1" applyFont="1" applyFill="1" applyBorder="1" applyAlignment="1">
      <alignment horizontal="left" vertical="center" wrapText="1"/>
    </xf>
    <xf numFmtId="0" fontId="40" fillId="3" borderId="4" xfId="1" applyFont="1" applyFill="1" applyBorder="1" applyAlignment="1">
      <alignment horizontal="left" vertical="center" wrapText="1"/>
    </xf>
    <xf numFmtId="2" fontId="40" fillId="3" borderId="4" xfId="1" applyNumberFormat="1" applyFont="1" applyFill="1" applyBorder="1" applyAlignment="1">
      <alignment horizontal="center" vertical="center" wrapText="1"/>
    </xf>
    <xf numFmtId="2" fontId="40" fillId="3" borderId="4" xfId="1" applyNumberFormat="1" applyFont="1" applyFill="1" applyBorder="1" applyAlignment="1">
      <alignment horizontal="left" vertical="center"/>
    </xf>
    <xf numFmtId="9" fontId="40" fillId="3" borderId="4" xfId="1" applyNumberFormat="1" applyFont="1" applyFill="1" applyBorder="1" applyAlignment="1">
      <alignment horizontal="center" vertical="center"/>
    </xf>
    <xf numFmtId="166" fontId="40" fillId="3" borderId="4" xfId="1" applyNumberFormat="1" applyFont="1" applyFill="1" applyBorder="1" applyAlignment="1">
      <alignment horizontal="center" vertical="center"/>
    </xf>
    <xf numFmtId="2" fontId="57" fillId="3" borderId="4" xfId="1" applyNumberFormat="1" applyFont="1" applyFill="1" applyBorder="1" applyAlignment="1">
      <alignment horizontal="center"/>
    </xf>
    <xf numFmtId="9" fontId="40" fillId="3" borderId="4" xfId="1" applyNumberFormat="1" applyFont="1" applyFill="1" applyBorder="1" applyAlignment="1">
      <alignment horizontal="left" vertical="center" wrapText="1"/>
    </xf>
    <xf numFmtId="4" fontId="40" fillId="3" borderId="4" xfId="1" applyNumberFormat="1" applyFont="1" applyFill="1" applyBorder="1" applyAlignment="1">
      <alignment horizontal="right" vertical="center" wrapText="1"/>
    </xf>
    <xf numFmtId="0" fontId="39" fillId="0" borderId="4" xfId="1" applyFont="1" applyBorder="1" applyAlignment="1">
      <alignment horizontal="center" vertical="center"/>
    </xf>
    <xf numFmtId="0" fontId="55" fillId="3" borderId="4" xfId="1" applyFont="1" applyFill="1" applyBorder="1" applyAlignment="1">
      <alignment horizontal="left" vertical="center" wrapText="1"/>
    </xf>
    <xf numFmtId="9" fontId="42" fillId="3" borderId="4" xfId="1" applyNumberFormat="1" applyFont="1" applyFill="1" applyBorder="1" applyAlignment="1">
      <alignment horizontal="center" vertical="center" wrapText="1"/>
    </xf>
    <xf numFmtId="2" fontId="42" fillId="3" borderId="4" xfId="1" applyNumberFormat="1" applyFont="1" applyFill="1" applyBorder="1" applyAlignment="1">
      <alignment horizontal="center" vertical="center"/>
    </xf>
    <xf numFmtId="0" fontId="38" fillId="0" borderId="0" xfId="1" applyFont="1" applyFill="1" applyBorder="1"/>
    <xf numFmtId="0" fontId="55" fillId="0" borderId="4" xfId="1" applyFont="1" applyBorder="1" applyAlignment="1">
      <alignment horizontal="left" vertical="center" wrapText="1"/>
    </xf>
    <xf numFmtId="0" fontId="56" fillId="0" borderId="4" xfId="1" applyFont="1" applyBorder="1"/>
    <xf numFmtId="164" fontId="55" fillId="0" borderId="4" xfId="3" applyFont="1" applyBorder="1" applyAlignment="1"/>
    <xf numFmtId="0" fontId="38" fillId="0" borderId="4" xfId="1" applyFont="1" applyBorder="1"/>
    <xf numFmtId="167" fontId="55" fillId="0" borderId="5" xfId="1" applyNumberFormat="1" applyFont="1" applyBorder="1" applyAlignment="1"/>
    <xf numFmtId="4" fontId="40" fillId="3" borderId="5" xfId="1" applyNumberFormat="1" applyFont="1" applyFill="1" applyBorder="1" applyAlignment="1">
      <alignment horizontal="right" vertical="center" wrapText="1"/>
    </xf>
    <xf numFmtId="0" fontId="38" fillId="0" borderId="4" xfId="1" applyFont="1" applyBorder="1" applyAlignment="1"/>
    <xf numFmtId="167" fontId="55" fillId="0" borderId="4" xfId="1" applyNumberFormat="1" applyFont="1" applyBorder="1" applyAlignment="1"/>
    <xf numFmtId="0" fontId="38" fillId="0" borderId="0" xfId="1" applyFont="1" applyBorder="1"/>
    <xf numFmtId="9" fontId="40" fillId="0" borderId="0" xfId="1" applyNumberFormat="1" applyFont="1" applyBorder="1" applyAlignment="1">
      <alignment horizontal="left"/>
    </xf>
    <xf numFmtId="4" fontId="40" fillId="3" borderId="0" xfId="1" applyNumberFormat="1" applyFont="1" applyFill="1" applyBorder="1" applyAlignment="1">
      <alignment horizontal="center" vertical="center" wrapText="1"/>
    </xf>
    <xf numFmtId="9" fontId="42" fillId="0" borderId="0" xfId="1" applyNumberFormat="1" applyFont="1" applyBorder="1" applyAlignment="1">
      <alignment horizontal="left"/>
    </xf>
    <xf numFmtId="0" fontId="63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56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40" fillId="2" borderId="4" xfId="63" applyFont="1" applyFill="1" applyBorder="1" applyAlignment="1">
      <alignment horizontal="center"/>
    </xf>
    <xf numFmtId="0" fontId="42" fillId="2" borderId="4" xfId="63" applyFont="1" applyFill="1" applyBorder="1"/>
    <xf numFmtId="0" fontId="28" fillId="0" borderId="4" xfId="0" applyFont="1" applyBorder="1" applyAlignment="1">
      <alignment vertical="center"/>
    </xf>
    <xf numFmtId="0" fontId="70" fillId="0" borderId="0" xfId="0" applyFont="1" applyBorder="1" applyAlignment="1">
      <alignment vertical="center" wrapText="1"/>
    </xf>
    <xf numFmtId="0" fontId="70" fillId="0" borderId="0" xfId="0" applyFont="1" applyBorder="1" applyAlignment="1">
      <alignment horizontal="justify" vertical="center" wrapText="1"/>
    </xf>
    <xf numFmtId="4" fontId="70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2" fillId="2" borderId="0" xfId="63" applyFont="1" applyFill="1"/>
    <xf numFmtId="0" fontId="69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40" fillId="2" borderId="0" xfId="63" applyNumberFormat="1" applyFont="1" applyFill="1" applyBorder="1" applyAlignment="1">
      <alignment horizontal="right" vertical="center" wrapText="1"/>
    </xf>
    <xf numFmtId="3" fontId="40" fillId="0" borderId="0" xfId="63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vertical="center"/>
    </xf>
    <xf numFmtId="0" fontId="66" fillId="0" borderId="0" xfId="0" applyFont="1" applyFill="1" applyAlignment="1">
      <alignment horizontal="center"/>
    </xf>
    <xf numFmtId="0" fontId="66" fillId="0" borderId="0" xfId="0" applyFont="1" applyFill="1"/>
    <xf numFmtId="4" fontId="66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106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0" fontId="112" fillId="0" borderId="0" xfId="0" applyFont="1"/>
    <xf numFmtId="0" fontId="112" fillId="0" borderId="0" xfId="0" applyFont="1" applyAlignment="1">
      <alignment wrapText="1"/>
    </xf>
    <xf numFmtId="14" fontId="112" fillId="0" borderId="0" xfId="0" applyNumberFormat="1" applyFont="1" applyBorder="1" applyAlignment="1">
      <alignment horizontal="center" vertical="center" wrapText="1"/>
    </xf>
    <xf numFmtId="0" fontId="110" fillId="0" borderId="0" xfId="0" applyFont="1"/>
    <xf numFmtId="0" fontId="112" fillId="0" borderId="0" xfId="0" applyFont="1" applyAlignment="1">
      <alignment horizontal="left"/>
    </xf>
    <xf numFmtId="0" fontId="112" fillId="0" borderId="0" xfId="0" applyFont="1" applyAlignment="1">
      <alignment horizontal="center" vertical="center"/>
    </xf>
    <xf numFmtId="0" fontId="39" fillId="0" borderId="0" xfId="63"/>
    <xf numFmtId="0" fontId="0" fillId="0" borderId="4" xfId="0" applyBorder="1"/>
    <xf numFmtId="177" fontId="110" fillId="0" borderId="0" xfId="0" applyNumberFormat="1" applyFont="1"/>
    <xf numFmtId="10" fontId="110" fillId="0" borderId="0" xfId="0" applyNumberFormat="1" applyFont="1"/>
    <xf numFmtId="2" fontId="64" fillId="2" borderId="0" xfId="63" applyNumberFormat="1" applyFont="1" applyFill="1"/>
    <xf numFmtId="2" fontId="42" fillId="2" borderId="0" xfId="63" applyNumberFormat="1" applyFont="1" applyFill="1"/>
    <xf numFmtId="176" fontId="112" fillId="0" borderId="0" xfId="0" applyNumberFormat="1" applyFont="1" applyAlignment="1">
      <alignment horizontal="center"/>
    </xf>
    <xf numFmtId="0" fontId="113" fillId="0" borderId="0" xfId="0" applyFont="1" applyBorder="1"/>
    <xf numFmtId="4" fontId="113" fillId="0" borderId="0" xfId="0" applyNumberFormat="1" applyFont="1" applyBorder="1" applyAlignment="1">
      <alignment horizontal="right"/>
    </xf>
    <xf numFmtId="0" fontId="70" fillId="0" borderId="0" xfId="0" applyFont="1" applyBorder="1" applyAlignment="1">
      <alignment horizontal="right"/>
    </xf>
    <xf numFmtId="0" fontId="59" fillId="0" borderId="0" xfId="63" applyFont="1" applyAlignment="1"/>
    <xf numFmtId="0" fontId="114" fillId="0" borderId="0" xfId="63" applyFont="1"/>
    <xf numFmtId="0" fontId="59" fillId="0" borderId="0" xfId="63" applyFont="1"/>
    <xf numFmtId="4" fontId="59" fillId="0" borderId="0" xfId="63" applyNumberFormat="1" applyFont="1" applyAlignment="1">
      <alignment vertical="center" wrapText="1"/>
    </xf>
    <xf numFmtId="49" fontId="114" fillId="0" borderId="0" xfId="63" applyNumberFormat="1" applyFont="1"/>
    <xf numFmtId="49" fontId="115" fillId="0" borderId="0" xfId="63" applyNumberFormat="1" applyFont="1"/>
    <xf numFmtId="0" fontId="70" fillId="0" borderId="0" xfId="0" applyFont="1" applyFill="1" applyBorder="1"/>
    <xf numFmtId="49" fontId="114" fillId="0" borderId="0" xfId="63" applyNumberFormat="1" applyFont="1" applyAlignment="1">
      <alignment wrapText="1"/>
    </xf>
    <xf numFmtId="0" fontId="116" fillId="0" borderId="10" xfId="63" applyFont="1" applyBorder="1" applyAlignment="1">
      <alignment horizontal="center"/>
    </xf>
    <xf numFmtId="0" fontId="70" fillId="0" borderId="0" xfId="0" applyFont="1"/>
    <xf numFmtId="0" fontId="116" fillId="0" borderId="0" xfId="63" applyFont="1" applyBorder="1" applyAlignment="1">
      <alignment horizontal="center"/>
    </xf>
    <xf numFmtId="0" fontId="117" fillId="0" borderId="0" xfId="63" applyFont="1" applyBorder="1" applyAlignment="1"/>
    <xf numFmtId="0" fontId="113" fillId="0" borderId="0" xfId="0" applyFont="1" applyAlignment="1">
      <alignment vertical="center"/>
    </xf>
    <xf numFmtId="0" fontId="118" fillId="0" borderId="0" xfId="0" applyFont="1" applyAlignment="1">
      <alignment vertical="center"/>
    </xf>
    <xf numFmtId="0" fontId="70" fillId="6" borderId="4" xfId="0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center" vertical="center" wrapText="1"/>
    </xf>
    <xf numFmtId="0" fontId="70" fillId="2" borderId="4" xfId="0" applyFont="1" applyFill="1" applyBorder="1" applyAlignment="1">
      <alignment horizontal="left" vertical="center" wrapText="1"/>
    </xf>
    <xf numFmtId="3" fontId="70" fillId="2" borderId="4" xfId="0" applyNumberFormat="1" applyFont="1" applyFill="1" applyBorder="1" applyAlignment="1">
      <alignment horizontal="center" vertical="center" wrapText="1"/>
    </xf>
    <xf numFmtId="4" fontId="70" fillId="2" borderId="4" xfId="0" applyNumberFormat="1" applyFont="1" applyFill="1" applyBorder="1" applyAlignment="1">
      <alignment horizontal="center" vertical="center" wrapText="1"/>
    </xf>
    <xf numFmtId="0" fontId="113" fillId="6" borderId="4" xfId="0" applyFont="1" applyFill="1" applyBorder="1" applyAlignment="1">
      <alignment vertical="center" wrapText="1"/>
    </xf>
    <xf numFmtId="3" fontId="113" fillId="6" borderId="4" xfId="0" applyNumberFormat="1" applyFont="1" applyFill="1" applyBorder="1" applyAlignment="1">
      <alignment horizontal="center" vertical="center" wrapText="1"/>
    </xf>
    <xf numFmtId="4" fontId="113" fillId="6" borderId="4" xfId="0" applyNumberFormat="1" applyFont="1" applyFill="1" applyBorder="1" applyAlignment="1">
      <alignment horizontal="center" vertical="center" wrapText="1"/>
    </xf>
    <xf numFmtId="0" fontId="70" fillId="0" borderId="4" xfId="0" applyFont="1" applyBorder="1" applyAlignment="1">
      <alignment vertical="center" wrapText="1"/>
    </xf>
    <xf numFmtId="0" fontId="70" fillId="0" borderId="4" xfId="0" applyFont="1" applyBorder="1" applyAlignment="1">
      <alignment horizontal="justify" vertical="center" wrapText="1"/>
    </xf>
    <xf numFmtId="3" fontId="70" fillId="0" borderId="4" xfId="0" applyNumberFormat="1" applyFont="1" applyBorder="1" applyAlignment="1">
      <alignment horizontal="center" vertical="center" wrapText="1"/>
    </xf>
    <xf numFmtId="4" fontId="70" fillId="0" borderId="4" xfId="0" applyNumberFormat="1" applyFont="1" applyBorder="1" applyAlignment="1">
      <alignment horizontal="center" vertical="center" wrapText="1"/>
    </xf>
    <xf numFmtId="0" fontId="115" fillId="0" borderId="0" xfId="0" applyFont="1"/>
    <xf numFmtId="3" fontId="114" fillId="0" borderId="4" xfId="63" applyNumberFormat="1" applyFont="1" applyBorder="1" applyAlignment="1">
      <alignment horizontal="center"/>
    </xf>
    <xf numFmtId="4" fontId="114" fillId="0" borderId="4" xfId="63" applyNumberFormat="1" applyFont="1" applyBorder="1" applyAlignment="1">
      <alignment horizontal="center"/>
    </xf>
    <xf numFmtId="0" fontId="113" fillId="0" borderId="0" xfId="0" quotePrefix="1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14" fillId="0" borderId="0" xfId="0" applyFont="1" applyAlignment="1">
      <alignment vertical="center"/>
    </xf>
    <xf numFmtId="0" fontId="114" fillId="0" borderId="0" xfId="0" applyFont="1"/>
    <xf numFmtId="0" fontId="114" fillId="0" borderId="0" xfId="0" applyFont="1" applyAlignment="1">
      <alignment horizontal="center"/>
    </xf>
    <xf numFmtId="0" fontId="114" fillId="0" borderId="4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/>
    </xf>
    <xf numFmtId="0" fontId="114" fillId="0" borderId="4" xfId="0" applyFont="1" applyBorder="1" applyAlignment="1">
      <alignment horizontal="center"/>
    </xf>
    <xf numFmtId="0" fontId="114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horizontal="center" vertical="center"/>
    </xf>
    <xf numFmtId="174" fontId="70" fillId="0" borderId="4" xfId="0" applyNumberFormat="1" applyFont="1" applyBorder="1" applyAlignment="1">
      <alignment horizontal="center" vertical="center"/>
    </xf>
    <xf numFmtId="3" fontId="114" fillId="0" borderId="4" xfId="0" applyNumberFormat="1" applyFont="1" applyBorder="1" applyAlignment="1">
      <alignment horizontal="center" vertical="center"/>
    </xf>
    <xf numFmtId="0" fontId="114" fillId="0" borderId="4" xfId="0" applyFont="1" applyBorder="1"/>
    <xf numFmtId="174" fontId="114" fillId="0" borderId="4" xfId="0" applyNumberFormat="1" applyFont="1" applyBorder="1" applyAlignment="1">
      <alignment horizontal="center" vertical="center"/>
    </xf>
    <xf numFmtId="4" fontId="70" fillId="0" borderId="4" xfId="0" applyNumberFormat="1" applyFont="1" applyBorder="1" applyAlignment="1">
      <alignment horizontal="center" vertical="center"/>
    </xf>
    <xf numFmtId="0" fontId="114" fillId="0" borderId="0" xfId="0" applyFont="1" applyBorder="1"/>
    <xf numFmtId="4" fontId="70" fillId="0" borderId="0" xfId="0" applyNumberFormat="1" applyFont="1" applyBorder="1" applyAlignment="1">
      <alignment horizontal="center" vertical="center"/>
    </xf>
    <xf numFmtId="175" fontId="70" fillId="0" borderId="0" xfId="0" applyNumberFormat="1" applyFont="1" applyAlignment="1">
      <alignment horizontal="center" vertical="top"/>
    </xf>
    <xf numFmtId="0" fontId="114" fillId="0" borderId="0" xfId="0" applyFont="1" applyAlignment="1">
      <alignment horizontal="left" vertical="top" wrapText="1"/>
    </xf>
    <xf numFmtId="0" fontId="114" fillId="0" borderId="0" xfId="0" applyFont="1" applyAlignment="1">
      <alignment horizontal="left" wrapText="1"/>
    </xf>
    <xf numFmtId="0" fontId="114" fillId="2" borderId="0" xfId="63" applyFont="1" applyFill="1"/>
    <xf numFmtId="0" fontId="114" fillId="2" borderId="10" xfId="63" applyFont="1" applyFill="1" applyBorder="1"/>
    <xf numFmtId="0" fontId="114" fillId="2" borderId="0" xfId="63" applyFont="1" applyFill="1" applyAlignment="1">
      <alignment vertical="center"/>
    </xf>
    <xf numFmtId="0" fontId="59" fillId="2" borderId="10" xfId="63" applyFont="1" applyFill="1" applyBorder="1" applyAlignment="1">
      <alignment horizontal="right"/>
    </xf>
    <xf numFmtId="49" fontId="59" fillId="2" borderId="4" xfId="63" applyNumberFormat="1" applyFont="1" applyFill="1" applyBorder="1" applyAlignment="1">
      <alignment horizontal="center" vertical="center" wrapText="1"/>
    </xf>
    <xf numFmtId="0" fontId="59" fillId="2" borderId="4" xfId="63" applyFont="1" applyFill="1" applyBorder="1" applyAlignment="1">
      <alignment horizontal="center" vertical="center" wrapText="1"/>
    </xf>
    <xf numFmtId="49" fontId="114" fillId="2" borderId="4" xfId="63" applyNumberFormat="1" applyFont="1" applyFill="1" applyBorder="1" applyAlignment="1">
      <alignment horizontal="center" vertical="center" wrapText="1"/>
    </xf>
    <xf numFmtId="0" fontId="114" fillId="0" borderId="4" xfId="0" applyFont="1" applyBorder="1" applyAlignment="1">
      <alignment vertical="center"/>
    </xf>
    <xf numFmtId="0" fontId="114" fillId="2" borderId="4" xfId="63" applyFont="1" applyFill="1" applyBorder="1" applyAlignment="1">
      <alignment horizontal="center" vertical="center" wrapText="1"/>
    </xf>
    <xf numFmtId="3" fontId="114" fillId="2" borderId="4" xfId="63" applyNumberFormat="1" applyFont="1" applyFill="1" applyBorder="1" applyAlignment="1">
      <alignment horizontal="center" vertical="center" wrapText="1"/>
    </xf>
    <xf numFmtId="3" fontId="114" fillId="2" borderId="4" xfId="63" applyNumberFormat="1" applyFont="1" applyFill="1" applyBorder="1" applyAlignment="1">
      <alignment horizontal="center" vertical="center"/>
    </xf>
    <xf numFmtId="3" fontId="59" fillId="2" borderId="4" xfId="63" applyNumberFormat="1" applyFont="1" applyFill="1" applyBorder="1" applyAlignment="1">
      <alignment horizontal="center" vertical="center" wrapText="1"/>
    </xf>
    <xf numFmtId="49" fontId="114" fillId="2" borderId="8" xfId="63" applyNumberFormat="1" applyFont="1" applyFill="1" applyBorder="1" applyAlignment="1">
      <alignment horizontal="left" vertical="center" wrapText="1"/>
    </xf>
    <xf numFmtId="4" fontId="119" fillId="2" borderId="4" xfId="63" applyNumberFormat="1" applyFont="1" applyFill="1" applyBorder="1" applyAlignment="1">
      <alignment horizontal="center" vertical="center" wrapText="1"/>
    </xf>
    <xf numFmtId="3" fontId="114" fillId="2" borderId="4" xfId="63" applyNumberFormat="1" applyFont="1" applyFill="1" applyBorder="1" applyAlignment="1">
      <alignment horizontal="right" vertical="center" wrapText="1"/>
    </xf>
    <xf numFmtId="49" fontId="59" fillId="2" borderId="0" xfId="63" applyNumberFormat="1" applyFont="1" applyFill="1" applyBorder="1" applyAlignment="1">
      <alignment horizontal="right" vertical="center" wrapText="1"/>
    </xf>
    <xf numFmtId="3" fontId="59" fillId="0" borderId="0" xfId="63" applyNumberFormat="1" applyFont="1" applyFill="1" applyBorder="1" applyAlignment="1">
      <alignment horizontal="right" vertical="center" wrapText="1"/>
    </xf>
    <xf numFmtId="3" fontId="59" fillId="0" borderId="0" xfId="63" applyNumberFormat="1" applyFont="1" applyFill="1" applyBorder="1" applyAlignment="1">
      <alignment horizontal="center" vertical="center" wrapText="1"/>
    </xf>
    <xf numFmtId="0" fontId="70" fillId="0" borderId="0" xfId="132" applyFont="1" applyFill="1" applyAlignment="1">
      <alignment horizontal="center"/>
    </xf>
    <xf numFmtId="0" fontId="70" fillId="0" borderId="0" xfId="132" applyFont="1" applyFill="1"/>
    <xf numFmtId="0" fontId="70" fillId="0" borderId="0" xfId="132" applyFont="1" applyFill="1" applyAlignment="1">
      <alignment wrapText="1"/>
    </xf>
    <xf numFmtId="4" fontId="70" fillId="0" borderId="0" xfId="132" applyNumberFormat="1" applyFont="1" applyFill="1"/>
    <xf numFmtId="0" fontId="70" fillId="0" borderId="4" xfId="93" quotePrefix="1" applyFont="1" applyFill="1" applyBorder="1" applyAlignment="1">
      <alignment horizontal="center" vertical="center" wrapText="1"/>
    </xf>
    <xf numFmtId="4" fontId="70" fillId="0" borderId="4" xfId="93" quotePrefix="1" applyNumberFormat="1" applyFont="1" applyFill="1" applyBorder="1" applyAlignment="1">
      <alignment horizontal="center" vertical="center" wrapText="1"/>
    </xf>
    <xf numFmtId="0" fontId="70" fillId="0" borderId="4" xfId="95" quotePrefix="1" applyFont="1" applyFill="1" applyBorder="1" applyAlignment="1">
      <alignment horizontal="left" vertical="center" wrapText="1"/>
    </xf>
    <xf numFmtId="0" fontId="70" fillId="0" borderId="4" xfId="95" quotePrefix="1" applyFont="1" applyFill="1" applyBorder="1" applyAlignment="1">
      <alignment horizontal="left" vertical="top" wrapText="1"/>
    </xf>
    <xf numFmtId="3" fontId="70" fillId="0" borderId="4" xfId="102" quotePrefix="1" applyNumberFormat="1" applyFont="1" applyFill="1" applyBorder="1" applyAlignment="1">
      <alignment horizontal="center" vertical="center" wrapText="1"/>
    </xf>
    <xf numFmtId="165" fontId="70" fillId="0" borderId="4" xfId="102" quotePrefix="1" applyNumberFormat="1" applyFont="1" applyFill="1" applyBorder="1" applyAlignment="1">
      <alignment horizontal="center" vertical="center" wrapText="1"/>
    </xf>
    <xf numFmtId="0" fontId="70" fillId="0" borderId="4" xfId="132" applyFont="1" applyFill="1" applyBorder="1" applyAlignment="1">
      <alignment wrapText="1"/>
    </xf>
    <xf numFmtId="2" fontId="70" fillId="0" borderId="4" xfId="102" quotePrefix="1" applyNumberFormat="1" applyFont="1" applyFill="1" applyBorder="1" applyAlignment="1">
      <alignment horizontal="center" vertical="center" wrapText="1"/>
    </xf>
    <xf numFmtId="0" fontId="70" fillId="0" borderId="4" xfId="102" quotePrefix="1" applyFont="1" applyFill="1" applyBorder="1" applyAlignment="1">
      <alignment horizontal="center" vertical="center" wrapText="1"/>
    </xf>
    <xf numFmtId="0" fontId="114" fillId="6" borderId="4" xfId="0" applyFont="1" applyFill="1" applyBorder="1" applyAlignment="1">
      <alignment horizontal="center" wrapText="1"/>
    </xf>
    <xf numFmtId="0" fontId="114" fillId="6" borderId="4" xfId="0" applyFont="1" applyFill="1" applyBorder="1" applyAlignment="1">
      <alignment horizontal="left" vertical="center" wrapText="1"/>
    </xf>
    <xf numFmtId="0" fontId="114" fillId="6" borderId="4" xfId="95" quotePrefix="1" applyFont="1" applyFill="1" applyBorder="1" applyAlignment="1">
      <alignment horizontal="left" vertical="center" wrapText="1"/>
    </xf>
    <xf numFmtId="3" fontId="114" fillId="6" borderId="4" xfId="102" quotePrefix="1" applyNumberFormat="1" applyFont="1" applyFill="1" applyBorder="1" applyAlignment="1">
      <alignment horizontal="center" vertical="center" wrapText="1"/>
    </xf>
    <xf numFmtId="165" fontId="114" fillId="6" borderId="4" xfId="102" quotePrefix="1" applyNumberFormat="1" applyFont="1" applyFill="1" applyBorder="1" applyAlignment="1">
      <alignment horizontal="center" vertical="center" wrapText="1"/>
    </xf>
    <xf numFmtId="0" fontId="114" fillId="6" borderId="4" xfId="132" applyFont="1" applyFill="1" applyBorder="1" applyAlignment="1">
      <alignment vertical="center" wrapText="1"/>
    </xf>
    <xf numFmtId="0" fontId="114" fillId="6" borderId="4" xfId="0" applyFont="1" applyFill="1" applyBorder="1" applyAlignment="1">
      <alignment horizontal="center" vertical="center" wrapText="1"/>
    </xf>
    <xf numFmtId="4" fontId="114" fillId="6" borderId="4" xfId="99" applyNumberFormat="1" applyFont="1" applyFill="1" applyBorder="1" applyAlignment="1">
      <alignment wrapText="1"/>
    </xf>
    <xf numFmtId="0" fontId="114" fillId="0" borderId="4" xfId="0" applyFont="1" applyBorder="1" applyAlignment="1">
      <alignment horizontal="center" wrapText="1"/>
    </xf>
    <xf numFmtId="0" fontId="114" fillId="0" borderId="4" xfId="0" quotePrefix="1" applyFont="1" applyFill="1" applyBorder="1" applyAlignment="1">
      <alignment vertical="center" wrapText="1"/>
    </xf>
    <xf numFmtId="0" fontId="114" fillId="0" borderId="4" xfId="95" quotePrefix="1" applyFont="1" applyFill="1" applyBorder="1" applyAlignment="1">
      <alignment horizontal="left" vertical="center" wrapText="1"/>
    </xf>
    <xf numFmtId="0" fontId="114" fillId="0" borderId="4" xfId="102" quotePrefix="1" applyFont="1" applyFill="1" applyBorder="1" applyAlignment="1">
      <alignment horizontal="left" vertical="center" wrapText="1"/>
    </xf>
    <xf numFmtId="0" fontId="114" fillId="0" borderId="4" xfId="132" applyFont="1" applyFill="1" applyBorder="1" applyAlignment="1">
      <alignment vertical="center" wrapText="1"/>
    </xf>
    <xf numFmtId="0" fontId="114" fillId="0" borderId="4" xfId="132" applyFont="1" applyFill="1" applyBorder="1" applyAlignment="1">
      <alignment horizontal="center" wrapText="1"/>
    </xf>
    <xf numFmtId="0" fontId="114" fillId="0" borderId="4" xfId="0" applyFont="1" applyBorder="1" applyAlignment="1">
      <alignment horizontal="left" vertical="center" wrapText="1"/>
    </xf>
    <xf numFmtId="0" fontId="114" fillId="0" borderId="4" xfId="95" quotePrefix="1" applyFont="1" applyFill="1" applyBorder="1" applyAlignment="1">
      <alignment horizontal="left" vertical="top" wrapText="1"/>
    </xf>
    <xf numFmtId="0" fontId="114" fillId="0" borderId="4" xfId="102" quotePrefix="1" applyFont="1" applyFill="1" applyBorder="1" applyAlignment="1">
      <alignment horizontal="left" vertical="top" wrapText="1"/>
    </xf>
    <xf numFmtId="0" fontId="114" fillId="0" borderId="4" xfId="132" applyFont="1" applyFill="1" applyBorder="1" applyAlignment="1">
      <alignment wrapText="1"/>
    </xf>
    <xf numFmtId="0" fontId="114" fillId="0" borderId="4" xfId="102" quotePrefix="1" applyFont="1" applyFill="1" applyBorder="1" applyAlignment="1">
      <alignment horizontal="center" vertical="center" wrapText="1"/>
    </xf>
    <xf numFmtId="3" fontId="114" fillId="0" borderId="4" xfId="132" applyNumberFormat="1" applyFont="1" applyFill="1" applyBorder="1" applyAlignment="1">
      <alignment horizontal="center" vertical="center" wrapText="1"/>
    </xf>
    <xf numFmtId="3" fontId="114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70" fillId="0" borderId="10" xfId="0" applyFont="1" applyBorder="1"/>
    <xf numFmtId="0" fontId="114" fillId="0" borderId="0" xfId="63" applyFont="1" applyAlignment="1">
      <alignment vertical="top"/>
    </xf>
    <xf numFmtId="0" fontId="114" fillId="0" borderId="0" xfId="0" applyFont="1" applyFill="1"/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114" fillId="0" borderId="0" xfId="0" applyFont="1" applyAlignment="1">
      <alignment vertical="center" wrapText="1"/>
    </xf>
    <xf numFmtId="3" fontId="0" fillId="0" borderId="0" xfId="0" applyNumberFormat="1"/>
    <xf numFmtId="4" fontId="113" fillId="0" borderId="0" xfId="0" applyNumberFormat="1" applyFont="1" applyFill="1" applyBorder="1" applyAlignment="1">
      <alignment horizontal="right"/>
    </xf>
    <xf numFmtId="0" fontId="39" fillId="0" borderId="0" xfId="1928" applyFont="1" applyBorder="1" applyAlignment="1">
      <alignment wrapText="1"/>
    </xf>
    <xf numFmtId="0" fontId="39" fillId="0" borderId="10" xfId="1928" applyFont="1" applyBorder="1" applyAlignment="1">
      <alignment vertical="top" wrapText="1"/>
    </xf>
    <xf numFmtId="0" fontId="61" fillId="0" borderId="0" xfId="1928" applyFont="1" applyAlignment="1">
      <alignment horizontal="left"/>
    </xf>
    <xf numFmtId="0" fontId="39" fillId="0" borderId="0" xfId="1928" applyFont="1" applyBorder="1">
      <alignment horizontal="center"/>
    </xf>
    <xf numFmtId="0" fontId="39" fillId="0" borderId="0" xfId="1928" applyFont="1" applyBorder="1" applyAlignment="1">
      <alignment horizontal="right"/>
    </xf>
    <xf numFmtId="0" fontId="122" fillId="0" borderId="4" xfId="1928" applyFont="1" applyBorder="1" applyAlignment="1">
      <alignment horizontal="center" vertical="center" wrapText="1"/>
    </xf>
    <xf numFmtId="0" fontId="39" fillId="0" borderId="5" xfId="1929" applyBorder="1">
      <alignment horizontal="center" wrapText="1"/>
    </xf>
    <xf numFmtId="0" fontId="39" fillId="0" borderId="1" xfId="1929" applyBorder="1" applyAlignment="1">
      <alignment horizontal="center" wrapText="1"/>
    </xf>
    <xf numFmtId="0" fontId="39" fillId="0" borderId="5" xfId="1930" applyFont="1" applyBorder="1" applyAlignment="1">
      <alignment horizontal="left" vertical="top" wrapText="1"/>
    </xf>
    <xf numFmtId="0" fontId="126" fillId="0" borderId="9" xfId="1930" applyFont="1" applyBorder="1" applyAlignment="1">
      <alignment horizontal="left" vertical="top" wrapText="1"/>
    </xf>
    <xf numFmtId="0" fontId="39" fillId="0" borderId="0" xfId="1930" applyFont="1" applyAlignment="1">
      <alignment horizontal="left" vertical="top" wrapText="1"/>
    </xf>
    <xf numFmtId="0" fontId="122" fillId="0" borderId="0" xfId="1930" applyFont="1">
      <alignment horizontal="left" vertical="top"/>
    </xf>
    <xf numFmtId="0" fontId="39" fillId="0" borderId="0" xfId="1930" applyFont="1">
      <alignment horizontal="left" vertical="top"/>
    </xf>
    <xf numFmtId="3" fontId="70" fillId="29" borderId="4" xfId="0" applyNumberFormat="1" applyFont="1" applyFill="1" applyBorder="1" applyAlignment="1">
      <alignment horizontal="center" vertical="center"/>
    </xf>
    <xf numFmtId="0" fontId="114" fillId="0" borderId="0" xfId="0" applyFont="1" applyAlignment="1">
      <alignment horizontal="left" wrapText="1"/>
    </xf>
    <xf numFmtId="0" fontId="56" fillId="0" borderId="0" xfId="1932" applyFont="1" applyFill="1"/>
    <xf numFmtId="0" fontId="56" fillId="0" borderId="0" xfId="1932" applyFont="1" applyFill="1" applyAlignment="1">
      <alignment horizontal="left"/>
    </xf>
    <xf numFmtId="0" fontId="56" fillId="0" borderId="0" xfId="1932" applyFont="1" applyFill="1" applyAlignment="1"/>
    <xf numFmtId="2" fontId="56" fillId="0" borderId="0" xfId="1932" applyNumberFormat="1" applyFont="1" applyFill="1" applyAlignment="1"/>
    <xf numFmtId="1" fontId="131" fillId="0" borderId="0" xfId="1932" applyNumberFormat="1" applyFont="1" applyFill="1" applyAlignment="1">
      <alignment vertical="center"/>
    </xf>
    <xf numFmtId="0" fontId="56" fillId="0" borderId="4" xfId="1932" applyFont="1" applyFill="1" applyBorder="1"/>
    <xf numFmtId="0" fontId="56" fillId="0" borderId="8" xfId="1932" applyFont="1" applyFill="1" applyBorder="1" applyAlignment="1" applyProtection="1">
      <alignment horizontal="left" vertical="center"/>
    </xf>
    <xf numFmtId="0" fontId="56" fillId="0" borderId="6" xfId="1932" applyFont="1" applyFill="1" applyBorder="1"/>
    <xf numFmtId="0" fontId="56" fillId="0" borderId="7" xfId="1932" applyFont="1" applyFill="1" applyBorder="1"/>
    <xf numFmtId="0" fontId="56" fillId="0" borderId="8" xfId="1932" applyFont="1" applyFill="1" applyBorder="1" applyAlignment="1" applyProtection="1">
      <alignment horizontal="left" vertical="top"/>
    </xf>
    <xf numFmtId="0" fontId="56" fillId="0" borderId="6" xfId="1932" applyFont="1" applyFill="1" applyBorder="1" applyAlignment="1">
      <alignment horizontal="left"/>
    </xf>
    <xf numFmtId="0" fontId="55" fillId="0" borderId="0" xfId="1932" applyFont="1" applyFill="1" applyAlignment="1" applyProtection="1">
      <alignment vertical="top" wrapText="1"/>
      <protection locked="0"/>
    </xf>
    <xf numFmtId="0" fontId="132" fillId="0" borderId="0" xfId="1932" applyFont="1" applyFill="1" applyAlignment="1" applyProtection="1">
      <protection locked="0"/>
    </xf>
    <xf numFmtId="2" fontId="55" fillId="0" borderId="0" xfId="1932" applyNumberFormat="1" applyFont="1" applyFill="1" applyAlignment="1"/>
    <xf numFmtId="1" fontId="56" fillId="0" borderId="0" xfId="1932" applyNumberFormat="1" applyFont="1" applyFill="1" applyAlignment="1"/>
    <xf numFmtId="0" fontId="56" fillId="0" borderId="0" xfId="1933" applyFont="1" applyFill="1" applyAlignment="1">
      <alignment horizontal="left" vertical="center"/>
    </xf>
    <xf numFmtId="0" fontId="56" fillId="0" borderId="0" xfId="1933" applyFont="1" applyFill="1" applyAlignment="1"/>
    <xf numFmtId="2" fontId="132" fillId="0" borderId="0" xfId="1932" applyNumberFormat="1" applyFont="1" applyFill="1" applyAlignment="1"/>
    <xf numFmtId="0" fontId="132" fillId="0" borderId="0" xfId="1932" applyFont="1" applyFill="1" applyAlignment="1"/>
    <xf numFmtId="2" fontId="56" fillId="0" borderId="0" xfId="1933" applyNumberFormat="1" applyFont="1" applyFill="1" applyAlignment="1">
      <alignment horizontal="left" vertical="center"/>
    </xf>
    <xf numFmtId="0" fontId="55" fillId="0" borderId="28" xfId="151" applyFont="1" applyBorder="1" applyAlignment="1">
      <alignment horizontal="center"/>
    </xf>
    <xf numFmtId="0" fontId="55" fillId="0" borderId="29" xfId="151" applyFont="1" applyBorder="1" applyAlignment="1">
      <alignment horizontal="left"/>
    </xf>
    <xf numFmtId="0" fontId="55" fillId="0" borderId="32" xfId="151" applyFont="1" applyBorder="1" applyAlignment="1">
      <alignment horizontal="center"/>
    </xf>
    <xf numFmtId="0" fontId="55" fillId="0" borderId="0" xfId="151" applyFont="1" applyBorder="1" applyAlignment="1">
      <alignment horizontal="left"/>
    </xf>
    <xf numFmtId="0" fontId="56" fillId="0" borderId="32" xfId="151" applyFont="1" applyBorder="1"/>
    <xf numFmtId="0" fontId="56" fillId="0" borderId="35" xfId="151" applyFont="1" applyBorder="1"/>
    <xf numFmtId="0" fontId="55" fillId="0" borderId="36" xfId="151" applyFont="1" applyBorder="1" applyAlignment="1">
      <alignment horizontal="left"/>
    </xf>
    <xf numFmtId="0" fontId="55" fillId="0" borderId="39" xfId="151" applyFont="1" applyBorder="1" applyAlignment="1">
      <alignment horizontal="left"/>
    </xf>
    <xf numFmtId="0" fontId="56" fillId="0" borderId="41" xfId="151" applyFont="1" applyBorder="1" applyAlignment="1">
      <alignment horizontal="left" vertical="center"/>
    </xf>
    <xf numFmtId="0" fontId="56" fillId="0" borderId="42" xfId="151" applyFont="1" applyBorder="1" applyAlignment="1">
      <alignment horizontal="left"/>
    </xf>
    <xf numFmtId="0" fontId="56" fillId="0" borderId="41" xfId="151" applyFont="1" applyBorder="1" applyAlignment="1"/>
    <xf numFmtId="0" fontId="56" fillId="0" borderId="29" xfId="151" applyFont="1" applyBorder="1" applyAlignment="1">
      <alignment horizontal="center" vertical="center"/>
    </xf>
    <xf numFmtId="0" fontId="56" fillId="0" borderId="7" xfId="151" applyFont="1" applyBorder="1" applyAlignment="1">
      <alignment horizontal="left" vertical="center"/>
    </xf>
    <xf numFmtId="0" fontId="56" fillId="0" borderId="44" xfId="151" applyFont="1" applyBorder="1" applyAlignment="1">
      <alignment horizontal="left"/>
    </xf>
    <xf numFmtId="0" fontId="56" fillId="0" borderId="7" xfId="151" applyFont="1" applyBorder="1" applyAlignment="1"/>
    <xf numFmtId="0" fontId="56" fillId="0" borderId="0" xfId="151" applyFont="1" applyBorder="1" applyAlignment="1">
      <alignment horizontal="center" vertical="center"/>
    </xf>
    <xf numFmtId="0" fontId="56" fillId="0" borderId="46" xfId="151" applyFont="1" applyBorder="1" applyAlignment="1">
      <alignment horizontal="left" vertical="center"/>
    </xf>
    <xf numFmtId="0" fontId="56" fillId="0" borderId="47" xfId="151" applyFont="1" applyBorder="1" applyAlignment="1">
      <alignment horizontal="left"/>
    </xf>
    <xf numFmtId="0" fontId="56" fillId="0" borderId="46" xfId="151" applyFont="1" applyBorder="1" applyAlignment="1">
      <alignment horizontal="right"/>
    </xf>
    <xf numFmtId="0" fontId="56" fillId="0" borderId="48" xfId="151" applyFont="1" applyBorder="1" applyAlignment="1"/>
    <xf numFmtId="0" fontId="56" fillId="0" borderId="7" xfId="151" applyFont="1" applyBorder="1" applyAlignment="1">
      <alignment horizontal="left" vertical="center" wrapText="1"/>
    </xf>
    <xf numFmtId="0" fontId="56" fillId="0" borderId="1" xfId="151" applyFont="1" applyBorder="1" applyAlignment="1">
      <alignment horizontal="left" vertical="center"/>
    </xf>
    <xf numFmtId="0" fontId="56" fillId="0" borderId="49" xfId="151" applyFont="1" applyBorder="1" applyAlignment="1">
      <alignment horizontal="left"/>
    </xf>
    <xf numFmtId="0" fontId="56" fillId="0" borderId="1" xfId="151" applyFont="1" applyBorder="1" applyAlignment="1"/>
    <xf numFmtId="0" fontId="56" fillId="0" borderId="36" xfId="151" applyFont="1" applyBorder="1" applyAlignment="1">
      <alignment horizontal="center" vertical="center"/>
    </xf>
    <xf numFmtId="0" fontId="56" fillId="0" borderId="50" xfId="151" applyFont="1" applyBorder="1" applyAlignment="1">
      <alignment horizontal="left"/>
    </xf>
    <xf numFmtId="0" fontId="56" fillId="0" borderId="51" xfId="151" applyFont="1" applyBorder="1" applyAlignment="1"/>
    <xf numFmtId="0" fontId="56" fillId="0" borderId="31" xfId="151" applyFont="1" applyBorder="1" applyAlignment="1">
      <alignment horizontal="center" vertical="center"/>
    </xf>
    <xf numFmtId="0" fontId="56" fillId="0" borderId="52" xfId="151" applyFont="1" applyBorder="1" applyAlignment="1">
      <alignment horizontal="left"/>
    </xf>
    <xf numFmtId="0" fontId="56" fillId="0" borderId="53" xfId="151" applyFont="1" applyBorder="1" applyAlignment="1"/>
    <xf numFmtId="0" fontId="56" fillId="0" borderId="34" xfId="151" applyFont="1" applyBorder="1" applyAlignment="1">
      <alignment horizontal="center" vertical="center"/>
    </xf>
    <xf numFmtId="0" fontId="56" fillId="0" borderId="38" xfId="151" applyFont="1" applyBorder="1" applyAlignment="1">
      <alignment horizontal="center" vertical="center"/>
    </xf>
    <xf numFmtId="0" fontId="42" fillId="0" borderId="42" xfId="151" applyFont="1" applyBorder="1" applyAlignment="1">
      <alignment horizontal="left"/>
    </xf>
    <xf numFmtId="0" fontId="42" fillId="0" borderId="51" xfId="151" applyFont="1" applyBorder="1"/>
    <xf numFmtId="0" fontId="42" fillId="0" borderId="29" xfId="151" applyFont="1" applyBorder="1" applyAlignment="1">
      <alignment horizontal="center" vertical="center"/>
    </xf>
    <xf numFmtId="0" fontId="42" fillId="0" borderId="44" xfId="151" applyFont="1" applyBorder="1" applyAlignment="1">
      <alignment horizontal="left"/>
    </xf>
    <xf numFmtId="0" fontId="42" fillId="0" borderId="54" xfId="151" applyFont="1" applyBorder="1"/>
    <xf numFmtId="0" fontId="42" fillId="0" borderId="0" xfId="151" applyFont="1" applyBorder="1" applyAlignment="1">
      <alignment horizontal="center" vertical="center"/>
    </xf>
    <xf numFmtId="0" fontId="56" fillId="0" borderId="44" xfId="151" applyFont="1" applyFill="1" applyBorder="1" applyAlignment="1">
      <alignment horizontal="left"/>
    </xf>
    <xf numFmtId="0" fontId="56" fillId="0" borderId="54" xfId="151" applyFont="1" applyFill="1" applyBorder="1"/>
    <xf numFmtId="0" fontId="56" fillId="0" borderId="55" xfId="151" applyFont="1" applyFill="1" applyBorder="1"/>
    <xf numFmtId="0" fontId="42" fillId="0" borderId="36" xfId="151" applyFont="1" applyBorder="1" applyAlignment="1">
      <alignment horizontal="center" vertical="center"/>
    </xf>
    <xf numFmtId="0" fontId="56" fillId="0" borderId="42" xfId="151" applyFont="1" applyFill="1" applyBorder="1" applyAlignment="1">
      <alignment horizontal="left"/>
    </xf>
    <xf numFmtId="0" fontId="56" fillId="0" borderId="41" xfId="151" applyFont="1" applyFill="1" applyBorder="1"/>
    <xf numFmtId="0" fontId="56" fillId="0" borderId="29" xfId="151" applyFont="1" applyFill="1" applyBorder="1" applyAlignment="1">
      <alignment horizontal="center" vertical="center"/>
    </xf>
    <xf numFmtId="0" fontId="56" fillId="0" borderId="7" xfId="151" applyFont="1" applyFill="1" applyBorder="1"/>
    <xf numFmtId="0" fontId="56" fillId="0" borderId="0" xfId="151" applyFont="1" applyFill="1" applyBorder="1" applyAlignment="1">
      <alignment horizontal="center" vertical="center"/>
    </xf>
    <xf numFmtId="0" fontId="56" fillId="0" borderId="49" xfId="151" applyFont="1" applyFill="1" applyBorder="1" applyAlignment="1">
      <alignment horizontal="left"/>
    </xf>
    <xf numFmtId="0" fontId="56" fillId="0" borderId="1" xfId="151" applyFont="1" applyFill="1" applyBorder="1"/>
    <xf numFmtId="0" fontId="56" fillId="0" borderId="36" xfId="151" applyFont="1" applyFill="1" applyBorder="1" applyAlignment="1">
      <alignment horizontal="center" vertical="center"/>
    </xf>
    <xf numFmtId="0" fontId="56" fillId="0" borderId="42" xfId="151" applyFont="1" applyFill="1" applyBorder="1" applyAlignment="1">
      <alignment horizontal="left" vertical="center"/>
    </xf>
    <xf numFmtId="0" fontId="56" fillId="0" borderId="41" xfId="151" applyFont="1" applyFill="1" applyBorder="1" applyAlignment="1">
      <alignment vertical="center"/>
    </xf>
    <xf numFmtId="0" fontId="56" fillId="0" borderId="44" xfId="151" applyFont="1" applyFill="1" applyBorder="1" applyAlignment="1">
      <alignment horizontal="left" vertical="center"/>
    </xf>
    <xf numFmtId="0" fontId="56" fillId="0" borderId="7" xfId="151" applyFont="1" applyFill="1" applyBorder="1" applyAlignment="1">
      <alignment vertical="center"/>
    </xf>
    <xf numFmtId="0" fontId="56" fillId="0" borderId="56" xfId="151" applyFont="1" applyBorder="1" applyAlignment="1">
      <alignment horizontal="left" vertical="center"/>
    </xf>
    <xf numFmtId="0" fontId="56" fillId="0" borderId="57" xfId="151" applyFont="1" applyFill="1" applyBorder="1" applyAlignment="1">
      <alignment horizontal="left" vertical="center"/>
    </xf>
    <xf numFmtId="0" fontId="56" fillId="0" borderId="46" xfId="151" applyFont="1" applyFill="1" applyBorder="1" applyAlignment="1">
      <alignment vertical="center"/>
    </xf>
    <xf numFmtId="0" fontId="56" fillId="0" borderId="41" xfId="151" applyFont="1" applyBorder="1" applyAlignment="1">
      <alignment horizontal="left"/>
    </xf>
    <xf numFmtId="1" fontId="56" fillId="0" borderId="41" xfId="151" applyNumberFormat="1" applyFont="1" applyBorder="1" applyAlignment="1"/>
    <xf numFmtId="2" fontId="56" fillId="0" borderId="29" xfId="151" applyNumberFormat="1" applyFont="1" applyBorder="1" applyAlignment="1">
      <alignment horizontal="center" vertical="center"/>
    </xf>
    <xf numFmtId="0" fontId="56" fillId="0" borderId="46" xfId="151" applyFont="1" applyBorder="1" applyAlignment="1">
      <alignment horizontal="left"/>
    </xf>
    <xf numFmtId="2" fontId="56" fillId="0" borderId="46" xfId="151" applyNumberFormat="1" applyFont="1" applyBorder="1" applyAlignment="1"/>
    <xf numFmtId="2" fontId="56" fillId="0" borderId="36" xfId="151" applyNumberFormat="1" applyFont="1" applyBorder="1" applyAlignment="1">
      <alignment horizontal="center" vertical="center"/>
    </xf>
    <xf numFmtId="179" fontId="58" fillId="0" borderId="30" xfId="151" applyNumberFormat="1" applyFont="1" applyFill="1" applyBorder="1" applyAlignment="1">
      <alignment vertical="center" wrapText="1"/>
    </xf>
    <xf numFmtId="0" fontId="58" fillId="0" borderId="29" xfId="151" applyFont="1" applyFill="1" applyBorder="1" applyAlignment="1">
      <alignment vertical="center" wrapText="1"/>
    </xf>
    <xf numFmtId="10" fontId="58" fillId="0" borderId="29" xfId="151" applyNumberFormat="1" applyFont="1" applyFill="1" applyBorder="1" applyAlignment="1">
      <alignment vertical="center" wrapText="1"/>
    </xf>
    <xf numFmtId="0" fontId="58" fillId="0" borderId="29" xfId="151" applyFont="1" applyFill="1" applyBorder="1" applyAlignment="1">
      <alignment horizontal="center" vertical="center" wrapText="1"/>
    </xf>
    <xf numFmtId="0" fontId="56" fillId="0" borderId="54" xfId="151" applyFont="1" applyFill="1" applyBorder="1" applyAlignment="1">
      <alignment horizontal="left"/>
    </xf>
    <xf numFmtId="0" fontId="58" fillId="0" borderId="33" xfId="151" applyFont="1" applyFill="1" applyBorder="1" applyAlignment="1">
      <alignment vertical="center"/>
    </xf>
    <xf numFmtId="0" fontId="58" fillId="0" borderId="0" xfId="151" applyFont="1" applyFill="1" applyBorder="1" applyAlignment="1">
      <alignment vertical="center"/>
    </xf>
    <xf numFmtId="0" fontId="58" fillId="0" borderId="0" xfId="151" applyFont="1" applyFill="1" applyBorder="1" applyAlignment="1">
      <alignment horizontal="center" vertical="center"/>
    </xf>
    <xf numFmtId="0" fontId="138" fillId="0" borderId="49" xfId="151" applyFont="1" applyFill="1" applyBorder="1" applyAlignment="1">
      <alignment horizontal="left"/>
    </xf>
    <xf numFmtId="0" fontId="138" fillId="0" borderId="55" xfId="151" applyFont="1" applyFill="1" applyBorder="1"/>
    <xf numFmtId="0" fontId="58" fillId="0" borderId="37" xfId="151" applyFont="1" applyFill="1" applyBorder="1" applyAlignment="1">
      <alignment vertical="center"/>
    </xf>
    <xf numFmtId="0" fontId="58" fillId="0" borderId="36" xfId="151" applyFont="1" applyFill="1" applyBorder="1" applyAlignment="1">
      <alignment vertical="center"/>
    </xf>
    <xf numFmtId="0" fontId="58" fillId="0" borderId="36" xfId="151" applyFont="1" applyFill="1" applyBorder="1" applyAlignment="1">
      <alignment horizontal="center" vertical="center"/>
    </xf>
    <xf numFmtId="0" fontId="42" fillId="0" borderId="0" xfId="151" applyFont="1" applyBorder="1" applyAlignment="1">
      <alignment horizontal="left" vertical="center"/>
    </xf>
    <xf numFmtId="0" fontId="42" fillId="0" borderId="42" xfId="151" applyFont="1" applyFill="1" applyBorder="1" applyAlignment="1">
      <alignment horizontal="left"/>
    </xf>
    <xf numFmtId="179" fontId="58" fillId="0" borderId="30" xfId="151" applyNumberFormat="1" applyFont="1" applyFill="1" applyBorder="1" applyAlignment="1">
      <alignment vertical="center"/>
    </xf>
    <xf numFmtId="0" fontId="58" fillId="0" borderId="29" xfId="151" applyFont="1" applyFill="1" applyBorder="1" applyAlignment="1">
      <alignment vertical="center"/>
    </xf>
    <xf numFmtId="179" fontId="58" fillId="0" borderId="29" xfId="151" applyNumberFormat="1" applyFont="1" applyFill="1" applyBorder="1" applyAlignment="1">
      <alignment vertical="center"/>
    </xf>
    <xf numFmtId="10" fontId="58" fillId="0" borderId="29" xfId="151" applyNumberFormat="1" applyFont="1" applyFill="1" applyBorder="1" applyAlignment="1">
      <alignment vertical="center"/>
    </xf>
    <xf numFmtId="0" fontId="58" fillId="0" borderId="29" xfId="151" applyFont="1" applyFill="1" applyBorder="1" applyAlignment="1">
      <alignment horizontal="center" vertical="center"/>
    </xf>
    <xf numFmtId="0" fontId="42" fillId="0" borderId="44" xfId="151" applyFont="1" applyFill="1" applyBorder="1" applyAlignment="1">
      <alignment horizontal="left"/>
    </xf>
    <xf numFmtId="0" fontId="42" fillId="0" borderId="54" xfId="151" applyFont="1" applyFill="1" applyBorder="1"/>
    <xf numFmtId="10" fontId="58" fillId="0" borderId="0" xfId="151" applyNumberFormat="1" applyFont="1" applyFill="1" applyBorder="1" applyAlignment="1">
      <alignment vertical="center"/>
    </xf>
    <xf numFmtId="0" fontId="42" fillId="0" borderId="47" xfId="151" applyFont="1" applyFill="1" applyBorder="1" applyAlignment="1">
      <alignment horizontal="left"/>
    </xf>
    <xf numFmtId="0" fontId="42" fillId="0" borderId="58" xfId="151" applyFont="1" applyFill="1" applyBorder="1"/>
    <xf numFmtId="179" fontId="58" fillId="0" borderId="37" xfId="151" applyNumberFormat="1" applyFont="1" applyFill="1" applyBorder="1" applyAlignment="1">
      <alignment vertical="center"/>
    </xf>
    <xf numFmtId="0" fontId="42" fillId="0" borderId="41" xfId="151" applyFont="1" applyFill="1" applyBorder="1" applyAlignment="1">
      <alignment horizontal="left"/>
    </xf>
    <xf numFmtId="0" fontId="56" fillId="0" borderId="40" xfId="151" applyFont="1" applyFill="1" applyBorder="1" applyAlignment="1">
      <alignment horizontal="left" vertical="center"/>
    </xf>
    <xf numFmtId="10" fontId="56" fillId="0" borderId="51" xfId="151" applyNumberFormat="1" applyFont="1" applyFill="1" applyBorder="1"/>
    <xf numFmtId="2" fontId="58" fillId="0" borderId="29" xfId="151" applyNumberFormat="1" applyFont="1" applyFill="1" applyBorder="1" applyAlignment="1">
      <alignment vertical="center"/>
    </xf>
    <xf numFmtId="0" fontId="56" fillId="0" borderId="0" xfId="1932" applyFont="1" applyFill="1" applyAlignment="1">
      <alignment wrapText="1"/>
    </xf>
    <xf numFmtId="0" fontId="42" fillId="0" borderId="48" xfId="151" applyFont="1" applyFill="1" applyBorder="1" applyAlignment="1">
      <alignment horizontal="left"/>
    </xf>
    <xf numFmtId="176" fontId="56" fillId="0" borderId="59" xfId="151" applyNumberFormat="1" applyFont="1" applyFill="1" applyBorder="1"/>
    <xf numFmtId="179" fontId="58" fillId="0" borderId="0" xfId="151" applyNumberFormat="1" applyFont="1" applyFill="1" applyBorder="1" applyAlignment="1">
      <alignment vertical="center"/>
    </xf>
    <xf numFmtId="0" fontId="42" fillId="0" borderId="1" xfId="151" applyFont="1" applyFill="1" applyBorder="1" applyAlignment="1">
      <alignment horizontal="left"/>
    </xf>
    <xf numFmtId="0" fontId="42" fillId="0" borderId="41" xfId="151" applyFont="1" applyFill="1" applyBorder="1"/>
    <xf numFmtId="0" fontId="42" fillId="0" borderId="29" xfId="151" applyFont="1" applyFill="1" applyBorder="1" applyAlignment="1"/>
    <xf numFmtId="0" fontId="42" fillId="0" borderId="29" xfId="151" applyFont="1" applyFill="1" applyBorder="1"/>
    <xf numFmtId="0" fontId="56" fillId="0" borderId="49" xfId="151" applyFont="1" applyFill="1" applyBorder="1" applyAlignment="1">
      <alignment horizontal="left" vertical="center"/>
    </xf>
    <xf numFmtId="0" fontId="42" fillId="0" borderId="1" xfId="151" applyFont="1" applyFill="1" applyBorder="1"/>
    <xf numFmtId="0" fontId="42" fillId="0" borderId="0" xfId="151" applyFont="1" applyFill="1" applyBorder="1" applyAlignment="1"/>
    <xf numFmtId="0" fontId="42" fillId="0" borderId="0" xfId="151" applyFont="1" applyFill="1" applyBorder="1"/>
    <xf numFmtId="0" fontId="42" fillId="0" borderId="51" xfId="151" applyFont="1" applyFill="1" applyBorder="1" applyAlignment="1">
      <alignment horizontal="left"/>
    </xf>
    <xf numFmtId="0" fontId="42" fillId="0" borderId="60" xfId="151" applyFont="1" applyFill="1" applyBorder="1" applyAlignment="1">
      <alignment horizontal="left" vertical="center"/>
    </xf>
    <xf numFmtId="0" fontId="42" fillId="0" borderId="54" xfId="151" applyFont="1" applyFill="1" applyBorder="1" applyAlignment="1">
      <alignment horizontal="left"/>
    </xf>
    <xf numFmtId="0" fontId="42" fillId="0" borderId="6" xfId="151" applyFont="1" applyFill="1" applyBorder="1" applyAlignment="1">
      <alignment horizontal="left"/>
    </xf>
    <xf numFmtId="0" fontId="42" fillId="0" borderId="7" xfId="151" applyFont="1" applyFill="1" applyBorder="1"/>
    <xf numFmtId="0" fontId="42" fillId="0" borderId="55" xfId="151" applyFont="1" applyFill="1" applyBorder="1" applyAlignment="1">
      <alignment horizontal="left"/>
    </xf>
    <xf numFmtId="0" fontId="42" fillId="0" borderId="3" xfId="151" applyFont="1" applyFill="1" applyBorder="1" applyAlignment="1">
      <alignment horizontal="left"/>
    </xf>
    <xf numFmtId="0" fontId="42" fillId="0" borderId="7" xfId="151" applyFont="1" applyFill="1" applyBorder="1" applyAlignment="1">
      <alignment horizontal="center" vertical="center"/>
    </xf>
    <xf numFmtId="0" fontId="42" fillId="0" borderId="4" xfId="151" applyFont="1" applyFill="1" applyBorder="1" applyAlignment="1">
      <alignment horizontal="left"/>
    </xf>
    <xf numFmtId="0" fontId="42" fillId="0" borderId="8" xfId="151" applyFont="1" applyFill="1" applyBorder="1" applyAlignment="1">
      <alignment horizontal="left"/>
    </xf>
    <xf numFmtId="9" fontId="42" fillId="0" borderId="4" xfId="151" applyNumberFormat="1" applyFont="1" applyFill="1" applyBorder="1"/>
    <xf numFmtId="179" fontId="42" fillId="0" borderId="8" xfId="151" applyNumberFormat="1" applyFont="1" applyFill="1" applyBorder="1" applyAlignment="1">
      <alignment vertical="center"/>
    </xf>
    <xf numFmtId="0" fontId="42" fillId="0" borderId="8" xfId="151" applyFont="1" applyFill="1" applyBorder="1" applyAlignment="1">
      <alignment vertical="center"/>
    </xf>
    <xf numFmtId="0" fontId="42" fillId="0" borderId="8" xfId="151" applyFont="1" applyFill="1" applyBorder="1" applyAlignment="1"/>
    <xf numFmtId="0" fontId="42" fillId="0" borderId="8" xfId="151" applyFont="1" applyFill="1" applyBorder="1"/>
    <xf numFmtId="0" fontId="40" fillId="0" borderId="33" xfId="151" applyFont="1" applyFill="1" applyBorder="1" applyAlignment="1">
      <alignment horizontal="center"/>
    </xf>
    <xf numFmtId="0" fontId="40" fillId="0" borderId="0" xfId="151" applyFont="1" applyFill="1" applyBorder="1" applyAlignment="1">
      <alignment horizontal="left"/>
    </xf>
    <xf numFmtId="0" fontId="40" fillId="0" borderId="0" xfId="151" applyFont="1" applyFill="1" applyBorder="1" applyAlignment="1">
      <alignment horizontal="center"/>
    </xf>
    <xf numFmtId="0" fontId="40" fillId="0" borderId="0" xfId="151" applyFont="1" applyFill="1" applyBorder="1" applyAlignment="1"/>
    <xf numFmtId="0" fontId="42" fillId="0" borderId="61" xfId="151" applyFont="1" applyBorder="1" applyAlignment="1">
      <alignment horizontal="center"/>
    </xf>
    <xf numFmtId="0" fontId="40" fillId="30" borderId="64" xfId="151" applyFont="1" applyFill="1" applyBorder="1" applyAlignment="1">
      <alignment horizontal="center" vertical="center"/>
    </xf>
    <xf numFmtId="0" fontId="42" fillId="0" borderId="27" xfId="151" applyFont="1" applyBorder="1" applyAlignment="1"/>
    <xf numFmtId="0" fontId="56" fillId="0" borderId="0" xfId="1932" applyFont="1" applyFill="1" applyAlignment="1" applyProtection="1">
      <alignment horizontal="left"/>
    </xf>
    <xf numFmtId="0" fontId="56" fillId="0" borderId="0" xfId="1932" applyFont="1" applyFill="1" applyProtection="1"/>
    <xf numFmtId="0" fontId="56" fillId="0" borderId="0" xfId="1932" applyFont="1" applyFill="1" applyAlignment="1" applyProtection="1">
      <alignment horizontal="left"/>
      <protection locked="0"/>
    </xf>
    <xf numFmtId="0" fontId="56" fillId="0" borderId="0" xfId="1932" applyFont="1" applyFill="1" applyProtection="1">
      <protection locked="0"/>
    </xf>
    <xf numFmtId="0" fontId="56" fillId="0" borderId="0" xfId="1" applyFont="1" applyFill="1" applyAlignment="1">
      <alignment wrapText="1"/>
    </xf>
    <xf numFmtId="0" fontId="42" fillId="2" borderId="4" xfId="1" applyFont="1" applyFill="1" applyBorder="1" applyAlignment="1">
      <alignment horizontal="center" vertical="center" wrapText="1"/>
    </xf>
    <xf numFmtId="0" fontId="40" fillId="2" borderId="4" xfId="1" applyFont="1" applyFill="1" applyBorder="1" applyAlignment="1">
      <alignment horizontal="center" vertical="center"/>
    </xf>
    <xf numFmtId="2" fontId="42" fillId="0" borderId="4" xfId="1" applyNumberFormat="1" applyFont="1" applyFill="1" applyBorder="1" applyAlignment="1">
      <alignment horizontal="center" vertical="center" wrapText="1"/>
    </xf>
    <xf numFmtId="0" fontId="42" fillId="2" borderId="4" xfId="1" applyFont="1" applyFill="1" applyBorder="1" applyAlignment="1">
      <alignment horizontal="left" vertical="center" wrapText="1"/>
    </xf>
    <xf numFmtId="2" fontId="42" fillId="2" borderId="4" xfId="1" applyNumberFormat="1" applyFont="1" applyFill="1" applyBorder="1" applyAlignment="1">
      <alignment horizontal="center" vertical="center"/>
    </xf>
    <xf numFmtId="0" fontId="42" fillId="2" borderId="4" xfId="1" applyFont="1" applyFill="1" applyBorder="1" applyAlignment="1">
      <alignment horizontal="center" vertical="center"/>
    </xf>
    <xf numFmtId="4" fontId="42" fillId="2" borderId="4" xfId="1" applyNumberFormat="1" applyFont="1" applyFill="1" applyBorder="1" applyAlignment="1">
      <alignment horizontal="center" vertical="center"/>
    </xf>
    <xf numFmtId="0" fontId="40" fillId="0" borderId="4" xfId="1" applyFont="1" applyFill="1" applyBorder="1" applyAlignment="1">
      <alignment horizontal="center" vertical="center"/>
    </xf>
    <xf numFmtId="0" fontId="56" fillId="0" borderId="4" xfId="1" applyFont="1" applyFill="1" applyBorder="1" applyAlignment="1">
      <alignment horizontal="left" vertical="center" wrapText="1"/>
    </xf>
    <xf numFmtId="0" fontId="42" fillId="0" borderId="4" xfId="1" applyFont="1" applyFill="1" applyBorder="1" applyAlignment="1">
      <alignment horizontal="left" vertical="center"/>
    </xf>
    <xf numFmtId="4" fontId="42" fillId="0" borderId="4" xfId="1" applyNumberFormat="1" applyFont="1" applyFill="1" applyBorder="1" applyAlignment="1">
      <alignment horizontal="center" vertical="center"/>
    </xf>
    <xf numFmtId="0" fontId="108" fillId="0" borderId="4" xfId="1" applyFont="1" applyFill="1" applyBorder="1"/>
    <xf numFmtId="0" fontId="42" fillId="0" borderId="4" xfId="1" applyFont="1" applyFill="1" applyBorder="1" applyAlignment="1">
      <alignment horizontal="left" vertical="center" wrapText="1" shrinkToFit="1"/>
    </xf>
    <xf numFmtId="2" fontId="42" fillId="0" borderId="4" xfId="1" applyNumberFormat="1" applyFont="1" applyFill="1" applyBorder="1" applyAlignment="1">
      <alignment horizontal="center" vertical="center"/>
    </xf>
    <xf numFmtId="0" fontId="42" fillId="0" borderId="4" xfId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left" vertical="top" wrapText="1"/>
    </xf>
    <xf numFmtId="0" fontId="38" fillId="0" borderId="4" xfId="1" applyFont="1" applyFill="1" applyBorder="1" applyAlignment="1">
      <alignment horizontal="left" vertical="top"/>
    </xf>
    <xf numFmtId="0" fontId="56" fillId="2" borderId="4" xfId="1" applyFont="1" applyFill="1" applyBorder="1" applyAlignment="1">
      <alignment horizontal="left" vertical="center" wrapText="1"/>
    </xf>
    <xf numFmtId="0" fontId="42" fillId="2" borderId="4" xfId="1" applyFont="1" applyFill="1" applyBorder="1" applyAlignment="1">
      <alignment horizontal="left" vertical="center"/>
    </xf>
    <xf numFmtId="0" fontId="38" fillId="2" borderId="4" xfId="1" applyFont="1" applyFill="1" applyBorder="1"/>
    <xf numFmtId="4" fontId="60" fillId="0" borderId="4" xfId="1" applyNumberFormat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wrapText="1"/>
    </xf>
    <xf numFmtId="9" fontId="56" fillId="0" borderId="11" xfId="1" applyNumberFormat="1" applyFont="1" applyFill="1" applyBorder="1" applyAlignment="1">
      <alignment horizontal="center" vertical="center" wrapText="1"/>
    </xf>
    <xf numFmtId="0" fontId="60" fillId="2" borderId="4" xfId="1" applyFont="1" applyFill="1" applyBorder="1" applyAlignment="1">
      <alignment horizontal="center" vertical="center" wrapText="1"/>
    </xf>
    <xf numFmtId="9" fontId="56" fillId="2" borderId="4" xfId="1" applyNumberFormat="1" applyFont="1" applyFill="1" applyBorder="1" applyAlignment="1">
      <alignment horizontal="center" vertical="center" wrapText="1"/>
    </xf>
    <xf numFmtId="4" fontId="60" fillId="2" borderId="4" xfId="1" applyNumberFormat="1" applyFont="1" applyFill="1" applyBorder="1" applyAlignment="1">
      <alignment horizontal="center" vertical="center" wrapText="1"/>
    </xf>
    <xf numFmtId="0" fontId="40" fillId="2" borderId="4" xfId="1" applyFont="1" applyFill="1" applyBorder="1" applyAlignment="1">
      <alignment horizontal="center" vertical="center" wrapText="1"/>
    </xf>
    <xf numFmtId="166" fontId="42" fillId="2" borderId="4" xfId="1" applyNumberFormat="1" applyFont="1" applyFill="1" applyBorder="1" applyAlignment="1">
      <alignment horizontal="center" vertical="center" wrapText="1"/>
    </xf>
    <xf numFmtId="166" fontId="42" fillId="2" borderId="4" xfId="1" applyNumberFormat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 wrapText="1"/>
    </xf>
    <xf numFmtId="4" fontId="38" fillId="0" borderId="4" xfId="1" applyNumberFormat="1" applyFont="1" applyFill="1" applyBorder="1" applyAlignment="1">
      <alignment wrapText="1"/>
    </xf>
    <xf numFmtId="1" fontId="38" fillId="0" borderId="0" xfId="1" applyNumberFormat="1" applyFont="1" applyFill="1"/>
    <xf numFmtId="0" fontId="40" fillId="0" borderId="4" xfId="1" applyFont="1" applyFill="1" applyBorder="1" applyAlignment="1">
      <alignment horizontal="center" vertical="center" wrapText="1"/>
    </xf>
    <xf numFmtId="166" fontId="42" fillId="0" borderId="4" xfId="1" applyNumberFormat="1" applyFont="1" applyFill="1" applyBorder="1" applyAlignment="1">
      <alignment horizontal="center" vertical="center"/>
    </xf>
    <xf numFmtId="9" fontId="42" fillId="0" borderId="4" xfId="1" applyNumberFormat="1" applyFont="1" applyFill="1" applyBorder="1" applyAlignment="1">
      <alignment horizontal="left" vertical="center" wrapText="1"/>
    </xf>
    <xf numFmtId="0" fontId="42" fillId="0" borderId="0" xfId="1" applyFont="1" applyFill="1" applyBorder="1" applyAlignment="1">
      <alignment horizontal="left" vertical="center" wrapText="1"/>
    </xf>
    <xf numFmtId="9" fontId="42" fillId="0" borderId="4" xfId="1" applyNumberFormat="1" applyFont="1" applyFill="1" applyBorder="1" applyAlignment="1">
      <alignment horizontal="center" vertical="center"/>
    </xf>
    <xf numFmtId="2" fontId="38" fillId="0" borderId="4" xfId="1" applyNumberFormat="1" applyFont="1" applyFill="1" applyBorder="1" applyAlignment="1">
      <alignment horizontal="center" vertical="center"/>
    </xf>
    <xf numFmtId="9" fontId="42" fillId="2" borderId="4" xfId="1" applyNumberFormat="1" applyFont="1" applyFill="1" applyBorder="1" applyAlignment="1">
      <alignment horizontal="center" vertical="center"/>
    </xf>
    <xf numFmtId="2" fontId="38" fillId="2" borderId="4" xfId="1" applyNumberFormat="1" applyFont="1" applyFill="1" applyBorder="1" applyAlignment="1">
      <alignment horizontal="center" vertical="center"/>
    </xf>
    <xf numFmtId="9" fontId="42" fillId="2" borderId="4" xfId="1" applyNumberFormat="1" applyFont="1" applyFill="1" applyBorder="1" applyAlignment="1">
      <alignment horizontal="left" vertical="center" wrapText="1"/>
    </xf>
    <xf numFmtId="1" fontId="42" fillId="2" borderId="4" xfId="1" applyNumberFormat="1" applyFont="1" applyFill="1" applyBorder="1" applyAlignment="1">
      <alignment horizontal="center" vertical="center" wrapText="1"/>
    </xf>
    <xf numFmtId="3" fontId="42" fillId="2" borderId="4" xfId="1" applyNumberFormat="1" applyFont="1" applyFill="1" applyBorder="1" applyAlignment="1">
      <alignment horizontal="center" vertical="center"/>
    </xf>
    <xf numFmtId="0" fontId="59" fillId="2" borderId="4" xfId="1" applyFont="1" applyFill="1" applyBorder="1" applyAlignment="1">
      <alignment horizontal="center"/>
    </xf>
    <xf numFmtId="0" fontId="38" fillId="2" borderId="4" xfId="1" applyFont="1" applyFill="1" applyBorder="1" applyAlignment="1">
      <alignment horizontal="center" vertical="center"/>
    </xf>
    <xf numFmtId="9" fontId="42" fillId="2" borderId="4" xfId="1" applyNumberFormat="1" applyFont="1" applyFill="1" applyBorder="1" applyAlignment="1">
      <alignment horizontal="center" vertical="center" wrapText="1"/>
    </xf>
    <xf numFmtId="4" fontId="40" fillId="2" borderId="4" xfId="1" applyNumberFormat="1" applyFont="1" applyFill="1" applyBorder="1" applyAlignment="1">
      <alignment horizontal="center" vertical="center" wrapText="1"/>
    </xf>
    <xf numFmtId="0" fontId="57" fillId="0" borderId="4" xfId="1" applyFont="1" applyFill="1" applyBorder="1" applyAlignment="1">
      <alignment wrapText="1"/>
    </xf>
    <xf numFmtId="2" fontId="42" fillId="2" borderId="4" xfId="1" applyNumberFormat="1" applyFont="1" applyFill="1" applyBorder="1" applyAlignment="1">
      <alignment horizontal="left" vertical="center"/>
    </xf>
    <xf numFmtId="10" fontId="42" fillId="0" borderId="4" xfId="1" applyNumberFormat="1" applyFont="1" applyFill="1" applyBorder="1" applyAlignment="1">
      <alignment horizontal="center" vertical="center"/>
    </xf>
    <xf numFmtId="2" fontId="42" fillId="2" borderId="4" xfId="1" applyNumberFormat="1" applyFont="1" applyFill="1" applyBorder="1" applyAlignment="1">
      <alignment horizontal="center"/>
    </xf>
    <xf numFmtId="10" fontId="42" fillId="2" borderId="4" xfId="1" applyNumberFormat="1" applyFont="1" applyFill="1" applyBorder="1" applyAlignment="1">
      <alignment horizontal="center" vertical="center"/>
    </xf>
    <xf numFmtId="2" fontId="42" fillId="2" borderId="4" xfId="1" applyNumberFormat="1" applyFont="1" applyFill="1" applyBorder="1" applyAlignment="1">
      <alignment horizontal="left" vertical="center" wrapText="1"/>
    </xf>
    <xf numFmtId="0" fontId="40" fillId="2" borderId="4" xfId="1" applyFont="1" applyFill="1" applyBorder="1" applyAlignment="1">
      <alignment horizontal="left" vertical="center" wrapText="1"/>
    </xf>
    <xf numFmtId="0" fontId="39" fillId="2" borderId="4" xfId="1" applyFont="1" applyFill="1" applyBorder="1" applyAlignment="1">
      <alignment horizontal="center" vertical="center"/>
    </xf>
    <xf numFmtId="0" fontId="42" fillId="2" borderId="4" xfId="1" applyFont="1" applyFill="1" applyBorder="1"/>
    <xf numFmtId="164" fontId="40" fillId="2" borderId="4" xfId="98" applyFont="1" applyFill="1" applyBorder="1" applyAlignment="1"/>
    <xf numFmtId="4" fontId="40" fillId="2" borderId="4" xfId="1" applyNumberFormat="1" applyFont="1" applyFill="1" applyBorder="1" applyAlignment="1">
      <alignment horizontal="right"/>
    </xf>
    <xf numFmtId="0" fontId="38" fillId="2" borderId="4" xfId="1" applyFont="1" applyFill="1" applyBorder="1" applyAlignment="1">
      <alignment vertical="center"/>
    </xf>
    <xf numFmtId="167" fontId="40" fillId="2" borderId="4" xfId="1" applyNumberFormat="1" applyFont="1" applyFill="1" applyBorder="1" applyAlignment="1">
      <alignment vertical="center"/>
    </xf>
    <xf numFmtId="4" fontId="40" fillId="2" borderId="4" xfId="1" applyNumberFormat="1" applyFont="1" applyFill="1" applyBorder="1" applyAlignment="1">
      <alignment horizontal="right" vertical="center"/>
    </xf>
    <xf numFmtId="0" fontId="38" fillId="2" borderId="0" xfId="1" applyFont="1" applyFill="1" applyBorder="1" applyAlignment="1">
      <alignment horizontal="center" vertical="center"/>
    </xf>
    <xf numFmtId="0" fontId="61" fillId="2" borderId="0" xfId="1" applyFont="1" applyFill="1" applyBorder="1"/>
    <xf numFmtId="0" fontId="39" fillId="2" borderId="0" xfId="1" applyFont="1" applyFill="1" applyBorder="1"/>
    <xf numFmtId="0" fontId="39" fillId="2" borderId="0" xfId="1" applyFont="1" applyFill="1" applyBorder="1" applyAlignment="1">
      <alignment horizontal="center" vertical="center"/>
    </xf>
    <xf numFmtId="0" fontId="39" fillId="2" borderId="0" xfId="1" applyFont="1" applyFill="1" applyBorder="1" applyAlignment="1">
      <alignment horizontal="right"/>
    </xf>
    <xf numFmtId="4" fontId="60" fillId="2" borderId="0" xfId="1" applyNumberFormat="1" applyFont="1" applyFill="1" applyBorder="1" applyAlignment="1">
      <alignment horizontal="right"/>
    </xf>
    <xf numFmtId="165" fontId="42" fillId="0" borderId="0" xfId="2" applyFont="1" applyFill="1" applyAlignment="1">
      <alignment vertical="center"/>
    </xf>
    <xf numFmtId="0" fontId="42" fillId="0" borderId="0" xfId="1" applyFont="1" applyFill="1" applyAlignment="1">
      <alignment vertical="center"/>
    </xf>
    <xf numFmtId="0" fontId="42" fillId="0" borderId="0" xfId="1" applyFont="1" applyFill="1" applyBorder="1" applyAlignment="1">
      <alignment vertical="center"/>
    </xf>
    <xf numFmtId="9" fontId="40" fillId="0" borderId="0" xfId="1" applyNumberFormat="1" applyFont="1" applyFill="1" applyBorder="1" applyAlignment="1">
      <alignment vertical="center"/>
    </xf>
    <xf numFmtId="9" fontId="40" fillId="0" borderId="0" xfId="1" applyNumberFormat="1" applyFont="1" applyFill="1" applyBorder="1" applyAlignment="1">
      <alignment horizontal="center" vertical="center"/>
    </xf>
    <xf numFmtId="10" fontId="40" fillId="0" borderId="0" xfId="4" applyNumberFormat="1" applyFont="1" applyFill="1" applyBorder="1" applyAlignment="1">
      <alignment horizontal="center" vertical="center"/>
    </xf>
    <xf numFmtId="178" fontId="42" fillId="0" borderId="0" xfId="1" applyNumberFormat="1" applyFont="1" applyFill="1" applyBorder="1" applyAlignment="1">
      <alignment horizontal="right" vertical="center"/>
    </xf>
    <xf numFmtId="0" fontId="141" fillId="0" borderId="0" xfId="1" applyFont="1" applyFill="1" applyAlignment="1">
      <alignment vertical="center"/>
    </xf>
    <xf numFmtId="0" fontId="143" fillId="0" borderId="0" xfId="1" applyFont="1" applyFill="1" applyBorder="1" applyAlignment="1">
      <alignment horizontal="left" vertical="top"/>
    </xf>
    <xf numFmtId="0" fontId="144" fillId="0" borderId="0" xfId="1" applyFont="1" applyFill="1" applyBorder="1" applyAlignment="1"/>
    <xf numFmtId="0" fontId="144" fillId="0" borderId="0" xfId="1" applyFont="1" applyFill="1" applyBorder="1" applyAlignment="1">
      <alignment horizontal="center" vertical="center"/>
    </xf>
    <xf numFmtId="0" fontId="145" fillId="0" borderId="0" xfId="1" applyFont="1" applyFill="1" applyBorder="1" applyAlignment="1"/>
    <xf numFmtId="0" fontId="139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 vertical="center" wrapText="1"/>
    </xf>
    <xf numFmtId="0" fontId="144" fillId="0" borderId="4" xfId="1" applyFont="1" applyFill="1" applyBorder="1" applyAlignment="1">
      <alignment horizontal="left" vertical="center" wrapText="1"/>
    </xf>
    <xf numFmtId="0" fontId="144" fillId="0" borderId="4" xfId="1" applyFont="1" applyFill="1" applyBorder="1" applyAlignment="1">
      <alignment horizontal="center" vertical="center" wrapText="1"/>
    </xf>
    <xf numFmtId="4" fontId="144" fillId="0" borderId="4" xfId="1" applyNumberFormat="1" applyFont="1" applyFill="1" applyBorder="1" applyAlignment="1">
      <alignment horizontal="center" vertical="center" wrapText="1"/>
    </xf>
    <xf numFmtId="4" fontId="139" fillId="0" borderId="4" xfId="1" applyNumberFormat="1" applyFont="1" applyFill="1" applyBorder="1" applyAlignment="1">
      <alignment horizontal="center" vertical="center"/>
    </xf>
    <xf numFmtId="0" fontId="139" fillId="0" borderId="4" xfId="1" applyFont="1" applyFill="1" applyBorder="1" applyAlignment="1">
      <alignment horizontal="left" vertical="center" wrapText="1"/>
    </xf>
    <xf numFmtId="1" fontId="139" fillId="0" borderId="4" xfId="1" applyNumberFormat="1" applyFont="1" applyFill="1" applyBorder="1" applyAlignment="1">
      <alignment horizontal="center" vertical="center" wrapText="1"/>
    </xf>
    <xf numFmtId="2" fontId="139" fillId="0" borderId="4" xfId="1" applyNumberFormat="1" applyFont="1" applyFill="1" applyBorder="1" applyAlignment="1">
      <alignment horizontal="center" vertical="center"/>
    </xf>
    <xf numFmtId="0" fontId="139" fillId="0" borderId="4" xfId="1" applyFont="1" applyFill="1" applyBorder="1" applyAlignment="1">
      <alignment horizontal="center" vertical="center"/>
    </xf>
    <xf numFmtId="0" fontId="147" fillId="0" borderId="4" xfId="1" applyFont="1" applyFill="1" applyBorder="1" applyAlignment="1">
      <alignment horizontal="center" vertical="center"/>
    </xf>
    <xf numFmtId="0" fontId="122" fillId="2" borderId="4" xfId="1" applyFont="1" applyFill="1" applyBorder="1" applyAlignment="1">
      <alignment horizontal="center" vertical="center" wrapText="1"/>
    </xf>
    <xf numFmtId="0" fontId="134" fillId="2" borderId="4" xfId="1" applyFont="1" applyFill="1" applyBorder="1" applyAlignment="1">
      <alignment horizontal="left" vertical="center" wrapText="1"/>
    </xf>
    <xf numFmtId="0" fontId="134" fillId="2" borderId="4" xfId="1" applyFont="1" applyFill="1" applyBorder="1" applyAlignment="1">
      <alignment horizontal="center" vertical="center" wrapText="1"/>
    </xf>
    <xf numFmtId="0" fontId="144" fillId="2" borderId="4" xfId="1" applyFont="1" applyFill="1" applyBorder="1" applyAlignment="1">
      <alignment horizontal="center" vertical="center" wrapText="1"/>
    </xf>
    <xf numFmtId="0" fontId="144" fillId="2" borderId="4" xfId="1" applyFont="1" applyFill="1" applyBorder="1" applyAlignment="1">
      <alignment horizontal="left" vertical="center" wrapText="1"/>
    </xf>
    <xf numFmtId="0" fontId="139" fillId="2" borderId="4" xfId="1" applyFont="1" applyFill="1" applyBorder="1" applyAlignment="1">
      <alignment horizontal="center" vertical="center" wrapText="1"/>
    </xf>
    <xf numFmtId="4" fontId="144" fillId="2" borderId="4" xfId="1" applyNumberFormat="1" applyFont="1" applyFill="1" applyBorder="1" applyAlignment="1">
      <alignment horizontal="center" vertical="center" wrapText="1"/>
    </xf>
    <xf numFmtId="10" fontId="144" fillId="2" borderId="4" xfId="1" applyNumberFormat="1" applyFont="1" applyFill="1" applyBorder="1" applyAlignment="1">
      <alignment horizontal="center" vertical="center" wrapText="1"/>
    </xf>
    <xf numFmtId="0" fontId="147" fillId="2" borderId="4" xfId="1" applyFont="1" applyFill="1" applyBorder="1" applyAlignment="1">
      <alignment horizontal="center" vertical="center" wrapText="1"/>
    </xf>
    <xf numFmtId="1" fontId="139" fillId="2" borderId="4" xfId="1" applyNumberFormat="1" applyFont="1" applyFill="1" applyBorder="1" applyAlignment="1">
      <alignment horizontal="center" vertical="center" wrapText="1"/>
    </xf>
    <xf numFmtId="4" fontId="139" fillId="2" borderId="4" xfId="1" applyNumberFormat="1" applyFont="1" applyFill="1" applyBorder="1" applyAlignment="1">
      <alignment horizontal="center" vertical="center" wrapText="1"/>
    </xf>
    <xf numFmtId="0" fontId="149" fillId="2" borderId="4" xfId="1" applyFont="1" applyFill="1" applyBorder="1" applyAlignment="1">
      <alignment horizontal="center" vertical="center" wrapText="1"/>
    </xf>
    <xf numFmtId="0" fontId="139" fillId="0" borderId="4" xfId="0" applyFont="1" applyFill="1" applyBorder="1" applyAlignment="1">
      <alignment horizontal="left" vertical="center" wrapText="1"/>
    </xf>
    <xf numFmtId="4" fontId="139" fillId="0" borderId="4" xfId="1" applyNumberFormat="1" applyFont="1" applyFill="1" applyBorder="1" applyAlignment="1">
      <alignment horizontal="center" vertical="center" wrapText="1"/>
    </xf>
    <xf numFmtId="2" fontId="145" fillId="0" borderId="4" xfId="1" applyNumberFormat="1" applyFont="1" applyFill="1" applyBorder="1" applyAlignment="1">
      <alignment horizontal="center" vertical="center"/>
    </xf>
    <xf numFmtId="9" fontId="139" fillId="0" borderId="4" xfId="1" applyNumberFormat="1" applyFont="1" applyFill="1" applyBorder="1" applyAlignment="1">
      <alignment horizontal="left" vertical="center" wrapText="1"/>
    </xf>
    <xf numFmtId="166" fontId="139" fillId="0" borderId="4" xfId="1" applyNumberFormat="1" applyFont="1" applyFill="1" applyBorder="1" applyAlignment="1">
      <alignment horizontal="center" vertical="center"/>
    </xf>
    <xf numFmtId="0" fontId="145" fillId="0" borderId="4" xfId="1" applyFont="1" applyFill="1" applyBorder="1" applyAlignment="1">
      <alignment horizontal="center" vertical="center"/>
    </xf>
    <xf numFmtId="0" fontId="134" fillId="0" borderId="4" xfId="1" applyFont="1" applyFill="1" applyBorder="1" applyAlignment="1">
      <alignment horizontal="left" vertical="center" wrapText="1"/>
    </xf>
    <xf numFmtId="9" fontId="139" fillId="0" borderId="4" xfId="1" applyNumberFormat="1" applyFont="1" applyFill="1" applyBorder="1" applyAlignment="1">
      <alignment horizontal="center" vertical="center" wrapText="1"/>
    </xf>
    <xf numFmtId="2" fontId="139" fillId="0" borderId="4" xfId="1" applyNumberFormat="1" applyFont="1" applyFill="1" applyBorder="1" applyAlignment="1">
      <alignment horizontal="left" vertical="center" wrapText="1"/>
    </xf>
    <xf numFmtId="10" fontId="139" fillId="0" borderId="4" xfId="1" applyNumberFormat="1" applyFont="1" applyFill="1" applyBorder="1" applyAlignment="1">
      <alignment horizontal="center" vertical="center"/>
    </xf>
    <xf numFmtId="2" fontId="145" fillId="0" borderId="4" xfId="1" applyNumberFormat="1" applyFont="1" applyFill="1" applyBorder="1" applyAlignment="1">
      <alignment horizontal="center"/>
    </xf>
    <xf numFmtId="2" fontId="139" fillId="2" borderId="4" xfId="1" applyNumberFormat="1" applyFont="1" applyFill="1" applyBorder="1" applyAlignment="1">
      <alignment horizontal="left" vertical="center" wrapText="1"/>
    </xf>
    <xf numFmtId="2" fontId="145" fillId="2" borderId="4" xfId="1" applyNumberFormat="1" applyFont="1" applyFill="1" applyBorder="1" applyAlignment="1">
      <alignment horizontal="center"/>
    </xf>
    <xf numFmtId="9" fontId="139" fillId="2" borderId="4" xfId="1" applyNumberFormat="1" applyFont="1" applyFill="1" applyBorder="1" applyAlignment="1">
      <alignment horizontal="left" vertical="center" wrapText="1"/>
    </xf>
    <xf numFmtId="9" fontId="139" fillId="0" borderId="4" xfId="1" applyNumberFormat="1" applyFont="1" applyFill="1" applyBorder="1" applyAlignment="1">
      <alignment horizontal="center" vertical="center"/>
    </xf>
    <xf numFmtId="174" fontId="139" fillId="0" borderId="4" xfId="1" applyNumberFormat="1" applyFont="1" applyFill="1" applyBorder="1" applyAlignment="1">
      <alignment horizontal="center" vertical="center"/>
    </xf>
    <xf numFmtId="2" fontId="147" fillId="2" borderId="4" xfId="1" applyNumberFormat="1" applyFont="1" applyFill="1" applyBorder="1" applyAlignment="1">
      <alignment horizontal="center" vertical="center" wrapText="1"/>
    </xf>
    <xf numFmtId="2" fontId="147" fillId="2" borderId="4" xfId="1" applyNumberFormat="1" applyFont="1" applyFill="1" applyBorder="1" applyAlignment="1">
      <alignment horizontal="left" vertical="center"/>
    </xf>
    <xf numFmtId="9" fontId="147" fillId="2" borderId="4" xfId="1" applyNumberFormat="1" applyFont="1" applyFill="1" applyBorder="1" applyAlignment="1">
      <alignment horizontal="center" vertical="center"/>
    </xf>
    <xf numFmtId="166" fontId="147" fillId="2" borderId="4" xfId="1" applyNumberFormat="1" applyFont="1" applyFill="1" applyBorder="1" applyAlignment="1">
      <alignment horizontal="center" vertical="center"/>
    </xf>
    <xf numFmtId="2" fontId="146" fillId="2" borderId="4" xfId="1" applyNumberFormat="1" applyFont="1" applyFill="1" applyBorder="1" applyAlignment="1">
      <alignment horizontal="center"/>
    </xf>
    <xf numFmtId="9" fontId="147" fillId="2" borderId="4" xfId="1" applyNumberFormat="1" applyFont="1" applyFill="1" applyBorder="1" applyAlignment="1">
      <alignment horizontal="left" vertical="center" wrapText="1"/>
    </xf>
    <xf numFmtId="0" fontId="122" fillId="2" borderId="4" xfId="1" applyFont="1" applyFill="1" applyBorder="1" applyAlignment="1">
      <alignment horizontal="center" vertical="center"/>
    </xf>
    <xf numFmtId="0" fontId="142" fillId="2" borderId="4" xfId="1" applyFont="1" applyFill="1" applyBorder="1" applyAlignment="1">
      <alignment horizontal="left" vertical="center" wrapText="1"/>
    </xf>
    <xf numFmtId="0" fontId="142" fillId="2" borderId="4" xfId="1" applyFont="1" applyFill="1" applyBorder="1" applyAlignment="1">
      <alignment horizontal="center" vertical="center" wrapText="1"/>
    </xf>
    <xf numFmtId="0" fontId="144" fillId="2" borderId="4" xfId="1" applyFont="1" applyFill="1" applyBorder="1"/>
    <xf numFmtId="164" fontId="142" fillId="2" borderId="4" xfId="3" applyFont="1" applyFill="1" applyBorder="1" applyAlignment="1"/>
    <xf numFmtId="0" fontId="38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center" wrapText="1"/>
    </xf>
    <xf numFmtId="180" fontId="42" fillId="0" borderId="4" xfId="1" applyNumberFormat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 shrinkToFit="1"/>
    </xf>
    <xf numFmtId="9" fontId="42" fillId="0" borderId="4" xfId="4" applyFont="1" applyFill="1" applyBorder="1" applyAlignment="1">
      <alignment horizontal="center" vertical="center" wrapText="1"/>
    </xf>
    <xf numFmtId="10" fontId="42" fillId="0" borderId="4" xfId="1" applyNumberFormat="1" applyFont="1" applyFill="1" applyBorder="1" applyAlignment="1">
      <alignment horizontal="center" vertical="center" wrapText="1"/>
    </xf>
    <xf numFmtId="3" fontId="42" fillId="0" borderId="4" xfId="1" applyNumberFormat="1" applyFont="1" applyFill="1" applyBorder="1" applyAlignment="1">
      <alignment horizontal="center" vertical="center" wrapText="1"/>
    </xf>
    <xf numFmtId="168" fontId="42" fillId="0" borderId="4" xfId="1" applyNumberFormat="1" applyFont="1" applyFill="1" applyBorder="1" applyAlignment="1">
      <alignment horizontal="center" vertical="center" wrapText="1"/>
    </xf>
    <xf numFmtId="9" fontId="42" fillId="0" borderId="4" xfId="1" applyNumberFormat="1" applyFont="1" applyFill="1" applyBorder="1" applyAlignment="1">
      <alignment horizontal="center" vertical="center" wrapText="1"/>
    </xf>
    <xf numFmtId="166" fontId="42" fillId="0" borderId="4" xfId="1" applyNumberFormat="1" applyFont="1" applyFill="1" applyBorder="1" applyAlignment="1">
      <alignment horizontal="center" vertical="center" wrapText="1"/>
    </xf>
    <xf numFmtId="9" fontId="42" fillId="0" borderId="1" xfId="1" applyNumberFormat="1" applyFont="1" applyFill="1" applyBorder="1" applyAlignment="1">
      <alignment horizontal="center" vertical="center" wrapText="1"/>
    </xf>
    <xf numFmtId="2" fontId="42" fillId="0" borderId="13" xfId="1" applyNumberFormat="1" applyFont="1" applyFill="1" applyBorder="1" applyAlignment="1">
      <alignment horizontal="center" vertical="center" wrapText="1"/>
    </xf>
    <xf numFmtId="164" fontId="40" fillId="0" borderId="4" xfId="3" applyFont="1" applyFill="1" applyBorder="1" applyAlignment="1">
      <alignment horizontal="center" vertical="center" wrapText="1"/>
    </xf>
    <xf numFmtId="9" fontId="40" fillId="0" borderId="4" xfId="3" applyNumberFormat="1" applyFont="1" applyFill="1" applyBorder="1" applyAlignment="1">
      <alignment horizontal="center" vertical="center" wrapText="1"/>
    </xf>
    <xf numFmtId="0" fontId="114" fillId="0" borderId="0" xfId="1" applyFont="1" applyFill="1" applyBorder="1" applyAlignment="1">
      <alignment horizontal="left"/>
    </xf>
    <xf numFmtId="165" fontId="71" fillId="0" borderId="0" xfId="1936" applyFont="1" applyFill="1"/>
    <xf numFmtId="0" fontId="86" fillId="0" borderId="0" xfId="1" applyFont="1" applyFill="1" applyBorder="1" applyAlignment="1">
      <alignment vertical="center"/>
    </xf>
    <xf numFmtId="0" fontId="155" fillId="0" borderId="0" xfId="1" applyFont="1" applyFill="1" applyBorder="1" applyAlignment="1">
      <alignment vertical="center"/>
    </xf>
    <xf numFmtId="4" fontId="86" fillId="0" borderId="0" xfId="1" applyNumberFormat="1" applyFont="1" applyFill="1" applyAlignment="1">
      <alignment vertical="center"/>
    </xf>
    <xf numFmtId="0" fontId="86" fillId="0" borderId="0" xfId="1" applyFont="1" applyFill="1" applyAlignment="1">
      <alignment vertical="center"/>
    </xf>
    <xf numFmtId="0" fontId="86" fillId="0" borderId="0" xfId="1" applyFont="1" applyFill="1" applyBorder="1" applyAlignment="1">
      <alignment vertical="justify"/>
    </xf>
    <xf numFmtId="0" fontId="86" fillId="0" borderId="0" xfId="1937" applyFont="1" applyFill="1" applyBorder="1" applyAlignment="1">
      <alignment horizontal="left" vertical="center"/>
    </xf>
    <xf numFmtId="4" fontId="86" fillId="0" borderId="0" xfId="1" applyNumberFormat="1" applyFont="1" applyFill="1" applyBorder="1" applyAlignment="1">
      <alignment horizontal="center" vertical="center"/>
    </xf>
    <xf numFmtId="0" fontId="86" fillId="0" borderId="0" xfId="1" applyFont="1" applyFill="1"/>
    <xf numFmtId="4" fontId="86" fillId="0" borderId="0" xfId="1" applyNumberFormat="1" applyFont="1" applyFill="1"/>
    <xf numFmtId="0" fontId="39" fillId="0" borderId="0" xfId="1925"/>
    <xf numFmtId="49" fontId="61" fillId="0" borderId="0" xfId="1925" applyNumberFormat="1" applyFont="1" applyAlignment="1">
      <alignment horizontal="center"/>
    </xf>
    <xf numFmtId="0" fontId="39" fillId="0" borderId="0" xfId="1925" applyFont="1"/>
    <xf numFmtId="0" fontId="39" fillId="0" borderId="0" xfId="1925" quotePrefix="1" applyFont="1" applyAlignment="1">
      <alignment horizontal="left"/>
    </xf>
    <xf numFmtId="0" fontId="39" fillId="0" borderId="0" xfId="1938" applyFont="1" applyAlignment="1">
      <alignment horizontal="right" vertical="top"/>
    </xf>
    <xf numFmtId="2" fontId="39" fillId="0" borderId="0" xfId="1925" applyNumberFormat="1" applyFont="1" applyAlignment="1"/>
    <xf numFmtId="176" fontId="39" fillId="0" borderId="0" xfId="1925" applyNumberFormat="1" applyFont="1" applyAlignment="1">
      <alignment horizontal="center"/>
    </xf>
    <xf numFmtId="0" fontId="39" fillId="0" borderId="8" xfId="1925" applyFont="1" applyBorder="1" applyAlignment="1">
      <alignment horizontal="left" vertical="center"/>
    </xf>
    <xf numFmtId="0" fontId="39" fillId="0" borderId="0" xfId="1925" applyFont="1" applyAlignment="1">
      <alignment horizontal="left" vertical="center"/>
    </xf>
    <xf numFmtId="0" fontId="157" fillId="0" borderId="0" xfId="1939" applyFont="1" applyFill="1" applyAlignment="1" applyProtection="1">
      <alignment horizontal="left" wrapText="1"/>
      <protection locked="0"/>
    </xf>
    <xf numFmtId="0" fontId="39" fillId="0" borderId="6" xfId="1925" applyBorder="1" applyAlignment="1">
      <alignment horizontal="left" vertical="center"/>
    </xf>
    <xf numFmtId="49" fontId="39" fillId="0" borderId="7" xfId="1925" applyNumberFormat="1" applyBorder="1"/>
    <xf numFmtId="49" fontId="39" fillId="0" borderId="65" xfId="1925" applyNumberFormat="1" applyFont="1" applyFill="1" applyBorder="1" applyAlignment="1">
      <alignment horizontal="center" vertical="center" wrapText="1"/>
    </xf>
    <xf numFmtId="0" fontId="39" fillId="0" borderId="66" xfId="1925" applyFont="1" applyFill="1" applyBorder="1" applyAlignment="1">
      <alignment horizontal="center" vertical="center" wrapText="1"/>
    </xf>
    <xf numFmtId="0" fontId="39" fillId="0" borderId="69" xfId="1925" applyNumberFormat="1" applyFont="1" applyFill="1" applyBorder="1" applyAlignment="1">
      <alignment horizontal="center" vertical="center" wrapText="1"/>
    </xf>
    <xf numFmtId="0" fontId="39" fillId="0" borderId="70" xfId="1925" applyFont="1" applyFill="1" applyBorder="1" applyAlignment="1">
      <alignment horizontal="center" vertical="center" wrapText="1"/>
    </xf>
    <xf numFmtId="4" fontId="39" fillId="0" borderId="70" xfId="1925" applyNumberFormat="1" applyFont="1" applyFill="1" applyBorder="1" applyAlignment="1">
      <alignment horizontal="center" vertical="center" wrapText="1"/>
    </xf>
    <xf numFmtId="0" fontId="39" fillId="0" borderId="4" xfId="1925" applyFont="1" applyFill="1" applyBorder="1" applyAlignment="1">
      <alignment horizontal="center" vertical="center" wrapText="1"/>
    </xf>
    <xf numFmtId="0" fontId="39" fillId="2" borderId="70" xfId="1925" applyFont="1" applyFill="1" applyBorder="1" applyAlignment="1">
      <alignment horizontal="center" vertical="center" wrapText="1"/>
    </xf>
    <xf numFmtId="4" fontId="39" fillId="0" borderId="4" xfId="1925" applyNumberFormat="1" applyFont="1" applyFill="1" applyBorder="1" applyAlignment="1">
      <alignment horizontal="center" vertical="center" wrapText="1"/>
    </xf>
    <xf numFmtId="0" fontId="39" fillId="2" borderId="71" xfId="1925" applyFont="1" applyFill="1" applyBorder="1" applyAlignment="1">
      <alignment horizontal="center" vertical="center" wrapText="1"/>
    </xf>
    <xf numFmtId="0" fontId="39" fillId="2" borderId="4" xfId="1925" applyFont="1" applyFill="1" applyBorder="1" applyAlignment="1">
      <alignment horizontal="center" vertical="center" wrapText="1"/>
    </xf>
    <xf numFmtId="0" fontId="39" fillId="2" borderId="0" xfId="1925" applyFont="1" applyFill="1" applyBorder="1" applyAlignment="1">
      <alignment horizontal="center" vertical="center" wrapText="1"/>
    </xf>
    <xf numFmtId="0" fontId="39" fillId="0" borderId="0" xfId="1925" applyFont="1" applyFill="1" applyBorder="1" applyAlignment="1">
      <alignment horizontal="center" vertical="center" wrapText="1"/>
    </xf>
    <xf numFmtId="4" fontId="39" fillId="0" borderId="0" xfId="1925" applyNumberFormat="1" applyFont="1" applyFill="1" applyBorder="1" applyAlignment="1">
      <alignment horizontal="center" vertical="center" wrapText="1"/>
    </xf>
    <xf numFmtId="0" fontId="39" fillId="0" borderId="73" xfId="1925" applyFont="1" applyFill="1" applyBorder="1" applyAlignment="1">
      <alignment horizontal="center" vertical="center" wrapText="1"/>
    </xf>
    <xf numFmtId="2" fontId="138" fillId="0" borderId="4" xfId="1925" applyNumberFormat="1" applyFont="1" applyBorder="1" applyAlignment="1">
      <alignment horizontal="center" vertical="center" wrapText="1"/>
    </xf>
    <xf numFmtId="49" fontId="138" fillId="0" borderId="4" xfId="1925" applyNumberFormat="1" applyFont="1" applyBorder="1" applyAlignment="1">
      <alignment horizontal="center" vertical="center" wrapText="1"/>
    </xf>
    <xf numFmtId="4" fontId="138" fillId="0" borderId="4" xfId="1925" applyNumberFormat="1" applyFont="1" applyBorder="1" applyAlignment="1">
      <alignment horizontal="center" vertical="center" wrapText="1"/>
    </xf>
    <xf numFmtId="0" fontId="39" fillId="0" borderId="77" xfId="1925" applyNumberFormat="1" applyFill="1" applyBorder="1" applyAlignment="1">
      <alignment horizontal="center" vertical="center" wrapText="1"/>
    </xf>
    <xf numFmtId="4" fontId="138" fillId="0" borderId="0" xfId="1925" applyNumberFormat="1" applyFont="1" applyBorder="1" applyAlignment="1">
      <alignment horizontal="center" vertical="center" wrapText="1"/>
    </xf>
    <xf numFmtId="2" fontId="39" fillId="0" borderId="77" xfId="1925" applyNumberFormat="1" applyFill="1" applyBorder="1" applyAlignment="1">
      <alignment horizontal="center" vertical="center" wrapText="1"/>
    </xf>
    <xf numFmtId="182" fontId="39" fillId="0" borderId="73" xfId="1925" applyNumberFormat="1" applyFont="1" applyFill="1" applyBorder="1" applyAlignment="1">
      <alignment horizontal="center" vertical="center" wrapText="1"/>
    </xf>
    <xf numFmtId="2" fontId="138" fillId="0" borderId="44" xfId="1925" applyNumberFormat="1" applyFont="1" applyBorder="1" applyAlignment="1">
      <alignment horizontal="center" vertical="center" wrapText="1"/>
    </xf>
    <xf numFmtId="0" fontId="39" fillId="0" borderId="70" xfId="1925" applyFill="1" applyBorder="1" applyAlignment="1">
      <alignment horizontal="center" vertical="center" wrapText="1"/>
    </xf>
    <xf numFmtId="2" fontId="39" fillId="0" borderId="69" xfId="1925" applyNumberFormat="1" applyFill="1" applyBorder="1" applyAlignment="1">
      <alignment horizontal="center" vertical="center" wrapText="1"/>
    </xf>
    <xf numFmtId="0" fontId="44" fillId="0" borderId="69" xfId="1925" applyFont="1" applyFill="1" applyBorder="1" applyAlignment="1">
      <alignment horizontal="center" vertical="center" wrapText="1"/>
    </xf>
    <xf numFmtId="2" fontId="39" fillId="0" borderId="69" xfId="1925" applyNumberFormat="1" applyFont="1" applyFill="1" applyBorder="1" applyAlignment="1">
      <alignment horizontal="center" vertical="center" wrapText="1"/>
    </xf>
    <xf numFmtId="49" fontId="39" fillId="0" borderId="69" xfId="1925" applyNumberFormat="1" applyFont="1" applyFill="1" applyBorder="1" applyAlignment="1">
      <alignment horizontal="center" vertical="center" wrapText="1"/>
    </xf>
    <xf numFmtId="0" fontId="152" fillId="0" borderId="70" xfId="1925" applyFont="1" applyFill="1" applyBorder="1" applyAlignment="1">
      <alignment horizontal="center" vertical="center" wrapText="1"/>
    </xf>
    <xf numFmtId="2" fontId="39" fillId="0" borderId="70" xfId="1925" applyNumberFormat="1" applyFont="1" applyFill="1" applyBorder="1" applyAlignment="1">
      <alignment horizontal="center" vertical="center" wrapText="1"/>
    </xf>
    <xf numFmtId="0" fontId="61" fillId="0" borderId="4" xfId="1925" applyFont="1" applyFill="1" applyBorder="1" applyAlignment="1">
      <alignment horizontal="center" vertical="top" wrapText="1"/>
    </xf>
    <xf numFmtId="0" fontId="44" fillId="0" borderId="5" xfId="1925" applyFont="1" applyFill="1" applyBorder="1" applyAlignment="1">
      <alignment horizontal="center" vertical="center" wrapText="1"/>
    </xf>
    <xf numFmtId="0" fontId="39" fillId="0" borderId="83" xfId="1925" applyFont="1" applyFill="1" applyBorder="1" applyAlignment="1">
      <alignment horizontal="center" vertical="center" wrapText="1"/>
    </xf>
    <xf numFmtId="0" fontId="39" fillId="0" borderId="5" xfId="1925" applyFont="1" applyFill="1" applyBorder="1" applyAlignment="1">
      <alignment horizontal="center" vertical="center" wrapText="1"/>
    </xf>
    <xf numFmtId="0" fontId="44" fillId="0" borderId="2" xfId="1925" applyFont="1" applyFill="1" applyBorder="1" applyAlignment="1">
      <alignment horizontal="center" vertical="center" wrapText="1"/>
    </xf>
    <xf numFmtId="0" fontId="44" fillId="0" borderId="4" xfId="1925" applyFont="1" applyFill="1" applyBorder="1" applyAlignment="1">
      <alignment horizontal="center" vertical="center" wrapText="1"/>
    </xf>
    <xf numFmtId="0" fontId="44" fillId="0" borderId="3" xfId="1925" applyFont="1" applyFill="1" applyBorder="1" applyAlignment="1">
      <alignment horizontal="center" vertical="center" wrapText="1"/>
    </xf>
    <xf numFmtId="49" fontId="39" fillId="0" borderId="0" xfId="1925" applyNumberFormat="1"/>
    <xf numFmtId="0" fontId="164" fillId="0" borderId="10" xfId="1925" applyFont="1" applyBorder="1" applyAlignment="1">
      <alignment vertical="top" wrapText="1"/>
    </xf>
    <xf numFmtId="0" fontId="106" fillId="0" borderId="0" xfId="61" applyFont="1"/>
    <xf numFmtId="0" fontId="50" fillId="0" borderId="0" xfId="61"/>
    <xf numFmtId="4" fontId="109" fillId="0" borderId="7" xfId="61" applyNumberFormat="1" applyFont="1" applyBorder="1" applyAlignment="1">
      <alignment horizontal="center" wrapText="1"/>
    </xf>
    <xf numFmtId="4" fontId="109" fillId="0" borderId="8" xfId="61" applyNumberFormat="1" applyFont="1" applyBorder="1" applyAlignment="1">
      <alignment horizontal="center" vertical="center" wrapText="1"/>
    </xf>
    <xf numFmtId="3" fontId="109" fillId="0" borderId="6" xfId="61" applyNumberFormat="1" applyFont="1" applyBorder="1" applyAlignment="1">
      <alignment horizontal="center" wrapText="1"/>
    </xf>
    <xf numFmtId="0" fontId="40" fillId="2" borderId="0" xfId="1" applyFont="1" applyFill="1" applyAlignment="1">
      <alignment vertical="center"/>
    </xf>
    <xf numFmtId="3" fontId="40" fillId="2" borderId="0" xfId="1" applyNumberFormat="1" applyFont="1" applyFill="1" applyAlignment="1">
      <alignment horizontal="center" vertical="center"/>
    </xf>
    <xf numFmtId="0" fontId="55" fillId="2" borderId="0" xfId="1" applyFont="1" applyFill="1" applyAlignment="1">
      <alignment vertical="center"/>
    </xf>
    <xf numFmtId="0" fontId="38" fillId="2" borderId="0" xfId="1" applyFont="1" applyFill="1"/>
    <xf numFmtId="0" fontId="40" fillId="2" borderId="0" xfId="1" applyFont="1" applyFill="1" applyBorder="1" applyAlignment="1">
      <alignment vertical="center"/>
    </xf>
    <xf numFmtId="3" fontId="40" fillId="2" borderId="0" xfId="1" applyNumberFormat="1" applyFont="1" applyFill="1" applyBorder="1" applyAlignment="1">
      <alignment horizontal="center" vertical="center"/>
    </xf>
    <xf numFmtId="0" fontId="57" fillId="2" borderId="0" xfId="1" applyFont="1" applyFill="1" applyBorder="1" applyAlignment="1">
      <alignment vertical="center"/>
    </xf>
    <xf numFmtId="0" fontId="56" fillId="2" borderId="0" xfId="1" applyFont="1" applyFill="1"/>
    <xf numFmtId="0" fontId="165" fillId="0" borderId="4" xfId="61" applyFont="1" applyBorder="1" applyAlignment="1">
      <alignment horizontal="center" vertical="top" wrapText="1"/>
    </xf>
    <xf numFmtId="3" fontId="165" fillId="0" borderId="4" xfId="61" applyNumberFormat="1" applyFont="1" applyBorder="1" applyAlignment="1">
      <alignment horizontal="center" vertical="top" wrapText="1"/>
    </xf>
    <xf numFmtId="0" fontId="165" fillId="0" borderId="4" xfId="61" applyFont="1" applyBorder="1" applyAlignment="1">
      <alignment horizontal="center" vertical="top"/>
    </xf>
    <xf numFmtId="3" fontId="165" fillId="0" borderId="4" xfId="61" applyNumberFormat="1" applyFont="1" applyBorder="1" applyAlignment="1">
      <alignment horizontal="center" vertical="top"/>
    </xf>
    <xf numFmtId="0" fontId="153" fillId="0" borderId="4" xfId="61" applyFont="1" applyBorder="1" applyAlignment="1">
      <alignment horizontal="center" vertical="center"/>
    </xf>
    <xf numFmtId="0" fontId="153" fillId="3" borderId="4" xfId="61" applyFont="1" applyFill="1" applyBorder="1" applyAlignment="1">
      <alignment horizontal="left" vertical="center" wrapText="1"/>
    </xf>
    <xf numFmtId="0" fontId="153" fillId="0" borderId="4" xfId="61" applyFont="1" applyBorder="1" applyAlignment="1">
      <alignment horizontal="left" vertical="top" wrapText="1"/>
    </xf>
    <xf numFmtId="2" fontId="153" fillId="0" borderId="4" xfId="61" applyNumberFormat="1" applyFont="1" applyFill="1" applyBorder="1" applyAlignment="1">
      <alignment horizontal="center" vertical="center"/>
    </xf>
    <xf numFmtId="0" fontId="153" fillId="0" borderId="4" xfId="61" applyFont="1" applyFill="1" applyBorder="1" applyAlignment="1">
      <alignment horizontal="center" vertical="center"/>
    </xf>
    <xf numFmtId="0" fontId="153" fillId="0" borderId="4" xfId="61" applyFont="1" applyFill="1" applyBorder="1" applyAlignment="1">
      <alignment vertical="top" wrapText="1"/>
    </xf>
    <xf numFmtId="0" fontId="153" fillId="0" borderId="0" xfId="61" applyFont="1" applyFill="1" applyAlignment="1">
      <alignment vertical="top" wrapText="1"/>
    </xf>
    <xf numFmtId="0" fontId="153" fillId="0" borderId="4" xfId="61" applyFont="1" applyFill="1" applyBorder="1" applyAlignment="1">
      <alignment horizontal="center" vertical="center" wrapText="1"/>
    </xf>
    <xf numFmtId="0" fontId="153" fillId="2" borderId="84" xfId="61" applyFont="1" applyFill="1" applyBorder="1" applyAlignment="1">
      <alignment vertical="top" wrapText="1"/>
    </xf>
    <xf numFmtId="0" fontId="153" fillId="2" borderId="85" xfId="61" applyFont="1" applyFill="1" applyBorder="1" applyAlignment="1">
      <alignment vertical="top"/>
    </xf>
    <xf numFmtId="0" fontId="153" fillId="2" borderId="86" xfId="61" applyFont="1" applyFill="1" applyBorder="1" applyAlignment="1">
      <alignment vertical="top" wrapText="1"/>
    </xf>
    <xf numFmtId="0" fontId="153" fillId="2" borderId="86" xfId="61" applyFont="1" applyFill="1" applyBorder="1" applyAlignment="1">
      <alignment horizontal="right" vertical="top" wrapText="1"/>
    </xf>
    <xf numFmtId="0" fontId="153" fillId="2" borderId="86" xfId="61" applyFont="1" applyFill="1" applyBorder="1" applyAlignment="1">
      <alignment horizontal="right" vertical="top"/>
    </xf>
    <xf numFmtId="0" fontId="153" fillId="0" borderId="4" xfId="61" applyFont="1" applyFill="1" applyBorder="1" applyAlignment="1">
      <alignment horizontal="left" vertical="center" wrapText="1"/>
    </xf>
    <xf numFmtId="0" fontId="153" fillId="29" borderId="4" xfId="61" applyFont="1" applyFill="1" applyBorder="1" applyAlignment="1">
      <alignment horizontal="center" vertical="center"/>
    </xf>
    <xf numFmtId="0" fontId="153" fillId="29" borderId="4" xfId="61" applyFont="1" applyFill="1" applyBorder="1" applyAlignment="1">
      <alignment horizontal="center" vertical="center" wrapText="1"/>
    </xf>
    <xf numFmtId="0" fontId="153" fillId="29" borderId="4" xfId="61" applyFont="1" applyFill="1" applyBorder="1" applyAlignment="1">
      <alignment vertical="top" wrapText="1"/>
    </xf>
    <xf numFmtId="1" fontId="153" fillId="29" borderId="4" xfId="61" applyNumberFormat="1" applyFont="1" applyFill="1" applyBorder="1" applyAlignment="1">
      <alignment horizontal="center" vertical="center" wrapText="1"/>
    </xf>
    <xf numFmtId="2" fontId="153" fillId="29" borderId="4" xfId="61" applyNumberFormat="1" applyFont="1" applyFill="1" applyBorder="1" applyAlignment="1">
      <alignment horizontal="center" vertical="center" wrapText="1"/>
    </xf>
    <xf numFmtId="0" fontId="153" fillId="29" borderId="11" xfId="61" applyFont="1" applyFill="1" applyBorder="1" applyAlignment="1">
      <alignment horizontal="center" vertical="center"/>
    </xf>
    <xf numFmtId="0" fontId="153" fillId="29" borderId="11" xfId="61" applyFont="1" applyFill="1" applyBorder="1" applyAlignment="1">
      <alignment horizontal="center" vertical="center" wrapText="1"/>
    </xf>
    <xf numFmtId="0" fontId="153" fillId="29" borderId="11" xfId="61" applyFont="1" applyFill="1" applyBorder="1" applyAlignment="1">
      <alignment vertical="top" wrapText="1"/>
    </xf>
    <xf numFmtId="2" fontId="153" fillId="29" borderId="11" xfId="61" applyNumberFormat="1" applyFont="1" applyFill="1" applyBorder="1" applyAlignment="1">
      <alignment horizontal="center" vertical="center" wrapText="1"/>
    </xf>
    <xf numFmtId="0" fontId="153" fillId="29" borderId="15" xfId="61" applyFont="1" applyFill="1" applyBorder="1" applyAlignment="1">
      <alignment horizontal="right" vertical="top" wrapText="1"/>
    </xf>
    <xf numFmtId="0" fontId="153" fillId="3" borderId="4" xfId="61" applyFont="1" applyFill="1" applyBorder="1" applyAlignment="1">
      <alignment horizontal="center" vertical="center"/>
    </xf>
    <xf numFmtId="0" fontId="153" fillId="3" borderId="4" xfId="61" applyFont="1" applyFill="1" applyBorder="1" applyAlignment="1">
      <alignment vertical="center" wrapText="1"/>
    </xf>
    <xf numFmtId="0" fontId="153" fillId="3" borderId="4" xfId="61" applyFont="1" applyFill="1" applyBorder="1" applyAlignment="1">
      <alignment horizontal="center" vertical="center" wrapText="1"/>
    </xf>
    <xf numFmtId="2" fontId="153" fillId="3" borderId="4" xfId="61" applyNumberFormat="1" applyFont="1" applyFill="1" applyBorder="1" applyAlignment="1">
      <alignment horizontal="center" vertical="center" wrapText="1"/>
    </xf>
    <xf numFmtId="0" fontId="153" fillId="0" borderId="4" xfId="61" applyFont="1" applyBorder="1" applyAlignment="1">
      <alignment horizontal="right" vertical="top" wrapText="1"/>
    </xf>
    <xf numFmtId="4" fontId="153" fillId="3" borderId="4" xfId="61" applyNumberFormat="1" applyFont="1" applyFill="1" applyBorder="1" applyAlignment="1">
      <alignment horizontal="center" vertical="center"/>
    </xf>
    <xf numFmtId="4" fontId="165" fillId="3" borderId="4" xfId="61" applyNumberFormat="1" applyFont="1" applyFill="1" applyBorder="1" applyAlignment="1">
      <alignment horizontal="center" vertical="center"/>
    </xf>
    <xf numFmtId="0" fontId="153" fillId="0" borderId="4" xfId="61" applyFont="1" applyBorder="1" applyAlignment="1">
      <alignment vertical="top" wrapText="1"/>
    </xf>
    <xf numFmtId="0" fontId="153" fillId="0" borderId="4" xfId="61" applyFont="1" applyBorder="1" applyAlignment="1">
      <alignment horizontal="center" vertical="center" wrapText="1"/>
    </xf>
    <xf numFmtId="175" fontId="153" fillId="0" borderId="4" xfId="61" applyNumberFormat="1" applyFont="1" applyFill="1" applyBorder="1" applyAlignment="1">
      <alignment horizontal="center" vertical="center" wrapText="1"/>
    </xf>
    <xf numFmtId="0" fontId="153" fillId="2" borderId="6" xfId="61" applyFont="1" applyFill="1" applyBorder="1" applyAlignment="1">
      <alignment vertical="top" wrapText="1"/>
    </xf>
    <xf numFmtId="0" fontId="153" fillId="0" borderId="0" xfId="61" applyFont="1" applyFill="1" applyAlignment="1">
      <alignment horizontal="center" vertical="center"/>
    </xf>
    <xf numFmtId="0" fontId="153" fillId="0" borderId="11" xfId="61" applyFont="1" applyFill="1" applyBorder="1" applyAlignment="1">
      <alignment horizontal="center" vertical="center" wrapText="1"/>
    </xf>
    <xf numFmtId="2" fontId="153" fillId="0" borderId="4" xfId="61" applyNumberFormat="1" applyFont="1" applyFill="1" applyBorder="1" applyAlignment="1">
      <alignment horizontal="center" vertical="center" wrapText="1"/>
    </xf>
    <xf numFmtId="0" fontId="153" fillId="2" borderId="0" xfId="61" applyFont="1" applyFill="1" applyBorder="1" applyAlignment="1">
      <alignment vertical="top" wrapText="1"/>
    </xf>
    <xf numFmtId="1" fontId="153" fillId="0" borderId="4" xfId="61" applyNumberFormat="1" applyFont="1" applyFill="1" applyBorder="1" applyAlignment="1">
      <alignment horizontal="center" vertical="center" wrapText="1"/>
    </xf>
    <xf numFmtId="0" fontId="64" fillId="0" borderId="0" xfId="61" applyFont="1"/>
    <xf numFmtId="0" fontId="153" fillId="3" borderId="4" xfId="61" applyFont="1" applyFill="1" applyBorder="1" applyAlignment="1">
      <alignment vertical="top"/>
    </xf>
    <xf numFmtId="0" fontId="165" fillId="0" borderId="4" xfId="61" applyFont="1" applyBorder="1" applyAlignment="1">
      <alignment vertical="top"/>
    </xf>
    <xf numFmtId="0" fontId="106" fillId="0" borderId="4" xfId="61" applyFont="1" applyBorder="1"/>
    <xf numFmtId="0" fontId="153" fillId="0" borderId="4" xfId="61" applyFont="1" applyBorder="1" applyAlignment="1">
      <alignment vertical="top"/>
    </xf>
    <xf numFmtId="4" fontId="165" fillId="0" borderId="4" xfId="61" applyNumberFormat="1" applyFont="1" applyBorder="1" applyAlignment="1">
      <alignment horizontal="center" vertical="center"/>
    </xf>
    <xf numFmtId="0" fontId="153" fillId="0" borderId="4" xfId="61" applyFont="1" applyBorder="1" applyAlignment="1">
      <alignment vertical="center" wrapText="1"/>
    </xf>
    <xf numFmtId="0" fontId="106" fillId="0" borderId="0" xfId="61" applyFont="1" applyBorder="1"/>
    <xf numFmtId="0" fontId="50" fillId="0" borderId="0" xfId="61" applyBorder="1"/>
    <xf numFmtId="3" fontId="153" fillId="0" borderId="4" xfId="61" applyNumberFormat="1" applyFont="1" applyBorder="1" applyAlignment="1">
      <alignment vertical="center" wrapText="1"/>
    </xf>
    <xf numFmtId="0" fontId="165" fillId="0" borderId="4" xfId="61" applyFont="1" applyBorder="1" applyAlignment="1">
      <alignment horizontal="center"/>
    </xf>
    <xf numFmtId="0" fontId="153" fillId="0" borderId="4" xfId="61" applyFont="1" applyBorder="1"/>
    <xf numFmtId="0" fontId="165" fillId="0" borderId="4" xfId="61" applyFont="1" applyBorder="1"/>
    <xf numFmtId="9" fontId="42" fillId="2" borderId="0" xfId="1" applyNumberFormat="1" applyFont="1" applyFill="1" applyBorder="1" applyAlignment="1">
      <alignment vertical="center"/>
    </xf>
    <xf numFmtId="0" fontId="153" fillId="0" borderId="0" xfId="61" applyFont="1"/>
    <xf numFmtId="0" fontId="165" fillId="0" borderId="0" xfId="61" applyFont="1" applyAlignment="1">
      <alignment horizontal="center"/>
    </xf>
    <xf numFmtId="3" fontId="153" fillId="0" borderId="0" xfId="61" applyNumberFormat="1" applyFont="1" applyAlignment="1">
      <alignment horizontal="center"/>
    </xf>
    <xf numFmtId="0" fontId="42" fillId="0" borderId="0" xfId="1" applyFont="1"/>
    <xf numFmtId="0" fontId="166" fillId="0" borderId="0" xfId="1" applyFont="1"/>
    <xf numFmtId="3" fontId="50" fillId="0" borderId="0" xfId="61" applyNumberFormat="1" applyAlignment="1">
      <alignment horizontal="center"/>
    </xf>
    <xf numFmtId="0" fontId="111" fillId="0" borderId="4" xfId="0" applyFont="1" applyBorder="1" applyAlignment="1">
      <alignment horizontal="center"/>
    </xf>
    <xf numFmtId="0" fontId="111" fillId="0" borderId="4" xfId="0" applyFont="1" applyBorder="1" applyAlignment="1">
      <alignment horizontal="right"/>
    </xf>
    <xf numFmtId="0" fontId="0" fillId="0" borderId="4" xfId="0" applyFill="1" applyBorder="1"/>
    <xf numFmtId="0" fontId="153" fillId="0" borderId="4" xfId="61" applyFont="1" applyBorder="1" applyAlignment="1">
      <alignment horizontal="left" vertical="center" wrapText="1"/>
    </xf>
    <xf numFmtId="4" fontId="153" fillId="0" borderId="4" xfId="61" applyNumberFormat="1" applyFont="1" applyBorder="1" applyAlignment="1">
      <alignment horizontal="center" vertical="center"/>
    </xf>
    <xf numFmtId="0" fontId="153" fillId="0" borderId="0" xfId="61" applyFont="1" applyFill="1" applyAlignment="1">
      <alignment vertical="center" wrapText="1"/>
    </xf>
    <xf numFmtId="168" fontId="153" fillId="0" borderId="4" xfId="61" applyNumberFormat="1" applyFont="1" applyFill="1" applyBorder="1" applyAlignment="1">
      <alignment horizontal="center" vertical="center" wrapText="1"/>
    </xf>
    <xf numFmtId="4" fontId="153" fillId="0" borderId="4" xfId="61" applyNumberFormat="1" applyFont="1" applyFill="1" applyBorder="1" applyAlignment="1">
      <alignment horizontal="center" vertical="center"/>
    </xf>
    <xf numFmtId="0" fontId="153" fillId="0" borderId="11" xfId="61" applyFont="1" applyFill="1" applyBorder="1" applyAlignment="1">
      <alignment horizontal="left" vertical="center" wrapText="1"/>
    </xf>
    <xf numFmtId="168" fontId="153" fillId="0" borderId="0" xfId="61" applyNumberFormat="1" applyFont="1" applyFill="1" applyAlignment="1">
      <alignment horizontal="center" vertical="center" wrapText="1"/>
    </xf>
    <xf numFmtId="9" fontId="153" fillId="0" borderId="4" xfId="61" applyNumberFormat="1" applyFont="1" applyBorder="1" applyAlignment="1">
      <alignment horizontal="center" vertical="center" wrapText="1"/>
    </xf>
    <xf numFmtId="9" fontId="153" fillId="0" borderId="4" xfId="61" applyNumberFormat="1" applyFont="1" applyFill="1" applyBorder="1" applyAlignment="1">
      <alignment horizontal="center" vertical="center" wrapText="1"/>
    </xf>
    <xf numFmtId="4" fontId="153" fillId="0" borderId="4" xfId="61" applyNumberFormat="1" applyFont="1" applyBorder="1" applyAlignment="1">
      <alignment horizontal="center" vertical="center" wrapText="1"/>
    </xf>
    <xf numFmtId="9" fontId="153" fillId="0" borderId="4" xfId="61" applyNumberFormat="1" applyFont="1" applyBorder="1" applyAlignment="1">
      <alignment vertical="center" wrapText="1"/>
    </xf>
    <xf numFmtId="0" fontId="114" fillId="0" borderId="4" xfId="0" applyFont="1" applyBorder="1" applyAlignment="1">
      <alignment vertical="center" wrapText="1"/>
    </xf>
    <xf numFmtId="10" fontId="114" fillId="0" borderId="4" xfId="1921" quotePrefix="1" applyNumberFormat="1" applyFont="1" applyFill="1" applyBorder="1" applyAlignment="1">
      <alignment horizontal="center" vertical="center" wrapText="1"/>
    </xf>
    <xf numFmtId="0" fontId="147" fillId="2" borderId="4" xfId="1" applyFont="1" applyFill="1" applyBorder="1" applyAlignment="1">
      <alignment horizontal="left" vertical="center" wrapText="1"/>
    </xf>
    <xf numFmtId="0" fontId="144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/>
    </xf>
    <xf numFmtId="181" fontId="0" fillId="0" borderId="4" xfId="0" applyNumberFormat="1" applyFill="1" applyBorder="1" applyAlignment="1">
      <alignment horizontal="center" vertical="center"/>
    </xf>
    <xf numFmtId="181" fontId="111" fillId="0" borderId="4" xfId="0" applyNumberFormat="1" applyFont="1" applyBorder="1" applyAlignment="1">
      <alignment horizontal="center" vertical="center"/>
    </xf>
    <xf numFmtId="49" fontId="114" fillId="2" borderId="4" xfId="63" applyNumberFormat="1" applyFont="1" applyFill="1" applyBorder="1" applyAlignment="1">
      <alignment horizontal="left" vertical="center" wrapText="1"/>
    </xf>
    <xf numFmtId="3" fontId="168" fillId="0" borderId="4" xfId="0" applyNumberFormat="1" applyFont="1" applyBorder="1" applyAlignment="1">
      <alignment horizontal="center" vertical="center"/>
    </xf>
    <xf numFmtId="174" fontId="168" fillId="0" borderId="4" xfId="0" applyNumberFormat="1" applyFont="1" applyBorder="1" applyAlignment="1">
      <alignment horizontal="center" vertical="center"/>
    </xf>
    <xf numFmtId="0" fontId="169" fillId="0" borderId="0" xfId="0" applyFont="1"/>
    <xf numFmtId="0" fontId="117" fillId="0" borderId="4" xfId="0" applyFont="1" applyBorder="1" applyAlignment="1">
      <alignment horizontal="left" wrapText="1"/>
    </xf>
    <xf numFmtId="165" fontId="0" fillId="0" borderId="4" xfId="99" applyFont="1" applyBorder="1"/>
    <xf numFmtId="165" fontId="0" fillId="0" borderId="4" xfId="99" applyFont="1" applyFill="1" applyBorder="1"/>
    <xf numFmtId="165" fontId="111" fillId="0" borderId="4" xfId="0" applyNumberFormat="1" applyFont="1" applyBorder="1"/>
    <xf numFmtId="0" fontId="114" fillId="0" borderId="4" xfId="63" applyFont="1" applyBorder="1" applyAlignment="1">
      <alignment wrapText="1"/>
    </xf>
    <xf numFmtId="0" fontId="70" fillId="0" borderId="4" xfId="0" applyFont="1" applyBorder="1"/>
    <xf numFmtId="3" fontId="70" fillId="0" borderId="4" xfId="0" applyNumberFormat="1" applyFont="1" applyFill="1" applyBorder="1" applyAlignment="1">
      <alignment horizontal="center" vertical="center"/>
    </xf>
    <xf numFmtId="49" fontId="114" fillId="0" borderId="4" xfId="63" applyNumberFormat="1" applyFont="1" applyFill="1" applyBorder="1" applyAlignment="1">
      <alignment horizontal="left" vertical="center" wrapText="1"/>
    </xf>
    <xf numFmtId="0" fontId="47" fillId="6" borderId="89" xfId="0" applyFont="1" applyFill="1" applyBorder="1" applyAlignment="1">
      <alignment vertical="center" wrapText="1"/>
    </xf>
    <xf numFmtId="0" fontId="47" fillId="6" borderId="89" xfId="0" applyFont="1" applyFill="1" applyBorder="1" applyAlignment="1">
      <alignment horizontal="center" vertical="center" wrapText="1"/>
    </xf>
    <xf numFmtId="0" fontId="39" fillId="6" borderId="89" xfId="0" applyFont="1" applyFill="1" applyBorder="1" applyAlignment="1">
      <alignment horizontal="center" vertical="center" wrapText="1"/>
    </xf>
    <xf numFmtId="0" fontId="48" fillId="0" borderId="89" xfId="0" applyFont="1" applyBorder="1" applyAlignment="1">
      <alignment vertical="center" wrapText="1"/>
    </xf>
    <xf numFmtId="0" fontId="47" fillId="2" borderId="89" xfId="0" applyFont="1" applyFill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89" xfId="0" applyFont="1" applyBorder="1" applyAlignment="1">
      <alignment vertical="center" wrapText="1"/>
    </xf>
    <xf numFmtId="0" fontId="39" fillId="0" borderId="89" xfId="0" applyFont="1" applyBorder="1" applyAlignment="1">
      <alignment vertical="center" wrapText="1"/>
    </xf>
    <xf numFmtId="0" fontId="47" fillId="0" borderId="89" xfId="0" applyFont="1" applyBorder="1" applyAlignment="1">
      <alignment horizontal="center" vertical="center" wrapText="1"/>
    </xf>
    <xf numFmtId="4" fontId="47" fillId="0" borderId="89" xfId="0" applyNumberFormat="1" applyFont="1" applyBorder="1" applyAlignment="1">
      <alignment horizontal="center" vertical="center" wrapText="1"/>
    </xf>
    <xf numFmtId="0" fontId="48" fillId="2" borderId="4" xfId="0" applyFont="1" applyFill="1" applyBorder="1" applyAlignment="1">
      <alignment vertical="center" wrapText="1"/>
    </xf>
    <xf numFmtId="0" fontId="170" fillId="2" borderId="90" xfId="1" applyFont="1" applyFill="1" applyBorder="1" applyAlignment="1">
      <alignment vertical="center" wrapText="1"/>
    </xf>
    <xf numFmtId="0" fontId="170" fillId="2" borderId="91" xfId="1" applyFont="1" applyFill="1" applyBorder="1" applyAlignment="1">
      <alignment horizontal="center" vertical="center" wrapText="1"/>
    </xf>
    <xf numFmtId="0" fontId="70" fillId="2" borderId="89" xfId="1" applyFont="1" applyFill="1" applyBorder="1" applyAlignment="1">
      <alignment horizontal="center" vertical="center" wrapText="1"/>
    </xf>
    <xf numFmtId="0" fontId="48" fillId="0" borderId="4" xfId="0" applyFont="1" applyBorder="1" applyAlignment="1">
      <alignment vertical="center" wrapText="1"/>
    </xf>
    <xf numFmtId="0" fontId="48" fillId="0" borderId="90" xfId="0" applyFont="1" applyBorder="1" applyAlignment="1">
      <alignment vertical="center" wrapText="1"/>
    </xf>
    <xf numFmtId="0" fontId="5" fillId="2" borderId="93" xfId="0" applyFont="1" applyFill="1" applyBorder="1" applyAlignment="1">
      <alignment vertical="center" wrapText="1"/>
    </xf>
    <xf numFmtId="0" fontId="170" fillId="2" borderId="89" xfId="1" applyFont="1" applyFill="1" applyBorder="1" applyAlignment="1">
      <alignment vertical="center" wrapText="1"/>
    </xf>
    <xf numFmtId="0" fontId="170" fillId="2" borderId="89" xfId="1" applyFont="1" applyFill="1" applyBorder="1" applyAlignment="1">
      <alignment horizontal="center" vertical="center" wrapText="1"/>
    </xf>
    <xf numFmtId="0" fontId="5" fillId="2" borderId="89" xfId="0" applyFont="1" applyFill="1" applyBorder="1" applyAlignment="1">
      <alignment vertical="center" wrapText="1"/>
    </xf>
    <xf numFmtId="0" fontId="70" fillId="2" borderId="91" xfId="1" applyFont="1" applyFill="1" applyBorder="1" applyAlignment="1">
      <alignment horizontal="center" vertical="center" wrapText="1"/>
    </xf>
    <xf numFmtId="0" fontId="0" fillId="2" borderId="0" xfId="0" applyFill="1"/>
    <xf numFmtId="0" fontId="170" fillId="2" borderId="94" xfId="1" applyFont="1" applyFill="1" applyBorder="1" applyAlignment="1">
      <alignment vertical="center" wrapText="1"/>
    </xf>
    <xf numFmtId="0" fontId="170" fillId="2" borderId="4" xfId="1" applyFont="1" applyFill="1" applyBorder="1" applyAlignment="1">
      <alignment horizontal="center" vertical="center" wrapText="1"/>
    </xf>
    <xf numFmtId="0" fontId="170" fillId="2" borderId="4" xfId="1" applyFont="1" applyFill="1" applyBorder="1" applyAlignment="1">
      <alignment vertical="center" wrapText="1"/>
    </xf>
    <xf numFmtId="0" fontId="170" fillId="2" borderId="90" xfId="1" applyFont="1" applyFill="1" applyBorder="1" applyAlignment="1">
      <alignment horizontal="center" vertical="center" wrapText="1"/>
    </xf>
    <xf numFmtId="0" fontId="70" fillId="2" borderId="89" xfId="1" applyFont="1" applyFill="1" applyBorder="1" applyAlignment="1">
      <alignment vertical="center" wrapText="1"/>
    </xf>
    <xf numFmtId="0" fontId="171" fillId="0" borderId="89" xfId="1" applyFont="1" applyBorder="1" applyAlignment="1">
      <alignment vertical="center" wrapText="1"/>
    </xf>
    <xf numFmtId="0" fontId="70" fillId="0" borderId="93" xfId="1" applyFont="1" applyBorder="1" applyAlignment="1">
      <alignment horizontal="center" vertical="center" wrapText="1"/>
    </xf>
    <xf numFmtId="4" fontId="171" fillId="0" borderId="89" xfId="1" applyNumberFormat="1" applyFont="1" applyBorder="1" applyAlignment="1">
      <alignment horizontal="center" vertical="center" wrapText="1"/>
    </xf>
    <xf numFmtId="0" fontId="111" fillId="0" borderId="4" xfId="0" applyFont="1" applyBorder="1" applyAlignment="1">
      <alignment wrapText="1"/>
    </xf>
    <xf numFmtId="0" fontId="111" fillId="0" borderId="0" xfId="0" applyFont="1"/>
    <xf numFmtId="0" fontId="111" fillId="0" borderId="4" xfId="0" applyFont="1" applyBorder="1"/>
    <xf numFmtId="0" fontId="111" fillId="0" borderId="4" xfId="0" applyFont="1" applyBorder="1" applyAlignment="1">
      <alignment horizontal="center" vertical="center"/>
    </xf>
    <xf numFmtId="165" fontId="0" fillId="0" borderId="4" xfId="99" applyFont="1" applyBorder="1" applyAlignment="1">
      <alignment vertical="center"/>
    </xf>
    <xf numFmtId="181" fontId="111" fillId="0" borderId="4" xfId="0" applyNumberFormat="1" applyFont="1" applyBorder="1" applyAlignment="1">
      <alignment vertical="center"/>
    </xf>
    <xf numFmtId="0" fontId="70" fillId="32" borderId="26" xfId="0" applyFont="1" applyFill="1" applyBorder="1" applyAlignment="1">
      <alignment horizontal="center" vertical="center"/>
    </xf>
    <xf numFmtId="0" fontId="70" fillId="32" borderId="39" xfId="0" applyFont="1" applyFill="1" applyBorder="1" applyAlignment="1">
      <alignment horizontal="justify" vertical="center"/>
    </xf>
    <xf numFmtId="0" fontId="70" fillId="32" borderId="0" xfId="0" applyFont="1" applyFill="1"/>
    <xf numFmtId="0" fontId="40" fillId="0" borderId="7" xfId="1" applyFont="1" applyFill="1" applyBorder="1" applyAlignment="1">
      <alignment horizontal="left" vertical="center" wrapText="1"/>
    </xf>
    <xf numFmtId="0" fontId="55" fillId="0" borderId="25" xfId="151" applyFont="1" applyBorder="1" applyAlignment="1">
      <alignment horizontal="center"/>
    </xf>
    <xf numFmtId="0" fontId="56" fillId="0" borderId="29" xfId="151" applyFont="1" applyBorder="1" applyAlignment="1">
      <alignment vertical="center"/>
    </xf>
    <xf numFmtId="0" fontId="56" fillId="0" borderId="0" xfId="151" applyFont="1" applyBorder="1" applyAlignment="1">
      <alignment vertical="center"/>
    </xf>
    <xf numFmtId="0" fontId="56" fillId="0" borderId="36" xfId="151" applyFont="1" applyBorder="1" applyAlignment="1">
      <alignment vertical="center"/>
    </xf>
    <xf numFmtId="0" fontId="56" fillId="0" borderId="11" xfId="1" applyFont="1" applyFill="1" applyBorder="1" applyAlignment="1">
      <alignment horizontal="center" vertical="center" wrapText="1"/>
    </xf>
    <xf numFmtId="0" fontId="55" fillId="2" borderId="0" xfId="1" applyFont="1" applyFill="1" applyAlignment="1">
      <alignment vertical="center"/>
    </xf>
    <xf numFmtId="0" fontId="55" fillId="2" borderId="4" xfId="1" applyFont="1" applyFill="1" applyBorder="1" applyAlignment="1">
      <alignment horizontal="center" vertical="center" wrapText="1"/>
    </xf>
    <xf numFmtId="0" fontId="142" fillId="0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/>
    </xf>
    <xf numFmtId="0" fontId="40" fillId="0" borderId="0" xfId="1" applyFont="1" applyFill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39" fillId="0" borderId="7" xfId="1925" applyFont="1" applyBorder="1" applyAlignment="1">
      <alignment horizontal="left" vertical="center"/>
    </xf>
    <xf numFmtId="0" fontId="39" fillId="0" borderId="6" xfId="1925" applyFont="1" applyBorder="1" applyAlignment="1">
      <alignment horizontal="left" vertical="center"/>
    </xf>
    <xf numFmtId="0" fontId="39" fillId="0" borderId="72" xfId="1925" applyFont="1" applyFill="1" applyBorder="1" applyAlignment="1">
      <alignment horizontal="center" vertical="center" wrapText="1"/>
    </xf>
    <xf numFmtId="0" fontId="39" fillId="0" borderId="2" xfId="1925" applyFont="1" applyFill="1" applyBorder="1" applyAlignment="1">
      <alignment horizontal="center" vertical="center" wrapText="1"/>
    </xf>
    <xf numFmtId="0" fontId="39" fillId="0" borderId="10" xfId="1925" applyFont="1" applyFill="1" applyBorder="1" applyAlignment="1">
      <alignment horizontal="center" vertical="center" wrapText="1"/>
    </xf>
    <xf numFmtId="4" fontId="109" fillId="0" borderId="8" xfId="61" applyNumberFormat="1" applyFont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justify" vertical="center"/>
    </xf>
    <xf numFmtId="0" fontId="170" fillId="4" borderId="4" xfId="0" applyFont="1" applyFill="1" applyBorder="1" applyAlignment="1">
      <alignment horizontal="justify" vertical="center"/>
    </xf>
    <xf numFmtId="0" fontId="170" fillId="4" borderId="4" xfId="0" applyFont="1" applyFill="1" applyBorder="1" applyAlignment="1">
      <alignment horizontal="center" vertical="center"/>
    </xf>
    <xf numFmtId="0" fontId="70" fillId="4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justify" vertical="center"/>
    </xf>
    <xf numFmtId="0" fontId="70" fillId="0" borderId="4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1" fontId="55" fillId="0" borderId="39" xfId="151" applyNumberFormat="1" applyFont="1" applyBorder="1" applyAlignment="1">
      <alignment horizontal="center"/>
    </xf>
    <xf numFmtId="0" fontId="56" fillId="0" borderId="7" xfId="151" applyFont="1" applyBorder="1" applyAlignment="1">
      <alignment vertical="top" wrapText="1"/>
    </xf>
    <xf numFmtId="0" fontId="56" fillId="0" borderId="44" xfId="151" applyFont="1" applyBorder="1" applyAlignment="1">
      <alignment horizontal="left" vertical="top"/>
    </xf>
    <xf numFmtId="0" fontId="56" fillId="0" borderId="7" xfId="151" applyFont="1" applyBorder="1" applyAlignment="1">
      <alignment vertical="top"/>
    </xf>
    <xf numFmtId="0" fontId="56" fillId="0" borderId="7" xfId="151" applyFont="1" applyBorder="1" applyAlignment="1">
      <alignment horizontal="left" vertical="top" wrapText="1"/>
    </xf>
    <xf numFmtId="179" fontId="60" fillId="0" borderId="39" xfId="151" applyNumberFormat="1" applyFont="1" applyBorder="1" applyAlignment="1">
      <alignment horizontal="right" vertical="center"/>
    </xf>
    <xf numFmtId="179" fontId="60" fillId="30" borderId="39" xfId="151" applyNumberFormat="1" applyFont="1" applyFill="1" applyBorder="1"/>
    <xf numFmtId="179" fontId="137" fillId="0" borderId="39" xfId="151" applyNumberFormat="1" applyFont="1" applyBorder="1" applyAlignment="1">
      <alignment horizontal="right" vertical="center"/>
    </xf>
    <xf numFmtId="0" fontId="56" fillId="0" borderId="51" xfId="151" applyFont="1" applyFill="1" applyBorder="1" applyAlignment="1">
      <alignment horizontal="left" wrapText="1"/>
    </xf>
    <xf numFmtId="0" fontId="56" fillId="0" borderId="42" xfId="151" applyFont="1" applyBorder="1" applyAlignment="1">
      <alignment horizontal="left" wrapText="1"/>
    </xf>
    <xf numFmtId="10" fontId="56" fillId="0" borderId="51" xfId="151" applyNumberFormat="1" applyFont="1" applyFill="1" applyBorder="1" applyAlignment="1">
      <alignment wrapText="1"/>
    </xf>
    <xf numFmtId="0" fontId="42" fillId="0" borderId="58" xfId="151" applyFont="1" applyFill="1" applyBorder="1" applyAlignment="1">
      <alignment horizontal="left"/>
    </xf>
    <xf numFmtId="10" fontId="42" fillId="0" borderId="51" xfId="151" applyNumberFormat="1" applyFont="1" applyFill="1" applyBorder="1"/>
    <xf numFmtId="0" fontId="139" fillId="0" borderId="7" xfId="151" applyFont="1" applyFill="1" applyBorder="1" applyAlignment="1">
      <alignment horizontal="left" vertical="center"/>
    </xf>
    <xf numFmtId="0" fontId="139" fillId="0" borderId="1" xfId="151" applyFont="1" applyFill="1" applyBorder="1" applyAlignment="1">
      <alignment horizontal="left" vertical="center"/>
    </xf>
    <xf numFmtId="179" fontId="62" fillId="30" borderId="38" xfId="151" applyNumberFormat="1" applyFont="1" applyFill="1" applyBorder="1" applyAlignment="1">
      <alignment horizontal="right"/>
    </xf>
    <xf numFmtId="179" fontId="59" fillId="3" borderId="28" xfId="151" applyNumberFormat="1" applyFont="1" applyFill="1" applyBorder="1" applyAlignment="1">
      <alignment horizontal="right"/>
    </xf>
    <xf numFmtId="179" fontId="42" fillId="0" borderId="44" xfId="151" applyNumberFormat="1" applyFont="1" applyFill="1" applyBorder="1" applyAlignment="1">
      <alignment horizontal="right" vertical="center"/>
    </xf>
    <xf numFmtId="179" fontId="59" fillId="3" borderId="32" xfId="151" applyNumberFormat="1" applyFont="1" applyFill="1" applyBorder="1" applyAlignment="1">
      <alignment horizontal="right"/>
    </xf>
    <xf numFmtId="179" fontId="59" fillId="31" borderId="39" xfId="151" applyNumberFormat="1" applyFont="1" applyFill="1" applyBorder="1" applyAlignment="1">
      <alignment horizontal="right" vertical="center"/>
    </xf>
    <xf numFmtId="179" fontId="59" fillId="31" borderId="39" xfId="151" applyNumberFormat="1" applyFont="1" applyFill="1" applyBorder="1" applyAlignment="1">
      <alignment horizontal="right"/>
    </xf>
    <xf numFmtId="0" fontId="4" fillId="0" borderId="0" xfId="1963" applyFill="1"/>
    <xf numFmtId="0" fontId="58" fillId="2" borderId="7" xfId="1" applyFont="1" applyFill="1" applyBorder="1" applyAlignment="1">
      <alignment horizontal="left" vertical="top"/>
    </xf>
    <xf numFmtId="0" fontId="56" fillId="2" borderId="8" xfId="1" applyFont="1" applyFill="1" applyBorder="1" applyAlignment="1"/>
    <xf numFmtId="0" fontId="56" fillId="2" borderId="8" xfId="1" applyFont="1" applyFill="1" applyBorder="1" applyAlignment="1">
      <alignment horizontal="center" vertical="center"/>
    </xf>
    <xf numFmtId="0" fontId="38" fillId="2" borderId="6" xfId="1" applyFont="1" applyFill="1" applyBorder="1" applyAlignment="1"/>
    <xf numFmtId="0" fontId="4" fillId="0" borderId="4" xfId="1963" applyFill="1" applyBorder="1" applyAlignment="1">
      <alignment horizontal="center" vertical="center"/>
    </xf>
    <xf numFmtId="0" fontId="4" fillId="0" borderId="4" xfId="1963" applyFill="1" applyBorder="1"/>
    <xf numFmtId="0" fontId="4" fillId="0" borderId="4" xfId="1963" applyFill="1" applyBorder="1" applyAlignment="1">
      <alignment horizontal="left" vertical="center" wrapText="1"/>
    </xf>
    <xf numFmtId="0" fontId="129" fillId="0" borderId="0" xfId="1963" applyFont="1" applyFill="1"/>
    <xf numFmtId="0" fontId="140" fillId="0" borderId="4" xfId="1963" applyFont="1" applyFill="1" applyBorder="1" applyAlignment="1">
      <alignment vertical="center"/>
    </xf>
    <xf numFmtId="0" fontId="140" fillId="0" borderId="0" xfId="1963" applyFont="1" applyFill="1"/>
    <xf numFmtId="4" fontId="58" fillId="0" borderId="4" xfId="1963" applyNumberFormat="1" applyFont="1" applyFill="1" applyBorder="1" applyAlignment="1">
      <alignment horizontal="center" vertical="center" wrapText="1"/>
    </xf>
    <xf numFmtId="0" fontId="56" fillId="0" borderId="4" xfId="1963" applyFont="1" applyFill="1" applyBorder="1" applyAlignment="1">
      <alignment horizontal="center" vertical="center" wrapText="1"/>
    </xf>
    <xf numFmtId="9" fontId="56" fillId="0" borderId="4" xfId="1963" applyNumberFormat="1" applyFont="1" applyFill="1" applyBorder="1" applyAlignment="1">
      <alignment horizontal="center" vertical="center" wrapText="1"/>
    </xf>
    <xf numFmtId="0" fontId="60" fillId="2" borderId="4" xfId="1963" applyFont="1" applyFill="1" applyBorder="1" applyAlignment="1">
      <alignment horizontal="left" vertical="center" wrapText="1"/>
    </xf>
    <xf numFmtId="0" fontId="4" fillId="0" borderId="4" xfId="1963" applyFill="1" applyBorder="1" applyAlignment="1">
      <alignment vertical="center"/>
    </xf>
    <xf numFmtId="0" fontId="4" fillId="0" borderId="4" xfId="1963" applyFont="1" applyFill="1" applyBorder="1"/>
    <xf numFmtId="165" fontId="4" fillId="0" borderId="0" xfId="1963" applyNumberFormat="1" applyFill="1"/>
    <xf numFmtId="0" fontId="42" fillId="2" borderId="4" xfId="1963" applyFont="1" applyFill="1" applyBorder="1" applyAlignment="1">
      <alignment horizontal="left" vertical="center" wrapText="1"/>
    </xf>
    <xf numFmtId="0" fontId="4" fillId="0" borderId="0" xfId="1963" applyFill="1" applyAlignment="1">
      <alignment vertical="center"/>
    </xf>
    <xf numFmtId="0" fontId="40" fillId="2" borderId="7" xfId="1" applyFont="1" applyFill="1" applyBorder="1"/>
    <xf numFmtId="0" fontId="42" fillId="2" borderId="8" xfId="1" applyFont="1" applyFill="1" applyBorder="1"/>
    <xf numFmtId="0" fontId="42" fillId="2" borderId="8" xfId="1" applyFont="1" applyFill="1" applyBorder="1" applyAlignment="1">
      <alignment horizontal="center" vertical="center"/>
    </xf>
    <xf numFmtId="0" fontId="40" fillId="2" borderId="8" xfId="1" applyFont="1" applyFill="1" applyBorder="1"/>
    <xf numFmtId="0" fontId="42" fillId="2" borderId="8" xfId="1" applyFont="1" applyFill="1" applyBorder="1" applyAlignment="1">
      <alignment horizontal="right"/>
    </xf>
    <xf numFmtId="4" fontId="60" fillId="2" borderId="4" xfId="1" applyNumberFormat="1" applyFont="1" applyFill="1" applyBorder="1" applyAlignment="1">
      <alignment horizontal="right"/>
    </xf>
    <xf numFmtId="4" fontId="4" fillId="0" borderId="0" xfId="1963" applyNumberFormat="1" applyFill="1"/>
    <xf numFmtId="0" fontId="4" fillId="2" borderId="0" xfId="1963" applyFill="1"/>
    <xf numFmtId="0" fontId="139" fillId="0" borderId="4" xfId="1" applyFont="1" applyFill="1" applyBorder="1" applyAlignment="1">
      <alignment horizontal="left" vertical="center" wrapText="1" shrinkToFit="1"/>
    </xf>
    <xf numFmtId="4" fontId="134" fillId="2" borderId="4" xfId="1" applyNumberFormat="1" applyFont="1" applyFill="1" applyBorder="1" applyAlignment="1">
      <alignment horizontal="center" vertical="center" wrapText="1"/>
    </xf>
    <xf numFmtId="3" fontId="139" fillId="0" borderId="4" xfId="1" applyNumberFormat="1" applyFont="1" applyFill="1" applyBorder="1" applyAlignment="1">
      <alignment horizontal="center" vertical="center" wrapText="1"/>
    </xf>
    <xf numFmtId="4" fontId="147" fillId="0" borderId="4" xfId="1" applyNumberFormat="1" applyFont="1" applyFill="1" applyBorder="1" applyAlignment="1">
      <alignment horizontal="center" vertical="center" wrapText="1"/>
    </xf>
    <xf numFmtId="4" fontId="147" fillId="2" borderId="4" xfId="1" applyNumberFormat="1" applyFont="1" applyFill="1" applyBorder="1" applyAlignment="1">
      <alignment horizontal="center" vertical="center" wrapText="1"/>
    </xf>
    <xf numFmtId="0" fontId="145" fillId="2" borderId="4" xfId="1" applyFont="1" applyFill="1" applyBorder="1"/>
    <xf numFmtId="0" fontId="145" fillId="2" borderId="4" xfId="1" applyFont="1" applyFill="1" applyBorder="1" applyAlignment="1"/>
    <xf numFmtId="167" fontId="142" fillId="2" borderId="4" xfId="1" applyNumberFormat="1" applyFont="1" applyFill="1" applyBorder="1" applyAlignment="1"/>
    <xf numFmtId="0" fontId="145" fillId="2" borderId="4" xfId="1" applyFont="1" applyFill="1" applyBorder="1" applyAlignment="1">
      <alignment horizontal="center" vertical="center"/>
    </xf>
    <xf numFmtId="0" fontId="147" fillId="2" borderId="4" xfId="1" applyFont="1" applyFill="1" applyBorder="1"/>
    <xf numFmtId="0" fontId="122" fillId="2" borderId="4" xfId="1" applyFont="1" applyFill="1" applyBorder="1"/>
    <xf numFmtId="0" fontId="150" fillId="2" borderId="4" xfId="1" applyFont="1" applyFill="1" applyBorder="1"/>
    <xf numFmtId="0" fontId="122" fillId="2" borderId="4" xfId="1" applyFont="1" applyFill="1" applyBorder="1" applyAlignment="1">
      <alignment horizontal="right"/>
    </xf>
    <xf numFmtId="180" fontId="40" fillId="0" borderId="4" xfId="1" applyNumberFormat="1" applyFont="1" applyFill="1" applyBorder="1" applyAlignment="1">
      <alignment horizontal="center" vertical="center" wrapText="1"/>
    </xf>
    <xf numFmtId="180" fontId="42" fillId="0" borderId="6" xfId="1" applyNumberFormat="1" applyFont="1" applyFill="1" applyBorder="1" applyAlignment="1">
      <alignment horizontal="center" vertical="center" wrapText="1"/>
    </xf>
    <xf numFmtId="180" fontId="40" fillId="0" borderId="6" xfId="1" applyNumberFormat="1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left" vertical="center" wrapText="1"/>
    </xf>
    <xf numFmtId="167" fontId="40" fillId="0" borderId="4" xfId="1" applyNumberFormat="1" applyFont="1" applyFill="1" applyBorder="1" applyAlignment="1">
      <alignment horizontal="center" vertical="center" wrapText="1"/>
    </xf>
    <xf numFmtId="0" fontId="40" fillId="0" borderId="4" xfId="1" applyFont="1" applyFill="1" applyBorder="1" applyAlignment="1">
      <alignment horizontal="left" vertical="center" wrapText="1" shrinkToFit="1"/>
    </xf>
    <xf numFmtId="180" fontId="40" fillId="0" borderId="0" xfId="1" applyNumberFormat="1" applyFont="1" applyFill="1" applyBorder="1" applyAlignment="1">
      <alignment horizontal="center" vertical="center" wrapText="1"/>
    </xf>
    <xf numFmtId="9" fontId="42" fillId="0" borderId="0" xfId="1" applyNumberFormat="1" applyFont="1" applyFill="1" applyBorder="1" applyAlignment="1">
      <alignment horizontal="left"/>
    </xf>
    <xf numFmtId="0" fontId="42" fillId="0" borderId="0" xfId="1" applyFont="1" applyFill="1" applyAlignment="1">
      <alignment horizontal="center" vertical="center"/>
    </xf>
    <xf numFmtId="4" fontId="42" fillId="0" borderId="0" xfId="1" applyNumberFormat="1" applyFont="1" applyFill="1" applyAlignment="1">
      <alignment horizontal="center" vertical="center"/>
    </xf>
    <xf numFmtId="0" fontId="4" fillId="0" borderId="0" xfId="1964" applyFill="1"/>
    <xf numFmtId="2" fontId="89" fillId="0" borderId="0" xfId="1964" applyNumberFormat="1" applyFont="1" applyFill="1" applyBorder="1"/>
    <xf numFmtId="0" fontId="89" fillId="0" borderId="0" xfId="1964" applyFont="1" applyFill="1" applyBorder="1" applyAlignment="1">
      <alignment horizontal="center"/>
    </xf>
    <xf numFmtId="0" fontId="42" fillId="0" borderId="4" xfId="1964" applyFont="1" applyFill="1" applyBorder="1" applyAlignment="1">
      <alignment horizontal="center" vertical="center" wrapText="1"/>
    </xf>
    <xf numFmtId="0" fontId="40" fillId="0" borderId="4" xfId="1964" applyFont="1" applyFill="1" applyBorder="1" applyAlignment="1">
      <alignment horizontal="center" vertical="center" wrapText="1"/>
    </xf>
    <xf numFmtId="0" fontId="42" fillId="0" borderId="5" xfId="1964" applyFont="1" applyFill="1" applyBorder="1" applyAlignment="1">
      <alignment horizontal="center" vertical="center" wrapText="1"/>
    </xf>
    <xf numFmtId="0" fontId="42" fillId="0" borderId="5" xfId="1964" applyFont="1" applyFill="1" applyBorder="1" applyAlignment="1">
      <alignment horizontal="left" vertical="center" wrapText="1"/>
    </xf>
    <xf numFmtId="0" fontId="42" fillId="0" borderId="4" xfId="1964" applyFont="1" applyFill="1" applyBorder="1" applyAlignment="1">
      <alignment horizontal="center" vertical="center"/>
    </xf>
    <xf numFmtId="2" fontId="42" fillId="0" borderId="4" xfId="1964" applyNumberFormat="1" applyFont="1" applyFill="1" applyBorder="1" applyAlignment="1">
      <alignment horizontal="center" vertical="center" wrapText="1"/>
    </xf>
    <xf numFmtId="0" fontId="42" fillId="0" borderId="48" xfId="1964" applyFont="1" applyFill="1" applyBorder="1" applyAlignment="1">
      <alignment horizontal="center" vertical="center"/>
    </xf>
    <xf numFmtId="0" fontId="4" fillId="0" borderId="0" xfId="1964" applyFill="1" applyBorder="1"/>
    <xf numFmtId="0" fontId="153" fillId="0" borderId="4" xfId="1964" applyFont="1" applyFill="1" applyBorder="1" applyAlignment="1">
      <alignment vertical="center" wrapText="1"/>
    </xf>
    <xf numFmtId="0" fontId="42" fillId="0" borderId="6" xfId="1964" applyFont="1" applyFill="1" applyBorder="1" applyAlignment="1">
      <alignment vertical="center" wrapText="1"/>
    </xf>
    <xf numFmtId="2" fontId="40" fillId="0" borderId="4" xfId="1964" applyNumberFormat="1" applyFont="1" applyFill="1" applyBorder="1" applyAlignment="1">
      <alignment horizontal="center" vertical="center" wrapText="1"/>
    </xf>
    <xf numFmtId="0" fontId="40" fillId="0" borderId="4" xfId="1964" applyFont="1" applyFill="1" applyBorder="1" applyAlignment="1">
      <alignment horizontal="center" vertical="center"/>
    </xf>
    <xf numFmtId="0" fontId="42" fillId="0" borderId="4" xfId="1964" applyFont="1" applyFill="1" applyBorder="1" applyAlignment="1">
      <alignment vertical="center" wrapText="1"/>
    </xf>
    <xf numFmtId="2" fontId="42" fillId="0" borderId="4" xfId="1964" applyNumberFormat="1" applyFont="1" applyFill="1" applyBorder="1" applyAlignment="1">
      <alignment horizontal="center" vertical="center"/>
    </xf>
    <xf numFmtId="176" fontId="42" fillId="0" borderId="4" xfId="1964" applyNumberFormat="1" applyFont="1" applyFill="1" applyBorder="1" applyAlignment="1">
      <alignment horizontal="center" vertical="center"/>
    </xf>
    <xf numFmtId="1" fontId="40" fillId="0" borderId="4" xfId="1964" applyNumberFormat="1" applyFont="1" applyFill="1" applyBorder="1" applyAlignment="1">
      <alignment horizontal="center" vertical="center"/>
    </xf>
    <xf numFmtId="0" fontId="42" fillId="0" borderId="0" xfId="1964" applyFont="1" applyFill="1" applyBorder="1" applyAlignment="1">
      <alignment vertical="center" wrapText="1"/>
    </xf>
    <xf numFmtId="0" fontId="154" fillId="0" borderId="0" xfId="1964" applyFont="1" applyFill="1" applyAlignment="1">
      <alignment horizontal="center" vertical="center"/>
    </xf>
    <xf numFmtId="0" fontId="154" fillId="0" borderId="0" xfId="1964" applyFont="1" applyFill="1"/>
    <xf numFmtId="0" fontId="42" fillId="0" borderId="11" xfId="1964" applyFont="1" applyFill="1" applyBorder="1" applyAlignment="1">
      <alignment horizontal="center" vertical="center"/>
    </xf>
    <xf numFmtId="0" fontId="42" fillId="0" borderId="5" xfId="1964" applyFont="1" applyFill="1" applyBorder="1" applyAlignment="1">
      <alignment vertical="center" wrapText="1"/>
    </xf>
    <xf numFmtId="0" fontId="42" fillId="0" borderId="5" xfId="1964" applyFont="1" applyFill="1" applyBorder="1" applyAlignment="1">
      <alignment horizontal="center" vertical="center"/>
    </xf>
    <xf numFmtId="0" fontId="42" fillId="0" borderId="11" xfId="1964" applyFont="1" applyFill="1" applyBorder="1" applyAlignment="1">
      <alignment horizontal="right" vertical="center"/>
    </xf>
    <xf numFmtId="0" fontId="42" fillId="0" borderId="11" xfId="1964" applyFont="1" applyFill="1" applyBorder="1" applyAlignment="1">
      <alignment horizontal="center" vertical="center" wrapText="1"/>
    </xf>
    <xf numFmtId="9" fontId="42" fillId="0" borderId="4" xfId="1964" applyNumberFormat="1" applyFont="1" applyFill="1" applyBorder="1" applyAlignment="1">
      <alignment horizontal="center" vertical="center" wrapText="1"/>
    </xf>
    <xf numFmtId="1" fontId="42" fillId="0" borderId="4" xfId="1964" applyNumberFormat="1" applyFont="1" applyFill="1" applyBorder="1" applyAlignment="1">
      <alignment horizontal="center" vertical="center"/>
    </xf>
    <xf numFmtId="0" fontId="40" fillId="0" borderId="6" xfId="1964" applyFont="1" applyFill="1" applyBorder="1" applyAlignment="1">
      <alignment vertical="center"/>
    </xf>
    <xf numFmtId="0" fontId="40" fillId="0" borderId="4" xfId="1964" applyFont="1" applyFill="1" applyBorder="1" applyAlignment="1">
      <alignment vertical="center"/>
    </xf>
    <xf numFmtId="9" fontId="40" fillId="0" borderId="4" xfId="1964" applyNumberFormat="1" applyFont="1" applyFill="1" applyBorder="1" applyAlignment="1">
      <alignment horizontal="center" vertical="center"/>
    </xf>
    <xf numFmtId="170" fontId="40" fillId="0" borderId="4" xfId="1926" applyNumberFormat="1" applyFont="1" applyFill="1" applyBorder="1" applyAlignment="1">
      <alignment vertical="center"/>
    </xf>
    <xf numFmtId="0" fontId="111" fillId="0" borderId="0" xfId="1964" applyFont="1" applyFill="1"/>
    <xf numFmtId="181" fontId="111" fillId="0" borderId="0" xfId="1964" applyNumberFormat="1" applyFont="1" applyFill="1"/>
    <xf numFmtId="0" fontId="39" fillId="0" borderId="95" xfId="1925" applyFont="1" applyFill="1" applyBorder="1" applyAlignment="1">
      <alignment horizontal="center" vertical="center" wrapText="1"/>
    </xf>
    <xf numFmtId="0" fontId="39" fillId="0" borderId="4" xfId="1965" applyFont="1" applyBorder="1" applyAlignment="1">
      <alignment horizontal="center" vertical="center" wrapText="1"/>
    </xf>
    <xf numFmtId="0" fontId="39" fillId="0" borderId="4" xfId="1965" applyFont="1" applyFill="1" applyBorder="1" applyAlignment="1">
      <alignment horizontal="center" vertical="center" wrapText="1"/>
    </xf>
    <xf numFmtId="0" fontId="39" fillId="0" borderId="11" xfId="1965" applyFont="1" applyFill="1" applyBorder="1" applyAlignment="1">
      <alignment horizontal="center" vertical="center" wrapText="1"/>
    </xf>
    <xf numFmtId="0" fontId="4" fillId="0" borderId="4" xfId="1965" applyFont="1" applyBorder="1" applyAlignment="1">
      <alignment horizontal="center" vertical="center" wrapText="1"/>
    </xf>
    <xf numFmtId="0" fontId="161" fillId="0" borderId="9" xfId="1965" applyFont="1" applyBorder="1" applyAlignment="1">
      <alignment vertical="top" wrapText="1"/>
    </xf>
    <xf numFmtId="0" fontId="39" fillId="0" borderId="87" xfId="1925" applyFont="1" applyFill="1" applyBorder="1" applyAlignment="1">
      <alignment horizontal="center" vertical="center" wrapText="1"/>
    </xf>
    <xf numFmtId="4" fontId="39" fillId="0" borderId="80" xfId="1925" applyNumberFormat="1" applyFont="1" applyFill="1" applyBorder="1" applyAlignment="1">
      <alignment horizontal="center" vertical="center" wrapText="1"/>
    </xf>
    <xf numFmtId="0" fontId="162" fillId="0" borderId="0" xfId="1965" applyFont="1" applyAlignment="1">
      <alignment horizontal="justify" vertical="center"/>
    </xf>
    <xf numFmtId="0" fontId="162" fillId="0" borderId="4" xfId="1965" applyFont="1" applyBorder="1" applyAlignment="1">
      <alignment horizontal="center" wrapText="1"/>
    </xf>
    <xf numFmtId="0" fontId="61" fillId="0" borderId="13" xfId="1925" applyFont="1" applyFill="1" applyBorder="1" applyAlignment="1">
      <alignment horizontal="center" vertical="top" wrapText="1"/>
    </xf>
    <xf numFmtId="2" fontId="38" fillId="0" borderId="13" xfId="1925" applyNumberFormat="1" applyFont="1" applyFill="1" applyBorder="1" applyAlignment="1">
      <alignment horizontal="center" vertical="center" wrapText="1"/>
    </xf>
    <xf numFmtId="0" fontId="158" fillId="0" borderId="1" xfId="1925" applyFont="1" applyFill="1" applyBorder="1" applyAlignment="1">
      <alignment horizontal="center" vertical="center" wrapText="1"/>
    </xf>
    <xf numFmtId="9" fontId="157" fillId="0" borderId="8" xfId="1925" applyNumberFormat="1" applyFont="1" applyFill="1" applyBorder="1" applyAlignment="1">
      <alignment horizontal="left" vertical="center" wrapText="1"/>
    </xf>
    <xf numFmtId="0" fontId="157" fillId="0" borderId="8" xfId="1925" applyFont="1" applyFill="1" applyBorder="1" applyAlignment="1">
      <alignment horizontal="left" vertical="center" wrapText="1"/>
    </xf>
    <xf numFmtId="0" fontId="153" fillId="0" borderId="0" xfId="61" applyFont="1" applyFill="1" applyAlignment="1">
      <alignment horizontal="center" vertical="center" wrapText="1"/>
    </xf>
    <xf numFmtId="0" fontId="42" fillId="0" borderId="0" xfId="1966" applyFont="1"/>
    <xf numFmtId="0" fontId="42" fillId="0" borderId="0" xfId="1966" applyFont="1" applyAlignment="1">
      <alignment horizontal="right"/>
    </xf>
    <xf numFmtId="0" fontId="4" fillId="0" borderId="0" xfId="1966"/>
    <xf numFmtId="0" fontId="42" fillId="0" borderId="0" xfId="1966" applyFont="1" applyBorder="1"/>
    <xf numFmtId="0" fontId="40" fillId="0" borderId="0" xfId="1966" applyFont="1" applyBorder="1" applyAlignment="1">
      <alignment horizontal="center"/>
    </xf>
    <xf numFmtId="0" fontId="42" fillId="0" borderId="0" xfId="1966" applyFont="1" applyBorder="1" applyAlignment="1">
      <alignment horizontal="right"/>
    </xf>
    <xf numFmtId="0" fontId="4" fillId="0" borderId="0" xfId="1966" applyBorder="1"/>
    <xf numFmtId="0" fontId="4" fillId="0" borderId="0" xfId="1966" applyBorder="1" applyAlignment="1">
      <alignment horizontal="left" vertical="center" wrapText="1"/>
    </xf>
    <xf numFmtId="0" fontId="4" fillId="0" borderId="0" xfId="1966" applyBorder="1" applyAlignment="1">
      <alignment wrapText="1"/>
    </xf>
    <xf numFmtId="0" fontId="40" fillId="0" borderId="10" xfId="1966" applyFont="1" applyBorder="1" applyAlignment="1">
      <alignment horizontal="center"/>
    </xf>
    <xf numFmtId="0" fontId="139" fillId="0" borderId="4" xfId="1966" applyFont="1" applyFill="1" applyBorder="1" applyAlignment="1">
      <alignment horizontal="center" vertical="center" wrapText="1"/>
    </xf>
    <xf numFmtId="0" fontId="139" fillId="0" borderId="7" xfId="1966" applyFont="1" applyFill="1" applyBorder="1" applyAlignment="1">
      <alignment horizontal="center" vertical="center" wrapText="1"/>
    </xf>
    <xf numFmtId="0" fontId="139" fillId="0" borderId="4" xfId="1966" applyFont="1" applyFill="1" applyBorder="1" applyAlignment="1">
      <alignment horizontal="center" vertical="center"/>
    </xf>
    <xf numFmtId="0" fontId="139" fillId="0" borderId="5" xfId="1966" applyFont="1" applyFill="1" applyBorder="1" applyAlignment="1">
      <alignment horizontal="center" vertical="center" wrapText="1"/>
    </xf>
    <xf numFmtId="0" fontId="139" fillId="0" borderId="7" xfId="1966" applyFont="1" applyFill="1" applyBorder="1" applyAlignment="1">
      <alignment horizontal="center" vertical="center"/>
    </xf>
    <xf numFmtId="0" fontId="139" fillId="0" borderId="11" xfId="1966" applyFont="1" applyFill="1" applyBorder="1" applyAlignment="1">
      <alignment horizontal="center" vertical="center" wrapText="1"/>
    </xf>
    <xf numFmtId="0" fontId="139" fillId="0" borderId="4" xfId="1966" applyFont="1" applyFill="1" applyBorder="1" applyAlignment="1">
      <alignment horizontal="left" vertical="center" wrapText="1"/>
    </xf>
    <xf numFmtId="4" fontId="139" fillId="0" borderId="11" xfId="1966" applyNumberFormat="1" applyFont="1" applyFill="1" applyBorder="1" applyAlignment="1">
      <alignment horizontal="center" vertical="center" wrapText="1"/>
    </xf>
    <xf numFmtId="0" fontId="110" fillId="0" borderId="0" xfId="1966" applyFont="1"/>
    <xf numFmtId="0" fontId="139" fillId="31" borderId="4" xfId="1966" applyFont="1" applyFill="1" applyBorder="1" applyAlignment="1">
      <alignment horizontal="center" vertical="center"/>
    </xf>
    <xf numFmtId="0" fontId="167" fillId="0" borderId="0" xfId="1966" applyFont="1"/>
    <xf numFmtId="0" fontId="42" fillId="0" borderId="0" xfId="1966" applyFont="1" applyFill="1" applyBorder="1" applyAlignment="1">
      <alignment vertical="center" wrapText="1"/>
    </xf>
    <xf numFmtId="0" fontId="40" fillId="0" borderId="0" xfId="1966" applyFont="1" applyFill="1" applyBorder="1" applyAlignment="1">
      <alignment vertical="center" wrapText="1"/>
    </xf>
    <xf numFmtId="49" fontId="114" fillId="0" borderId="0" xfId="63" applyNumberFormat="1" applyFont="1" applyAlignment="1">
      <alignment horizontal="left" vertical="center" wrapText="1"/>
    </xf>
    <xf numFmtId="0" fontId="116" fillId="0" borderId="0" xfId="0" applyFont="1" applyAlignment="1">
      <alignment horizontal="left" vertical="center" wrapText="1"/>
    </xf>
    <xf numFmtId="0" fontId="55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14" fillId="0" borderId="0" xfId="63" applyNumberFormat="1" applyFont="1" applyAlignment="1">
      <alignment horizontal="left" vertical="center"/>
    </xf>
    <xf numFmtId="9" fontId="59" fillId="33" borderId="4" xfId="0" applyNumberFormat="1" applyFont="1" applyFill="1" applyBorder="1" applyAlignment="1">
      <alignment horizontal="center" vertical="center" wrapText="1"/>
    </xf>
    <xf numFmtId="176" fontId="113" fillId="0" borderId="0" xfId="0" applyNumberFormat="1" applyFont="1" applyFill="1" applyAlignment="1">
      <alignment horizontal="center" vertical="center"/>
    </xf>
    <xf numFmtId="14" fontId="118" fillId="29" borderId="0" xfId="0" applyNumberFormat="1" applyFont="1" applyFill="1" applyBorder="1" applyAlignment="1">
      <alignment horizontal="center" vertical="center" wrapText="1"/>
    </xf>
    <xf numFmtId="0" fontId="61" fillId="0" borderId="3" xfId="1925" applyFont="1" applyFill="1" applyBorder="1" applyAlignment="1">
      <alignment horizontal="center" vertical="center" wrapText="1"/>
    </xf>
    <xf numFmtId="4" fontId="39" fillId="0" borderId="97" xfId="1925" applyNumberFormat="1" applyFont="1" applyFill="1" applyBorder="1" applyAlignment="1">
      <alignment horizontal="right" vertical="center" wrapText="1"/>
    </xf>
    <xf numFmtId="4" fontId="39" fillId="2" borderId="97" xfId="1925" applyNumberFormat="1" applyFont="1" applyFill="1" applyBorder="1" applyAlignment="1">
      <alignment horizontal="right" vertical="center" wrapText="1"/>
    </xf>
    <xf numFmtId="4" fontId="39" fillId="2" borderId="98" xfId="1925" applyNumberFormat="1" applyFont="1" applyFill="1" applyBorder="1" applyAlignment="1">
      <alignment horizontal="right" vertical="center" wrapText="1"/>
    </xf>
    <xf numFmtId="4" fontId="39" fillId="2" borderId="4" xfId="1925" applyNumberFormat="1" applyFont="1" applyFill="1" applyBorder="1" applyAlignment="1">
      <alignment horizontal="right" vertical="center" wrapText="1"/>
    </xf>
    <xf numFmtId="4" fontId="39" fillId="0" borderId="4" xfId="1925" applyNumberFormat="1" applyFont="1" applyFill="1" applyBorder="1" applyAlignment="1">
      <alignment horizontal="right" vertical="center" wrapText="1"/>
    </xf>
    <xf numFmtId="4" fontId="39" fillId="0" borderId="99" xfId="1925" applyNumberFormat="1" applyFont="1" applyFill="1" applyBorder="1" applyAlignment="1">
      <alignment horizontal="right" vertical="center" wrapText="1"/>
    </xf>
    <xf numFmtId="4" fontId="160" fillId="0" borderId="97" xfId="1925" applyNumberFormat="1" applyFont="1" applyFill="1" applyBorder="1" applyAlignment="1">
      <alignment horizontal="right" vertical="center" wrapText="1"/>
    </xf>
    <xf numFmtId="4" fontId="138" fillId="0" borderId="4" xfId="1925" applyNumberFormat="1" applyFont="1" applyBorder="1" applyAlignment="1">
      <alignment horizontal="right" vertical="center" wrapText="1"/>
    </xf>
    <xf numFmtId="4" fontId="63" fillId="0" borderId="97" xfId="1925" applyNumberFormat="1" applyFont="1" applyFill="1" applyBorder="1" applyAlignment="1">
      <alignment horizontal="right" vertical="center" wrapText="1"/>
    </xf>
    <xf numFmtId="4" fontId="63" fillId="0" borderId="54" xfId="1925" applyNumberFormat="1" applyFont="1" applyBorder="1" applyAlignment="1">
      <alignment horizontal="right" vertical="center" wrapText="1"/>
    </xf>
    <xf numFmtId="4" fontId="39" fillId="0" borderId="100" xfId="1925" applyNumberFormat="1" applyFont="1" applyFill="1" applyBorder="1" applyAlignment="1">
      <alignment horizontal="right" vertical="center" wrapText="1"/>
    </xf>
    <xf numFmtId="4" fontId="61" fillId="0" borderId="97" xfId="1925" applyNumberFormat="1" applyFont="1" applyFill="1" applyBorder="1" applyAlignment="1">
      <alignment horizontal="right" vertical="center" wrapText="1"/>
    </xf>
    <xf numFmtId="4" fontId="160" fillId="0" borderId="98" xfId="1925" applyNumberFormat="1" applyFont="1" applyFill="1" applyBorder="1" applyAlignment="1">
      <alignment horizontal="right" vertical="center" wrapText="1"/>
    </xf>
    <xf numFmtId="4" fontId="160" fillId="0" borderId="54" xfId="1925" applyNumberFormat="1" applyFont="1" applyFill="1" applyBorder="1" applyAlignment="1">
      <alignment horizontal="right" vertical="center" wrapText="1"/>
    </xf>
    <xf numFmtId="4" fontId="63" fillId="0" borderId="34" xfId="1925" applyNumberFormat="1" applyFont="1" applyFill="1" applyBorder="1" applyAlignment="1">
      <alignment horizontal="right" vertical="center" wrapText="1"/>
    </xf>
    <xf numFmtId="4" fontId="57" fillId="0" borderId="5" xfId="1925" applyNumberFormat="1" applyFont="1" applyFill="1" applyBorder="1" applyAlignment="1">
      <alignment horizontal="right" vertical="center" wrapText="1"/>
    </xf>
    <xf numFmtId="4" fontId="157" fillId="0" borderId="4" xfId="1925" applyNumberFormat="1" applyFont="1" applyFill="1" applyBorder="1" applyAlignment="1">
      <alignment horizontal="right" vertical="center" wrapText="1"/>
    </xf>
    <xf numFmtId="4" fontId="153" fillId="2" borderId="86" xfId="61" applyNumberFormat="1" applyFont="1" applyFill="1" applyBorder="1" applyAlignment="1">
      <alignment horizontal="right" vertical="top"/>
    </xf>
    <xf numFmtId="4" fontId="153" fillId="0" borderId="4" xfId="61" applyNumberFormat="1" applyFont="1" applyBorder="1" applyAlignment="1">
      <alignment horizontal="right" vertical="center"/>
    </xf>
    <xf numFmtId="4" fontId="153" fillId="0" borderId="4" xfId="61" applyNumberFormat="1" applyFont="1" applyFill="1" applyBorder="1" applyAlignment="1">
      <alignment horizontal="right" vertical="center"/>
    </xf>
    <xf numFmtId="4" fontId="153" fillId="29" borderId="5" xfId="61" applyNumberFormat="1" applyFont="1" applyFill="1" applyBorder="1" applyAlignment="1">
      <alignment horizontal="right" vertical="center"/>
    </xf>
    <xf numFmtId="4" fontId="153" fillId="3" borderId="4" xfId="61" applyNumberFormat="1" applyFont="1" applyFill="1" applyBorder="1" applyAlignment="1">
      <alignment horizontal="right" vertical="center"/>
    </xf>
    <xf numFmtId="4" fontId="165" fillId="3" borderId="4" xfId="61" applyNumberFormat="1" applyFont="1" applyFill="1" applyBorder="1" applyAlignment="1">
      <alignment horizontal="right" vertical="center"/>
    </xf>
    <xf numFmtId="4" fontId="165" fillId="0" borderId="4" xfId="61" applyNumberFormat="1" applyFont="1" applyBorder="1" applyAlignment="1">
      <alignment horizontal="right" vertical="center"/>
    </xf>
    <xf numFmtId="4" fontId="139" fillId="0" borderId="4" xfId="1966" applyNumberFormat="1" applyFont="1" applyFill="1" applyBorder="1" applyAlignment="1">
      <alignment horizontal="right" vertical="center"/>
    </xf>
    <xf numFmtId="4" fontId="139" fillId="31" borderId="4" xfId="1966" applyNumberFormat="1" applyFont="1" applyFill="1" applyBorder="1" applyAlignment="1">
      <alignment horizontal="right" vertical="center"/>
    </xf>
    <xf numFmtId="4" fontId="147" fillId="31" borderId="4" xfId="1966" applyNumberFormat="1" applyFont="1" applyFill="1" applyBorder="1" applyAlignment="1">
      <alignment horizontal="right" vertical="center"/>
    </xf>
    <xf numFmtId="2" fontId="56" fillId="0" borderId="4" xfId="1" applyNumberFormat="1" applyFont="1" applyFill="1" applyBorder="1" applyAlignment="1">
      <alignment horizontal="center" vertical="center" wrapText="1"/>
    </xf>
    <xf numFmtId="1" fontId="42" fillId="0" borderId="4" xfId="1" applyNumberFormat="1" applyFont="1" applyFill="1" applyBorder="1" applyAlignment="1">
      <alignment horizontal="center" vertical="center" wrapText="1"/>
    </xf>
    <xf numFmtId="0" fontId="57" fillId="2" borderId="4" xfId="1" applyFont="1" applyFill="1" applyBorder="1" applyAlignment="1">
      <alignment horizontal="center" vertical="center"/>
    </xf>
    <xf numFmtId="176" fontId="42" fillId="0" borderId="4" xfId="1" applyNumberFormat="1" applyFont="1" applyFill="1" applyBorder="1" applyAlignment="1">
      <alignment horizontal="center" vertical="center" wrapText="1"/>
    </xf>
    <xf numFmtId="14" fontId="0" fillId="29" borderId="4" xfId="0" applyNumberFormat="1" applyFill="1" applyBorder="1"/>
    <xf numFmtId="176" fontId="0" fillId="0" borderId="4" xfId="0" applyNumberFormat="1" applyBorder="1"/>
    <xf numFmtId="2" fontId="0" fillId="0" borderId="4" xfId="0" applyNumberFormat="1" applyBorder="1"/>
    <xf numFmtId="168" fontId="0" fillId="0" borderId="4" xfId="1803" applyNumberFormat="1" applyFont="1" applyBorder="1"/>
    <xf numFmtId="10" fontId="114" fillId="4" borderId="7" xfId="0" applyNumberFormat="1" applyFont="1" applyFill="1" applyBorder="1" applyAlignment="1">
      <alignment vertical="center"/>
    </xf>
    <xf numFmtId="0" fontId="114" fillId="4" borderId="6" xfId="0" applyFont="1" applyFill="1" applyBorder="1" applyAlignment="1">
      <alignment vertical="center"/>
    </xf>
    <xf numFmtId="183" fontId="0" fillId="0" borderId="4" xfId="0" applyNumberFormat="1" applyBorder="1"/>
    <xf numFmtId="10" fontId="0" fillId="0" borderId="4" xfId="0" applyNumberFormat="1" applyBorder="1"/>
    <xf numFmtId="0" fontId="114" fillId="4" borderId="4" xfId="0" applyFont="1" applyFill="1" applyBorder="1" applyAlignment="1">
      <alignment vertical="center"/>
    </xf>
    <xf numFmtId="183" fontId="0" fillId="29" borderId="4" xfId="0" applyNumberFormat="1" applyFill="1" applyBorder="1"/>
    <xf numFmtId="182" fontId="59" fillId="34" borderId="4" xfId="0" applyNumberFormat="1" applyFont="1" applyFill="1" applyBorder="1" applyAlignment="1">
      <alignment horizontal="center" vertical="center"/>
    </xf>
    <xf numFmtId="184" fontId="70" fillId="0" borderId="4" xfId="0" applyNumberFormat="1" applyFont="1" applyBorder="1" applyAlignment="1">
      <alignment horizontal="center" vertical="center"/>
    </xf>
    <xf numFmtId="184" fontId="168" fillId="0" borderId="4" xfId="0" applyNumberFormat="1" applyFont="1" applyBorder="1" applyAlignment="1">
      <alignment horizontal="center" vertical="center"/>
    </xf>
    <xf numFmtId="0" fontId="114" fillId="29" borderId="6" xfId="0" applyFont="1" applyFill="1" applyBorder="1" applyAlignment="1">
      <alignment horizontal="center" vertical="center" wrapText="1"/>
    </xf>
    <xf numFmtId="0" fontId="39" fillId="0" borderId="0" xfId="1928" applyFont="1" applyBorder="1" applyAlignment="1">
      <alignment horizontal="left" vertical="top" wrapText="1"/>
    </xf>
    <xf numFmtId="0" fontId="70" fillId="0" borderId="4" xfId="0" applyFont="1" applyBorder="1" applyAlignment="1">
      <alignment horizontal="center" vertical="center" wrapText="1"/>
    </xf>
    <xf numFmtId="0" fontId="38" fillId="0" borderId="0" xfId="1970" applyFont="1" applyAlignment="1">
      <alignment horizontal="right"/>
    </xf>
    <xf numFmtId="0" fontId="66" fillId="0" borderId="0" xfId="1970" applyFont="1"/>
    <xf numFmtId="0" fontId="66" fillId="0" borderId="10" xfId="1970" applyFont="1" applyBorder="1"/>
    <xf numFmtId="0" fontId="39" fillId="0" borderId="0" xfId="1970" applyFont="1" applyAlignment="1"/>
    <xf numFmtId="0" fontId="39" fillId="0" borderId="0" xfId="1970" applyFont="1"/>
    <xf numFmtId="0" fontId="121" fillId="0" borderId="0" xfId="1970" applyFont="1" applyAlignment="1">
      <alignment vertical="top"/>
    </xf>
    <xf numFmtId="0" fontId="39" fillId="0" borderId="0" xfId="1970" applyFont="1" applyAlignment="1">
      <alignment vertical="top"/>
    </xf>
    <xf numFmtId="0" fontId="38" fillId="0" borderId="0" xfId="1970" applyFont="1"/>
    <xf numFmtId="0" fontId="66" fillId="0" borderId="0" xfId="1970" applyFont="1" applyBorder="1"/>
    <xf numFmtId="0" fontId="39" fillId="0" borderId="0" xfId="1970" applyFont="1" applyAlignment="1">
      <alignment horizontal="left" indent="1"/>
    </xf>
    <xf numFmtId="0" fontId="122" fillId="0" borderId="4" xfId="1970" applyFont="1" applyBorder="1" applyAlignment="1">
      <alignment horizontal="center" vertical="center" wrapText="1"/>
    </xf>
    <xf numFmtId="0" fontId="122" fillId="0" borderId="7" xfId="1970" applyFont="1" applyBorder="1" applyAlignment="1">
      <alignment horizontal="center" vertical="center" wrapText="1"/>
    </xf>
    <xf numFmtId="0" fontId="39" fillId="0" borderId="5" xfId="1970" applyFont="1" applyBorder="1" applyAlignment="1">
      <alignment horizontal="left" vertical="top" wrapText="1"/>
    </xf>
    <xf numFmtId="0" fontId="39" fillId="0" borderId="5" xfId="1970" applyFont="1" applyBorder="1" applyAlignment="1">
      <alignment horizontal="center" vertical="top" wrapText="1"/>
    </xf>
    <xf numFmtId="0" fontId="39" fillId="0" borderId="5" xfId="1970" applyNumberFormat="1" applyFont="1" applyBorder="1" applyAlignment="1">
      <alignment horizontal="right" vertical="top" wrapText="1"/>
    </xf>
    <xf numFmtId="0" fontId="126" fillId="0" borderId="9" xfId="1970" applyFont="1" applyBorder="1" applyAlignment="1">
      <alignment horizontal="left" vertical="top" wrapText="1"/>
    </xf>
    <xf numFmtId="0" fontId="126" fillId="0" borderId="9" xfId="1970" applyFont="1" applyBorder="1" applyAlignment="1">
      <alignment horizontal="center" vertical="top" wrapText="1"/>
    </xf>
    <xf numFmtId="0" fontId="126" fillId="0" borderId="9" xfId="1970" applyNumberFormat="1" applyFont="1" applyBorder="1" applyAlignment="1">
      <alignment horizontal="right" vertical="top" wrapText="1"/>
    </xf>
    <xf numFmtId="0" fontId="38" fillId="0" borderId="5" xfId="1970" applyFont="1" applyBorder="1" applyAlignment="1">
      <alignment vertical="top" wrapText="1"/>
    </xf>
    <xf numFmtId="0" fontId="61" fillId="0" borderId="5" xfId="1970" applyNumberFormat="1" applyFont="1" applyBorder="1" applyAlignment="1">
      <alignment horizontal="right" vertical="top" wrapText="1"/>
    </xf>
    <xf numFmtId="0" fontId="38" fillId="0" borderId="4" xfId="1970" applyFont="1" applyBorder="1" applyAlignment="1">
      <alignment vertical="top" wrapText="1"/>
    </xf>
    <xf numFmtId="43" fontId="61" fillId="0" borderId="4" xfId="1971" applyFont="1" applyBorder="1" applyAlignment="1">
      <alignment horizontal="right" vertical="top" wrapText="1"/>
    </xf>
    <xf numFmtId="0" fontId="38" fillId="0" borderId="0" xfId="1970" applyFont="1" applyAlignment="1">
      <alignment vertical="top" wrapText="1"/>
    </xf>
    <xf numFmtId="0" fontId="39" fillId="0" borderId="0" xfId="1970" applyFont="1" applyAlignment="1">
      <alignment horizontal="left" vertical="top" wrapText="1"/>
    </xf>
    <xf numFmtId="0" fontId="39" fillId="0" borderId="0" xfId="1970" applyFont="1" applyAlignment="1">
      <alignment horizontal="center" vertical="top" wrapText="1"/>
    </xf>
    <xf numFmtId="0" fontId="39" fillId="0" borderId="0" xfId="1970" applyNumberFormat="1" applyFont="1" applyAlignment="1">
      <alignment horizontal="right" vertical="top" wrapText="1"/>
    </xf>
    <xf numFmtId="49" fontId="39" fillId="0" borderId="0" xfId="1970" applyNumberFormat="1" applyFont="1" applyAlignment="1">
      <alignment horizontal="right" vertical="top" wrapText="1"/>
    </xf>
    <xf numFmtId="3" fontId="114" fillId="35" borderId="4" xfId="63" applyNumberFormat="1" applyFont="1" applyFill="1" applyBorder="1" applyAlignment="1">
      <alignment horizontal="center" vertical="center" wrapText="1"/>
    </xf>
    <xf numFmtId="49" fontId="114" fillId="29" borderId="4" xfId="63" applyNumberFormat="1" applyFont="1" applyFill="1" applyBorder="1" applyAlignment="1">
      <alignment horizontal="center" vertical="center" wrapText="1"/>
    </xf>
    <xf numFmtId="3" fontId="114" fillId="29" borderId="4" xfId="63" applyNumberFormat="1" applyFont="1" applyFill="1" applyBorder="1" applyAlignment="1">
      <alignment horizontal="center" vertical="center"/>
    </xf>
    <xf numFmtId="0" fontId="176" fillId="0" borderId="4" xfId="0" applyFont="1" applyBorder="1" applyAlignment="1">
      <alignment horizontal="center" vertical="center" wrapText="1"/>
    </xf>
    <xf numFmtId="0" fontId="176" fillId="2" borderId="4" xfId="0" applyFont="1" applyFill="1" applyBorder="1" applyAlignment="1">
      <alignment horizontal="center" vertical="center" wrapText="1"/>
    </xf>
    <xf numFmtId="0" fontId="176" fillId="0" borderId="4" xfId="0" applyFont="1" applyFill="1" applyBorder="1" applyAlignment="1">
      <alignment horizontal="center" vertical="center" wrapText="1"/>
    </xf>
    <xf numFmtId="0" fontId="176" fillId="36" borderId="4" xfId="0" applyFont="1" applyFill="1" applyBorder="1" applyAlignment="1">
      <alignment horizontal="center" vertical="center" wrapText="1"/>
    </xf>
    <xf numFmtId="3" fontId="114" fillId="35" borderId="4" xfId="0" applyNumberFormat="1" applyFont="1" applyFill="1" applyBorder="1" applyAlignment="1">
      <alignment horizontal="center" vertical="center"/>
    </xf>
    <xf numFmtId="3" fontId="114" fillId="35" borderId="4" xfId="63" applyNumberFormat="1" applyFont="1" applyFill="1" applyBorder="1" applyAlignment="1">
      <alignment horizontal="center" vertical="center"/>
    </xf>
    <xf numFmtId="2" fontId="113" fillId="0" borderId="89" xfId="1" applyNumberFormat="1" applyFont="1" applyBorder="1" applyAlignment="1">
      <alignment horizontal="center" vertical="center" wrapText="1"/>
    </xf>
    <xf numFmtId="0" fontId="61" fillId="0" borderId="89" xfId="0" applyFont="1" applyBorder="1" applyAlignment="1">
      <alignment vertical="center" wrapText="1"/>
    </xf>
    <xf numFmtId="0" fontId="61" fillId="2" borderId="89" xfId="0" applyFont="1" applyFill="1" applyBorder="1" applyAlignment="1">
      <alignment horizontal="center" vertical="center" wrapText="1"/>
    </xf>
    <xf numFmtId="0" fontId="177" fillId="0" borderId="89" xfId="0" applyFont="1" applyBorder="1" applyAlignment="1">
      <alignment horizontal="center" vertical="center" wrapText="1"/>
    </xf>
    <xf numFmtId="165" fontId="177" fillId="0" borderId="89" xfId="99" applyFont="1" applyBorder="1" applyAlignment="1">
      <alignment horizontal="center" vertical="center" wrapText="1"/>
    </xf>
    <xf numFmtId="0" fontId="178" fillId="0" borderId="0" xfId="0" applyFont="1"/>
    <xf numFmtId="0" fontId="110" fillId="0" borderId="89" xfId="0" applyFont="1" applyBorder="1" applyAlignment="1">
      <alignment vertical="center" wrapText="1"/>
    </xf>
    <xf numFmtId="0" fontId="110" fillId="0" borderId="89" xfId="0" applyFont="1" applyBorder="1" applyAlignment="1">
      <alignment horizontal="center" vertical="center" wrapText="1"/>
    </xf>
    <xf numFmtId="0" fontId="39" fillId="0" borderId="89" xfId="0" applyFont="1" applyBorder="1" applyAlignment="1">
      <alignment horizontal="center" vertical="center" wrapText="1"/>
    </xf>
    <xf numFmtId="165" fontId="39" fillId="0" borderId="89" xfId="99" applyFont="1" applyBorder="1" applyAlignment="1">
      <alignment horizontal="center" vertical="center" wrapText="1"/>
    </xf>
    <xf numFmtId="4" fontId="39" fillId="0" borderId="89" xfId="0" applyNumberFormat="1" applyFont="1" applyBorder="1" applyAlignment="1">
      <alignment horizontal="center" vertical="center" wrapText="1"/>
    </xf>
    <xf numFmtId="0" fontId="140" fillId="0" borderId="0" xfId="0" applyFont="1"/>
    <xf numFmtId="0" fontId="61" fillId="0" borderId="4" xfId="0" applyFont="1" applyBorder="1" applyAlignment="1">
      <alignment vertical="center" wrapText="1"/>
    </xf>
    <xf numFmtId="0" fontId="61" fillId="0" borderId="90" xfId="0" applyFont="1" applyBorder="1" applyAlignment="1">
      <alignment vertical="center" wrapText="1"/>
    </xf>
    <xf numFmtId="0" fontId="39" fillId="0" borderId="4" xfId="0" applyFont="1" applyBorder="1" applyAlignment="1">
      <alignment vertical="center" wrapText="1"/>
    </xf>
    <xf numFmtId="0" fontId="39" fillId="0" borderId="90" xfId="0" applyFont="1" applyBorder="1" applyAlignment="1">
      <alignment vertical="center" wrapText="1"/>
    </xf>
    <xf numFmtId="0" fontId="114" fillId="2" borderId="91" xfId="1" applyFont="1" applyFill="1" applyBorder="1" applyAlignment="1">
      <alignment horizontal="center" vertical="center" wrapText="1"/>
    </xf>
    <xf numFmtId="0" fontId="114" fillId="2" borderId="89" xfId="1" applyFont="1" applyFill="1" applyBorder="1" applyAlignment="1">
      <alignment horizontal="center" vertical="center" wrapText="1"/>
    </xf>
    <xf numFmtId="0" fontId="61" fillId="2" borderId="4" xfId="0" applyFont="1" applyFill="1" applyBorder="1" applyAlignment="1">
      <alignment vertical="center" wrapText="1"/>
    </xf>
    <xf numFmtId="0" fontId="114" fillId="2" borderId="90" xfId="1" applyFont="1" applyFill="1" applyBorder="1" applyAlignment="1">
      <alignment vertical="center" wrapText="1"/>
    </xf>
    <xf numFmtId="0" fontId="110" fillId="2" borderId="93" xfId="0" applyFont="1" applyFill="1" applyBorder="1" applyAlignment="1">
      <alignment vertical="center" wrapText="1"/>
    </xf>
    <xf numFmtId="0" fontId="114" fillId="2" borderId="89" xfId="1" applyFont="1" applyFill="1" applyBorder="1" applyAlignment="1">
      <alignment vertical="center" wrapText="1"/>
    </xf>
    <xf numFmtId="0" fontId="70" fillId="0" borderId="4" xfId="0" applyFont="1" applyFill="1" applyBorder="1" applyAlignment="1">
      <alignment vertical="center" wrapText="1"/>
    </xf>
    <xf numFmtId="0" fontId="48" fillId="0" borderId="89" xfId="0" applyFont="1" applyFill="1" applyBorder="1" applyAlignment="1">
      <alignment horizontal="center" vertical="center" wrapText="1"/>
    </xf>
    <xf numFmtId="0" fontId="48" fillId="0" borderId="89" xfId="0" applyFont="1" applyFill="1" applyBorder="1" applyAlignment="1">
      <alignment vertical="center" wrapText="1"/>
    </xf>
    <xf numFmtId="165" fontId="111" fillId="0" borderId="89" xfId="99" applyFont="1" applyFill="1" applyBorder="1" applyAlignment="1">
      <alignment horizontal="center" vertical="center" wrapText="1"/>
    </xf>
    <xf numFmtId="181" fontId="111" fillId="0" borderId="89" xfId="0" applyNumberFormat="1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vertical="center" wrapText="1"/>
    </xf>
    <xf numFmtId="0" fontId="39" fillId="0" borderId="89" xfId="0" applyFont="1" applyFill="1" applyBorder="1" applyAlignment="1">
      <alignment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47" fillId="0" borderId="89" xfId="0" applyFont="1" applyFill="1" applyBorder="1" applyAlignment="1">
      <alignment horizontal="center" vertical="center" wrapText="1"/>
    </xf>
    <xf numFmtId="165" fontId="47" fillId="0" borderId="89" xfId="99" applyFont="1" applyFill="1" applyBorder="1" applyAlignment="1">
      <alignment horizontal="center" vertical="center" wrapText="1"/>
    </xf>
    <xf numFmtId="4" fontId="47" fillId="0" borderId="8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7" fillId="0" borderId="92" xfId="0" applyFont="1" applyFill="1" applyBorder="1" applyAlignment="1">
      <alignment vertical="center" wrapText="1"/>
    </xf>
    <xf numFmtId="4" fontId="1" fillId="0" borderId="89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vertical="center" wrapText="1"/>
    </xf>
    <xf numFmtId="0" fontId="48" fillId="0" borderId="90" xfId="0" applyFont="1" applyFill="1" applyBorder="1" applyAlignment="1">
      <alignment vertical="center" wrapText="1"/>
    </xf>
    <xf numFmtId="165" fontId="1" fillId="0" borderId="89" xfId="99" applyFont="1" applyFill="1" applyBorder="1" applyAlignment="1">
      <alignment horizontal="center" vertical="center" wrapText="1"/>
    </xf>
    <xf numFmtId="0" fontId="170" fillId="0" borderId="90" xfId="1" applyFont="1" applyFill="1" applyBorder="1" applyAlignment="1">
      <alignment vertical="center" wrapText="1"/>
    </xf>
    <xf numFmtId="0" fontId="170" fillId="0" borderId="91" xfId="1" applyFont="1" applyFill="1" applyBorder="1" applyAlignment="1">
      <alignment horizontal="center" vertical="center" wrapText="1"/>
    </xf>
    <xf numFmtId="0" fontId="70" fillId="0" borderId="89" xfId="1" applyFont="1" applyFill="1" applyBorder="1" applyAlignment="1">
      <alignment horizontal="center" vertical="center" wrapText="1"/>
    </xf>
    <xf numFmtId="165" fontId="70" fillId="0" borderId="89" xfId="99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vertical="center" wrapText="1"/>
    </xf>
    <xf numFmtId="0" fontId="170" fillId="0" borderId="89" xfId="1" applyFont="1" applyFill="1" applyBorder="1" applyAlignment="1">
      <alignment vertical="center" wrapText="1"/>
    </xf>
    <xf numFmtId="0" fontId="70" fillId="0" borderId="91" xfId="1" applyFont="1" applyFill="1" applyBorder="1" applyAlignment="1">
      <alignment horizontal="center" vertical="center" wrapText="1"/>
    </xf>
    <xf numFmtId="165" fontId="170" fillId="0" borderId="89" xfId="99" applyFont="1" applyFill="1" applyBorder="1" applyAlignment="1">
      <alignment horizontal="center" vertical="center" wrapText="1"/>
    </xf>
    <xf numFmtId="0" fontId="170" fillId="0" borderId="94" xfId="1" applyFont="1" applyFill="1" applyBorder="1" applyAlignment="1">
      <alignment vertical="center" wrapText="1"/>
    </xf>
    <xf numFmtId="0" fontId="170" fillId="0" borderId="4" xfId="1" applyFont="1" applyFill="1" applyBorder="1" applyAlignment="1">
      <alignment horizontal="center" vertical="center" wrapText="1"/>
    </xf>
    <xf numFmtId="0" fontId="70" fillId="0" borderId="4" xfId="1" applyFont="1" applyFill="1" applyBorder="1" applyAlignment="1">
      <alignment horizontal="center" vertical="center" wrapText="1"/>
    </xf>
    <xf numFmtId="165" fontId="170" fillId="0" borderId="90" xfId="99" applyFont="1" applyFill="1" applyBorder="1" applyAlignment="1">
      <alignment horizontal="center" vertical="center" wrapText="1"/>
    </xf>
    <xf numFmtId="0" fontId="113" fillId="0" borderId="0" xfId="0" applyFont="1" applyAlignment="1"/>
    <xf numFmtId="0" fontId="70" fillId="0" borderId="4" xfId="0" applyFont="1" applyBorder="1" applyAlignment="1">
      <alignment horizontal="center" vertical="center"/>
    </xf>
    <xf numFmtId="175" fontId="70" fillId="0" borderId="4" xfId="0" applyNumberFormat="1" applyFont="1" applyBorder="1" applyAlignment="1">
      <alignment horizontal="center" vertical="center"/>
    </xf>
    <xf numFmtId="4" fontId="70" fillId="0" borderId="7" xfId="0" applyNumberFormat="1" applyFont="1" applyBorder="1" applyAlignment="1">
      <alignment horizontal="center" vertical="center"/>
    </xf>
    <xf numFmtId="4" fontId="70" fillId="0" borderId="4" xfId="0" applyNumberFormat="1" applyFont="1" applyBorder="1"/>
    <xf numFmtId="0" fontId="70" fillId="4" borderId="4" xfId="0" applyFont="1" applyFill="1" applyBorder="1" applyAlignment="1">
      <alignment horizontal="justify" vertical="center" wrapText="1"/>
    </xf>
    <xf numFmtId="0" fontId="70" fillId="0" borderId="4" xfId="0" applyFont="1" applyFill="1" applyBorder="1" applyAlignment="1">
      <alignment horizontal="justify" vertical="center" wrapText="1"/>
    </xf>
    <xf numFmtId="0" fontId="70" fillId="0" borderId="0" xfId="0" applyFont="1" applyFill="1"/>
    <xf numFmtId="0" fontId="70" fillId="0" borderId="7" xfId="0" applyFont="1" applyBorder="1"/>
    <xf numFmtId="0" fontId="70" fillId="0" borderId="2" xfId="0" applyFont="1" applyBorder="1"/>
    <xf numFmtId="10" fontId="70" fillId="0" borderId="4" xfId="1921" applyNumberFormat="1" applyFont="1" applyBorder="1"/>
    <xf numFmtId="0" fontId="113" fillId="0" borderId="10" xfId="0" applyFont="1" applyBorder="1"/>
    <xf numFmtId="0" fontId="70" fillId="0" borderId="0" xfId="0" applyFont="1" applyBorder="1"/>
    <xf numFmtId="0" fontId="70" fillId="0" borderId="0" xfId="0" applyFont="1" applyBorder="1" applyAlignment="1">
      <alignment horizontal="center" vertical="center"/>
    </xf>
    <xf numFmtId="10" fontId="70" fillId="0" borderId="0" xfId="1921" applyNumberFormat="1" applyFont="1" applyBorder="1"/>
    <xf numFmtId="0" fontId="70" fillId="0" borderId="4" xfId="0" applyFont="1" applyBorder="1" applyAlignment="1">
      <alignment vertical="center"/>
    </xf>
    <xf numFmtId="177" fontId="70" fillId="0" borderId="0" xfId="0" applyNumberFormat="1" applyFont="1" applyBorder="1"/>
    <xf numFmtId="0" fontId="70" fillId="0" borderId="4" xfId="0" applyFont="1" applyFill="1" applyBorder="1"/>
    <xf numFmtId="0" fontId="179" fillId="0" borderId="0" xfId="0" applyFont="1"/>
    <xf numFmtId="4" fontId="70" fillId="0" borderId="4" xfId="0" applyNumberFormat="1" applyFont="1" applyFill="1" applyBorder="1" applyAlignment="1">
      <alignment horizontal="center" vertical="center"/>
    </xf>
    <xf numFmtId="175" fontId="70" fillId="0" borderId="4" xfId="0" applyNumberFormat="1" applyFont="1" applyFill="1" applyBorder="1" applyAlignment="1">
      <alignment horizontal="center" vertical="center"/>
    </xf>
    <xf numFmtId="4" fontId="70" fillId="0" borderId="0" xfId="0" applyNumberFormat="1" applyFont="1" applyAlignment="1">
      <alignment vertical="top" wrapText="1"/>
    </xf>
    <xf numFmtId="0" fontId="114" fillId="29" borderId="4" xfId="0" applyFont="1" applyFill="1" applyBorder="1" applyAlignment="1">
      <alignment horizontal="center" vertical="center" wrapText="1"/>
    </xf>
    <xf numFmtId="4" fontId="114" fillId="29" borderId="4" xfId="0" applyNumberFormat="1" applyFont="1" applyFill="1" applyBorder="1" applyAlignment="1">
      <alignment horizontal="center" vertical="center"/>
    </xf>
    <xf numFmtId="0" fontId="114" fillId="29" borderId="4" xfId="0" applyFont="1" applyFill="1" applyBorder="1" applyAlignment="1">
      <alignment horizontal="center" vertical="center"/>
    </xf>
    <xf numFmtId="175" fontId="114" fillId="29" borderId="4" xfId="0" applyNumberFormat="1" applyFont="1" applyFill="1" applyBorder="1" applyAlignment="1">
      <alignment horizontal="center" vertical="center"/>
    </xf>
    <xf numFmtId="0" fontId="170" fillId="0" borderId="0" xfId="0" applyFont="1" applyAlignment="1">
      <alignment horizontal="justify" vertical="center"/>
    </xf>
    <xf numFmtId="0" fontId="70" fillId="32" borderId="4" xfId="0" applyFont="1" applyFill="1" applyBorder="1" applyAlignment="1">
      <alignment horizontal="center" vertical="center"/>
    </xf>
    <xf numFmtId="0" fontId="70" fillId="32" borderId="4" xfId="0" applyFont="1" applyFill="1" applyBorder="1" applyAlignment="1">
      <alignment vertical="center" wrapText="1"/>
    </xf>
    <xf numFmtId="0" fontId="70" fillId="32" borderId="4" xfId="0" applyFont="1" applyFill="1" applyBorder="1" applyAlignment="1">
      <alignment horizontal="center" vertical="center" wrapText="1"/>
    </xf>
    <xf numFmtId="4" fontId="115" fillId="29" borderId="4" xfId="0" applyNumberFormat="1" applyFont="1" applyFill="1" applyBorder="1" applyAlignment="1">
      <alignment horizontal="center" vertical="center"/>
    </xf>
    <xf numFmtId="0" fontId="115" fillId="32" borderId="4" xfId="0" applyFont="1" applyFill="1" applyBorder="1" applyAlignment="1">
      <alignment horizontal="center" vertical="center"/>
    </xf>
    <xf numFmtId="4" fontId="115" fillId="32" borderId="4" xfId="0" applyNumberFormat="1" applyFont="1" applyFill="1" applyBorder="1" applyAlignment="1">
      <alignment horizontal="center" vertical="center"/>
    </xf>
    <xf numFmtId="175" fontId="115" fillId="32" borderId="4" xfId="0" applyNumberFormat="1" applyFont="1" applyFill="1" applyBorder="1" applyAlignment="1">
      <alignment horizontal="center" vertical="center"/>
    </xf>
    <xf numFmtId="4" fontId="70" fillId="0" borderId="0" xfId="0" applyNumberFormat="1" applyFont="1"/>
    <xf numFmtId="4" fontId="70" fillId="32" borderId="4" xfId="0" applyNumberFormat="1" applyFont="1" applyFill="1" applyBorder="1" applyAlignment="1">
      <alignment horizontal="center" vertical="center"/>
    </xf>
    <xf numFmtId="175" fontId="70" fillId="32" borderId="4" xfId="0" applyNumberFormat="1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4" fontId="70" fillId="0" borderId="7" xfId="0" applyNumberFormat="1" applyFont="1" applyFill="1" applyBorder="1" applyAlignment="1">
      <alignment horizontal="center" vertical="center"/>
    </xf>
    <xf numFmtId="4" fontId="70" fillId="0" borderId="4" xfId="0" applyNumberFormat="1" applyFont="1" applyFill="1" applyBorder="1" applyAlignment="1">
      <alignment wrapText="1"/>
    </xf>
    <xf numFmtId="4" fontId="70" fillId="0" borderId="0" xfId="0" applyNumberFormat="1" applyFont="1" applyFill="1" applyAlignment="1">
      <alignment vertical="center"/>
    </xf>
    <xf numFmtId="14" fontId="70" fillId="0" borderId="4" xfId="0" applyNumberFormat="1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justify" vertical="center"/>
    </xf>
    <xf numFmtId="4" fontId="70" fillId="0" borderId="4" xfId="0" applyNumberFormat="1" applyFont="1" applyFill="1" applyBorder="1" applyAlignment="1">
      <alignment vertical="center" wrapText="1"/>
    </xf>
    <xf numFmtId="4" fontId="70" fillId="0" borderId="0" xfId="0" applyNumberFormat="1" applyFont="1" applyFill="1"/>
    <xf numFmtId="4" fontId="70" fillId="0" borderId="4" xfId="0" applyNumberFormat="1" applyFont="1" applyFill="1" applyBorder="1"/>
    <xf numFmtId="4" fontId="113" fillId="0" borderId="4" xfId="0" applyNumberFormat="1" applyFont="1" applyBorder="1"/>
    <xf numFmtId="0" fontId="113" fillId="0" borderId="0" xfId="0" applyFont="1"/>
    <xf numFmtId="0" fontId="170" fillId="0" borderId="4" xfId="0" applyFont="1" applyFill="1" applyBorder="1" applyAlignment="1">
      <alignment vertical="center"/>
    </xf>
    <xf numFmtId="4" fontId="70" fillId="0" borderId="4" xfId="0" applyNumberFormat="1" applyFont="1" applyFill="1" applyBorder="1" applyAlignment="1">
      <alignment vertical="top" wrapText="1"/>
    </xf>
    <xf numFmtId="0" fontId="70" fillId="0" borderId="103" xfId="0" applyFont="1" applyFill="1" applyBorder="1" applyAlignment="1">
      <alignment horizontal="center" vertical="center"/>
    </xf>
    <xf numFmtId="0" fontId="114" fillId="0" borderId="104" xfId="0" quotePrefix="1" applyFont="1" applyFill="1" applyBorder="1" applyAlignment="1">
      <alignment vertical="center" wrapText="1"/>
    </xf>
    <xf numFmtId="0" fontId="70" fillId="0" borderId="104" xfId="0" applyFont="1" applyFill="1" applyBorder="1" applyAlignment="1">
      <alignment horizontal="center" vertical="center" wrapText="1"/>
    </xf>
    <xf numFmtId="0" fontId="70" fillId="0" borderId="104" xfId="0" applyFont="1" applyFill="1" applyBorder="1" applyAlignment="1">
      <alignment horizontal="center" vertical="center"/>
    </xf>
    <xf numFmtId="0" fontId="70" fillId="0" borderId="106" xfId="0" applyFont="1" applyFill="1" applyBorder="1" applyAlignment="1">
      <alignment horizontal="center" vertical="center"/>
    </xf>
    <xf numFmtId="0" fontId="70" fillId="0" borderId="107" xfId="0" applyFont="1" applyFill="1" applyBorder="1" applyAlignment="1">
      <alignment vertical="center" wrapText="1"/>
    </xf>
    <xf numFmtId="0" fontId="70" fillId="0" borderId="107" xfId="0" applyFont="1" applyFill="1" applyBorder="1" applyAlignment="1">
      <alignment horizontal="center" vertical="center" wrapText="1"/>
    </xf>
    <xf numFmtId="0" fontId="70" fillId="0" borderId="107" xfId="0" applyFont="1" applyFill="1" applyBorder="1" applyAlignment="1">
      <alignment horizontal="center" vertical="center"/>
    </xf>
    <xf numFmtId="0" fontId="70" fillId="0" borderId="107" xfId="0" applyFont="1" applyFill="1" applyBorder="1" applyAlignment="1">
      <alignment horizontal="justify" vertical="center"/>
    </xf>
    <xf numFmtId="0" fontId="70" fillId="0" borderId="107" xfId="0" applyFont="1" applyFill="1" applyBorder="1" applyAlignment="1">
      <alignment vertical="top" wrapText="1"/>
    </xf>
    <xf numFmtId="0" fontId="114" fillId="0" borderId="107" xfId="0" applyFont="1" applyFill="1" applyBorder="1" applyAlignment="1">
      <alignment horizontal="center" vertical="center" wrapText="1"/>
    </xf>
    <xf numFmtId="0" fontId="114" fillId="0" borderId="107" xfId="0" applyFont="1" applyFill="1" applyBorder="1" applyAlignment="1">
      <alignment horizontal="center" vertical="center"/>
    </xf>
    <xf numFmtId="0" fontId="113" fillId="0" borderId="106" xfId="0" applyFont="1" applyBorder="1" applyAlignment="1">
      <alignment horizontal="center" vertical="center"/>
    </xf>
    <xf numFmtId="0" fontId="113" fillId="4" borderId="107" xfId="0" applyFont="1" applyFill="1" applyBorder="1" applyAlignment="1">
      <alignment horizontal="justify" vertical="center"/>
    </xf>
    <xf numFmtId="0" fontId="113" fillId="0" borderId="107" xfId="0" applyFont="1" applyBorder="1" applyAlignment="1">
      <alignment horizontal="center" vertical="center" wrapText="1"/>
    </xf>
    <xf numFmtId="0" fontId="113" fillId="0" borderId="107" xfId="0" applyFont="1" applyBorder="1" applyAlignment="1">
      <alignment horizontal="center" vertical="center"/>
    </xf>
    <xf numFmtId="0" fontId="170" fillId="0" borderId="107" xfId="0" applyFont="1" applyFill="1" applyBorder="1" applyAlignment="1">
      <alignment horizontal="justify" vertical="center"/>
    </xf>
    <xf numFmtId="0" fontId="170" fillId="0" borderId="107" xfId="0" applyFont="1" applyFill="1" applyBorder="1" applyAlignment="1">
      <alignment horizontal="center" vertical="center"/>
    </xf>
    <xf numFmtId="14" fontId="114" fillId="0" borderId="107" xfId="0" applyNumberFormat="1" applyFont="1" applyFill="1" applyBorder="1" applyAlignment="1">
      <alignment horizontal="center" vertical="center" wrapText="1"/>
    </xf>
    <xf numFmtId="14" fontId="70" fillId="0" borderId="107" xfId="0" applyNumberFormat="1" applyFont="1" applyFill="1" applyBorder="1" applyAlignment="1">
      <alignment horizontal="center" vertical="center" wrapText="1"/>
    </xf>
    <xf numFmtId="0" fontId="70" fillId="6" borderId="107" xfId="0" applyFont="1" applyFill="1" applyBorder="1" applyAlignment="1">
      <alignment horizontal="justify" vertical="center"/>
    </xf>
    <xf numFmtId="0" fontId="70" fillId="6" borderId="107" xfId="0" applyFont="1" applyFill="1" applyBorder="1" applyAlignment="1">
      <alignment horizontal="center" vertical="center" wrapText="1"/>
    </xf>
    <xf numFmtId="0" fontId="70" fillId="6" borderId="107" xfId="0" applyFont="1" applyFill="1" applyBorder="1" applyAlignment="1">
      <alignment horizontal="center" vertical="center"/>
    </xf>
    <xf numFmtId="165" fontId="70" fillId="0" borderId="107" xfId="99" applyFont="1" applyFill="1" applyBorder="1" applyAlignment="1">
      <alignment horizontal="center" vertical="center"/>
    </xf>
    <xf numFmtId="165" fontId="70" fillId="0" borderId="108" xfId="99" applyFont="1" applyFill="1" applyBorder="1" applyAlignment="1">
      <alignment horizontal="center" vertical="center"/>
    </xf>
    <xf numFmtId="0" fontId="70" fillId="0" borderId="107" xfId="0" applyFont="1" applyFill="1" applyBorder="1" applyAlignment="1">
      <alignment vertical="center"/>
    </xf>
    <xf numFmtId="0" fontId="70" fillId="6" borderId="106" xfId="0" quotePrefix="1" applyFont="1" applyFill="1" applyBorder="1" applyAlignment="1">
      <alignment horizontal="center" vertical="center"/>
    </xf>
    <xf numFmtId="0" fontId="70" fillId="0" borderId="111" xfId="0" applyFont="1" applyFill="1" applyBorder="1" applyAlignment="1">
      <alignment horizontal="center" vertical="center"/>
    </xf>
    <xf numFmtId="0" fontId="70" fillId="0" borderId="112" xfId="0" applyFont="1" applyFill="1" applyBorder="1" applyAlignment="1">
      <alignment horizontal="justify" vertical="center"/>
    </xf>
    <xf numFmtId="0" fontId="70" fillId="0" borderId="112" xfId="0" applyFont="1" applyFill="1" applyBorder="1" applyAlignment="1">
      <alignment horizontal="center" vertical="center"/>
    </xf>
    <xf numFmtId="0" fontId="70" fillId="0" borderId="112" xfId="0" applyFont="1" applyFill="1" applyBorder="1" applyAlignment="1">
      <alignment horizontal="center" vertical="center" wrapText="1"/>
    </xf>
    <xf numFmtId="14" fontId="70" fillId="0" borderId="112" xfId="0" applyNumberFormat="1" applyFont="1" applyFill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65" fontId="70" fillId="0" borderId="104" xfId="99" applyFont="1" applyFill="1" applyBorder="1" applyAlignment="1">
      <alignment horizontal="center" vertical="center"/>
    </xf>
    <xf numFmtId="165" fontId="114" fillId="0" borderId="107" xfId="99" applyFont="1" applyFill="1" applyBorder="1" applyAlignment="1">
      <alignment horizontal="center" vertical="center"/>
    </xf>
    <xf numFmtId="165" fontId="113" fillId="0" borderId="107" xfId="99" applyFont="1" applyBorder="1" applyAlignment="1">
      <alignment horizontal="center" vertical="center"/>
    </xf>
    <xf numFmtId="165" fontId="70" fillId="6" borderId="107" xfId="99" applyFont="1" applyFill="1" applyBorder="1" applyAlignment="1">
      <alignment horizontal="center" vertical="center"/>
    </xf>
    <xf numFmtId="165" fontId="70" fillId="0" borderId="112" xfId="99" applyFont="1" applyFill="1" applyBorder="1" applyAlignment="1">
      <alignment horizontal="center" vertical="center"/>
    </xf>
    <xf numFmtId="165" fontId="70" fillId="0" borderId="105" xfId="99" applyFont="1" applyFill="1" applyBorder="1" applyAlignment="1">
      <alignment horizontal="center" vertical="center"/>
    </xf>
    <xf numFmtId="165" fontId="114" fillId="0" borderId="108" xfId="99" applyFont="1" applyFill="1" applyBorder="1" applyAlignment="1">
      <alignment horizontal="center" vertical="center"/>
    </xf>
    <xf numFmtId="165" fontId="113" fillId="0" borderId="108" xfId="99" applyFont="1" applyBorder="1" applyAlignment="1">
      <alignment horizontal="center" vertical="center"/>
    </xf>
    <xf numFmtId="165" fontId="70" fillId="6" borderId="108" xfId="99" applyFont="1" applyFill="1" applyBorder="1" applyAlignment="1">
      <alignment horizontal="center" vertical="center"/>
    </xf>
    <xf numFmtId="165" fontId="70" fillId="0" borderId="109" xfId="99" applyFont="1" applyFill="1" applyBorder="1" applyAlignment="1">
      <alignment horizontal="center" vertical="center"/>
    </xf>
    <xf numFmtId="165" fontId="70" fillId="0" borderId="110" xfId="99" applyFont="1" applyFill="1" applyBorder="1" applyAlignment="1">
      <alignment horizontal="center" vertical="center"/>
    </xf>
    <xf numFmtId="165" fontId="113" fillId="37" borderId="4" xfId="99" applyFont="1" applyFill="1" applyBorder="1"/>
    <xf numFmtId="0" fontId="180" fillId="0" borderId="0" xfId="1972"/>
    <xf numFmtId="49" fontId="181" fillId="0" borderId="0" xfId="1972" applyNumberFormat="1" applyFont="1" applyFill="1" applyBorder="1" applyAlignment="1" applyProtection="1"/>
    <xf numFmtId="49" fontId="182" fillId="0" borderId="0" xfId="1972" applyNumberFormat="1" applyFont="1" applyFill="1" applyBorder="1" applyAlignment="1" applyProtection="1">
      <alignment horizontal="right"/>
    </xf>
    <xf numFmtId="49" fontId="182" fillId="0" borderId="0" xfId="1972" applyNumberFormat="1" applyFont="1" applyFill="1" applyBorder="1" applyAlignment="1" applyProtection="1"/>
    <xf numFmtId="49" fontId="183" fillId="0" borderId="0" xfId="1972" applyNumberFormat="1" applyFont="1" applyFill="1" applyBorder="1" applyAlignment="1" applyProtection="1">
      <alignment vertical="top"/>
    </xf>
    <xf numFmtId="49" fontId="181" fillId="0" borderId="0" xfId="1972" applyNumberFormat="1" applyFont="1" applyFill="1" applyBorder="1" applyAlignment="1" applyProtection="1">
      <alignment wrapText="1"/>
    </xf>
    <xf numFmtId="0" fontId="181" fillId="0" borderId="0" xfId="1972" applyNumberFormat="1" applyFont="1" applyFill="1" applyBorder="1" applyAlignment="1" applyProtection="1">
      <alignment wrapText="1"/>
    </xf>
    <xf numFmtId="49" fontId="181" fillId="0" borderId="10" xfId="1972" applyNumberFormat="1" applyFont="1" applyFill="1" applyBorder="1" applyAlignment="1" applyProtection="1"/>
    <xf numFmtId="49" fontId="181" fillId="0" borderId="10" xfId="1972" applyNumberFormat="1" applyFont="1" applyFill="1" applyBorder="1" applyAlignment="1" applyProtection="1">
      <alignment horizontal="right"/>
    </xf>
    <xf numFmtId="49" fontId="182" fillId="0" borderId="0" xfId="1972" applyNumberFormat="1" applyFont="1" applyFill="1" applyBorder="1" applyAlignment="1" applyProtection="1">
      <alignment vertical="top"/>
    </xf>
    <xf numFmtId="49" fontId="181" fillId="0" borderId="0" xfId="1972" applyNumberFormat="1" applyFont="1" applyFill="1" applyBorder="1" applyAlignment="1" applyProtection="1">
      <alignment horizontal="right"/>
    </xf>
    <xf numFmtId="49" fontId="184" fillId="0" borderId="0" xfId="1972" applyNumberFormat="1" applyFont="1" applyFill="1" applyBorder="1" applyAlignment="1" applyProtection="1">
      <alignment horizontal="center"/>
    </xf>
    <xf numFmtId="49" fontId="182" fillId="0" borderId="0" xfId="1972" applyNumberFormat="1" applyFont="1" applyFill="1" applyBorder="1" applyAlignment="1" applyProtection="1">
      <alignment horizontal="left" vertical="top"/>
    </xf>
    <xf numFmtId="49" fontId="182" fillId="0" borderId="0" xfId="1972" applyNumberFormat="1" applyFont="1" applyFill="1" applyBorder="1" applyAlignment="1" applyProtection="1">
      <alignment wrapText="1"/>
    </xf>
    <xf numFmtId="0" fontId="182" fillId="0" borderId="0" xfId="1972" applyNumberFormat="1" applyFont="1" applyFill="1" applyBorder="1" applyAlignment="1" applyProtection="1">
      <alignment wrapText="1"/>
    </xf>
    <xf numFmtId="49" fontId="182" fillId="0" borderId="0" xfId="1972" applyNumberFormat="1" applyFont="1" applyFill="1" applyBorder="1" applyAlignment="1" applyProtection="1">
      <alignment horizontal="left"/>
    </xf>
    <xf numFmtId="49" fontId="185" fillId="0" borderId="0" xfId="1972" applyNumberFormat="1" applyFont="1" applyFill="1" applyBorder="1" applyAlignment="1" applyProtection="1">
      <alignment horizontal="center" vertical="top"/>
    </xf>
    <xf numFmtId="49" fontId="186" fillId="0" borderId="0" xfId="1972" applyNumberFormat="1" applyFont="1" applyFill="1" applyBorder="1" applyAlignment="1" applyProtection="1">
      <alignment horizontal="center"/>
    </xf>
    <xf numFmtId="49" fontId="181" fillId="0" borderId="10" xfId="1972" applyNumberFormat="1" applyFont="1" applyFill="1" applyBorder="1" applyAlignment="1" applyProtection="1">
      <alignment horizontal="center"/>
    </xf>
    <xf numFmtId="49" fontId="185" fillId="0" borderId="0" xfId="1972" applyNumberFormat="1" applyFont="1" applyFill="1" applyBorder="1" applyAlignment="1" applyProtection="1"/>
    <xf numFmtId="49" fontId="181" fillId="0" borderId="0" xfId="1972" applyNumberFormat="1" applyFont="1" applyFill="1" applyBorder="1" applyAlignment="1" applyProtection="1">
      <alignment horizontal="right" vertical="top"/>
    </xf>
    <xf numFmtId="49" fontId="185" fillId="0" borderId="0" xfId="1972" applyNumberFormat="1" applyFont="1" applyFill="1" applyBorder="1" applyAlignment="1" applyProtection="1">
      <alignment horizontal="center"/>
    </xf>
    <xf numFmtId="49" fontId="184" fillId="0" borderId="0" xfId="1972" applyNumberFormat="1" applyFont="1" applyFill="1" applyBorder="1" applyAlignment="1" applyProtection="1">
      <alignment horizontal="left"/>
    </xf>
    <xf numFmtId="49" fontId="182" fillId="0" borderId="10" xfId="1972" applyNumberFormat="1" applyFont="1" applyFill="1" applyBorder="1" applyAlignment="1" applyProtection="1"/>
    <xf numFmtId="49" fontId="182" fillId="0" borderId="0" xfId="1972" applyNumberFormat="1" applyFont="1" applyFill="1" applyBorder="1" applyAlignment="1" applyProtection="1">
      <alignment horizontal="center"/>
    </xf>
    <xf numFmtId="0" fontId="182" fillId="0" borderId="0" xfId="1972" applyNumberFormat="1" applyFont="1" applyFill="1" applyBorder="1" applyAlignment="1" applyProtection="1"/>
    <xf numFmtId="0" fontId="182" fillId="0" borderId="0" xfId="1972" applyNumberFormat="1" applyFont="1" applyFill="1" applyBorder="1" applyAlignment="1" applyProtection="1">
      <alignment horizontal="center"/>
    </xf>
    <xf numFmtId="2" fontId="182" fillId="0" borderId="10" xfId="1972" applyNumberFormat="1" applyFont="1" applyFill="1" applyBorder="1" applyAlignment="1" applyProtection="1"/>
    <xf numFmtId="0" fontId="182" fillId="0" borderId="0" xfId="1972" applyNumberFormat="1" applyFont="1" applyFill="1" applyBorder="1" applyAlignment="1" applyProtection="1">
      <alignment horizontal="left"/>
    </xf>
    <xf numFmtId="0" fontId="182" fillId="0" borderId="0" xfId="1972" applyNumberFormat="1" applyFont="1" applyFill="1" applyBorder="1" applyAlignment="1" applyProtection="1">
      <alignment vertical="center" wrapText="1"/>
    </xf>
    <xf numFmtId="0" fontId="185" fillId="0" borderId="0" xfId="1972" applyNumberFormat="1" applyFont="1" applyFill="1" applyBorder="1" applyAlignment="1" applyProtection="1"/>
    <xf numFmtId="2" fontId="182" fillId="0" borderId="0" xfId="1972" applyNumberFormat="1" applyFont="1" applyFill="1" applyBorder="1" applyAlignment="1" applyProtection="1"/>
    <xf numFmtId="49" fontId="182" fillId="0" borderId="10" xfId="1972" applyNumberFormat="1" applyFont="1" applyFill="1" applyBorder="1" applyAlignment="1" applyProtection="1">
      <alignment horizontal="right"/>
    </xf>
    <xf numFmtId="49" fontId="181" fillId="0" borderId="8" xfId="1972" applyNumberFormat="1" applyFont="1" applyFill="1" applyBorder="1" applyAlignment="1" applyProtection="1">
      <alignment horizontal="right"/>
    </xf>
    <xf numFmtId="0" fontId="182" fillId="0" borderId="0" xfId="1972" applyNumberFormat="1" applyFont="1" applyFill="1" applyBorder="1" applyAlignment="1" applyProtection="1">
      <alignment horizontal="left" vertical="top"/>
    </xf>
    <xf numFmtId="49" fontId="181" fillId="0" borderId="0" xfId="1972" applyNumberFormat="1" applyFont="1" applyFill="1" applyBorder="1" applyAlignment="1" applyProtection="1">
      <alignment vertical="center"/>
    </xf>
    <xf numFmtId="0" fontId="181" fillId="0" borderId="4" xfId="1972" applyNumberFormat="1" applyFont="1" applyFill="1" applyBorder="1" applyAlignment="1" applyProtection="1">
      <alignment horizontal="center" vertical="center" wrapText="1"/>
    </xf>
    <xf numFmtId="49" fontId="181" fillId="0" borderId="4" xfId="1972" applyNumberFormat="1" applyFont="1" applyFill="1" applyBorder="1" applyAlignment="1" applyProtection="1">
      <alignment horizontal="center" vertical="center"/>
    </xf>
    <xf numFmtId="0" fontId="181" fillId="0" borderId="4" xfId="1972" applyNumberFormat="1" applyFont="1" applyFill="1" applyBorder="1" applyAlignment="1" applyProtection="1">
      <alignment horizontal="center" vertical="center"/>
    </xf>
    <xf numFmtId="0" fontId="187" fillId="0" borderId="0" xfId="1972" applyNumberFormat="1" applyFont="1" applyFill="1" applyBorder="1" applyAlignment="1" applyProtection="1"/>
    <xf numFmtId="0" fontId="188" fillId="0" borderId="0" xfId="1972" applyNumberFormat="1" applyFont="1" applyFill="1" applyBorder="1" applyAlignment="1" applyProtection="1">
      <alignment wrapText="1"/>
    </xf>
    <xf numFmtId="49" fontId="183" fillId="0" borderId="1" xfId="1972" applyNumberFormat="1" applyFont="1" applyFill="1" applyBorder="1" applyAlignment="1" applyProtection="1">
      <alignment horizontal="center" vertical="top" wrapText="1"/>
    </xf>
    <xf numFmtId="49" fontId="183" fillId="0" borderId="2" xfId="1972" applyNumberFormat="1" applyFont="1" applyFill="1" applyBorder="1" applyAlignment="1" applyProtection="1">
      <alignment horizontal="left" vertical="top" wrapText="1"/>
    </xf>
    <xf numFmtId="49" fontId="183" fillId="0" borderId="2" xfId="1972" applyNumberFormat="1" applyFont="1" applyFill="1" applyBorder="1" applyAlignment="1" applyProtection="1">
      <alignment horizontal="center" vertical="top" wrapText="1"/>
    </xf>
    <xf numFmtId="0" fontId="183" fillId="0" borderId="2" xfId="1972" applyNumberFormat="1" applyFont="1" applyFill="1" applyBorder="1" applyAlignment="1" applyProtection="1">
      <alignment horizontal="center" vertical="top" wrapText="1"/>
    </xf>
    <xf numFmtId="1" fontId="183" fillId="0" borderId="2" xfId="1972" applyNumberFormat="1" applyFont="1" applyFill="1" applyBorder="1" applyAlignment="1" applyProtection="1">
      <alignment horizontal="center" vertical="top" wrapText="1"/>
    </xf>
    <xf numFmtId="0" fontId="183" fillId="0" borderId="2" xfId="1972" applyNumberFormat="1" applyFont="1" applyFill="1" applyBorder="1" applyAlignment="1" applyProtection="1">
      <alignment horizontal="right" vertical="top" wrapText="1"/>
    </xf>
    <xf numFmtId="0" fontId="183" fillId="0" borderId="3" xfId="1972" applyNumberFormat="1" applyFont="1" applyFill="1" applyBorder="1" applyAlignment="1" applyProtection="1">
      <alignment horizontal="right" vertical="top" wrapText="1"/>
    </xf>
    <xf numFmtId="0" fontId="183" fillId="0" borderId="0" xfId="1972" applyNumberFormat="1" applyFont="1" applyFill="1" applyBorder="1" applyAlignment="1" applyProtection="1">
      <alignment wrapText="1"/>
    </xf>
    <xf numFmtId="49" fontId="181" fillId="0" borderId="48" xfId="1972" applyNumberFormat="1" applyFont="1" applyFill="1" applyBorder="1" applyAlignment="1" applyProtection="1">
      <alignment vertical="center" wrapText="1"/>
    </xf>
    <xf numFmtId="49" fontId="181" fillId="0" borderId="0" xfId="1972" applyNumberFormat="1" applyFont="1" applyFill="1" applyBorder="1" applyAlignment="1" applyProtection="1">
      <alignment horizontal="right" vertical="top" wrapText="1"/>
    </xf>
    <xf numFmtId="49" fontId="181" fillId="0" borderId="48" xfId="1972" applyNumberFormat="1" applyFont="1" applyFill="1" applyBorder="1" applyAlignment="1" applyProtection="1">
      <alignment horizontal="right" vertical="top" wrapText="1"/>
    </xf>
    <xf numFmtId="49" fontId="181" fillId="0" borderId="0" xfId="1972" applyNumberFormat="1" applyFont="1" applyFill="1" applyBorder="1" applyAlignment="1" applyProtection="1">
      <alignment horizontal="center" vertical="top" wrapText="1"/>
    </xf>
    <xf numFmtId="1" fontId="181" fillId="0" borderId="0" xfId="1972" applyNumberFormat="1" applyFont="1" applyFill="1" applyBorder="1" applyAlignment="1" applyProtection="1">
      <alignment horizontal="center" vertical="top" wrapText="1"/>
    </xf>
    <xf numFmtId="176" fontId="181" fillId="0" borderId="0" xfId="1972" applyNumberFormat="1" applyFont="1" applyFill="1" applyBorder="1" applyAlignment="1" applyProtection="1">
      <alignment horizontal="center" vertical="top" wrapText="1"/>
    </xf>
    <xf numFmtId="2" fontId="181" fillId="0" borderId="0" xfId="1972" applyNumberFormat="1" applyFont="1" applyFill="1" applyBorder="1" applyAlignment="1" applyProtection="1">
      <alignment horizontal="right" vertical="top" wrapText="1"/>
    </xf>
    <xf numFmtId="0" fontId="181" fillId="0" borderId="0" xfId="1972" applyNumberFormat="1" applyFont="1" applyFill="1" applyBorder="1" applyAlignment="1" applyProtection="1">
      <alignment horizontal="center" vertical="top" wrapText="1"/>
    </xf>
    <xf numFmtId="4" fontId="181" fillId="0" borderId="0" xfId="1972" applyNumberFormat="1" applyFont="1" applyFill="1" applyBorder="1" applyAlignment="1" applyProtection="1">
      <alignment horizontal="right" vertical="top" wrapText="1"/>
    </xf>
    <xf numFmtId="0" fontId="181" fillId="0" borderId="12" xfId="1972" applyNumberFormat="1" applyFont="1" applyFill="1" applyBorder="1" applyAlignment="1" applyProtection="1">
      <alignment horizontal="right" vertical="top" wrapText="1"/>
    </xf>
    <xf numFmtId="2" fontId="181" fillId="0" borderId="0" xfId="1972" applyNumberFormat="1" applyFont="1" applyFill="1" applyBorder="1" applyAlignment="1" applyProtection="1">
      <alignment horizontal="center" vertical="top" wrapText="1"/>
    </xf>
    <xf numFmtId="175" fontId="181" fillId="0" borderId="0" xfId="1972" applyNumberFormat="1" applyFont="1" applyFill="1" applyBorder="1" applyAlignment="1" applyProtection="1">
      <alignment horizontal="center" vertical="top" wrapText="1"/>
    </xf>
    <xf numFmtId="177" fontId="181" fillId="0" borderId="0" xfId="1972" applyNumberFormat="1" applyFont="1" applyFill="1" applyBorder="1" applyAlignment="1" applyProtection="1">
      <alignment horizontal="center" vertical="top" wrapText="1"/>
    </xf>
    <xf numFmtId="0" fontId="181" fillId="0" borderId="48" xfId="1972" applyNumberFormat="1" applyFont="1" applyFill="1" applyBorder="1" applyAlignment="1" applyProtection="1"/>
    <xf numFmtId="4" fontId="181" fillId="0" borderId="12" xfId="1972" applyNumberFormat="1" applyFont="1" applyFill="1" applyBorder="1" applyAlignment="1" applyProtection="1">
      <alignment horizontal="right" vertical="top" wrapText="1"/>
    </xf>
    <xf numFmtId="2" fontId="181" fillId="0" borderId="12" xfId="1972" applyNumberFormat="1" applyFont="1" applyFill="1" applyBorder="1" applyAlignment="1" applyProtection="1">
      <alignment horizontal="right" vertical="top" wrapText="1"/>
    </xf>
    <xf numFmtId="0" fontId="181" fillId="0" borderId="0" xfId="1972" applyNumberFormat="1" applyFont="1" applyFill="1" applyBorder="1" applyAlignment="1" applyProtection="1">
      <alignment horizontal="right" vertical="top" wrapText="1"/>
    </xf>
    <xf numFmtId="49" fontId="181" fillId="0" borderId="48" xfId="1972" applyNumberFormat="1" applyFont="1" applyFill="1" applyBorder="1" applyAlignment="1" applyProtection="1">
      <alignment horizontal="center" vertical="top" wrapText="1"/>
    </xf>
    <xf numFmtId="49" fontId="181" fillId="0" borderId="2" xfId="1972" applyNumberFormat="1" applyFont="1" applyFill="1" applyBorder="1" applyAlignment="1" applyProtection="1">
      <alignment horizontal="center" vertical="top" wrapText="1"/>
    </xf>
    <xf numFmtId="0" fontId="181" fillId="0" borderId="2" xfId="1972" applyNumberFormat="1" applyFont="1" applyFill="1" applyBorder="1" applyAlignment="1" applyProtection="1">
      <alignment horizontal="center" vertical="top" wrapText="1"/>
    </xf>
    <xf numFmtId="4" fontId="181" fillId="0" borderId="2" xfId="1972" applyNumberFormat="1" applyFont="1" applyFill="1" applyBorder="1" applyAlignment="1" applyProtection="1">
      <alignment horizontal="right" vertical="top" wrapText="1"/>
    </xf>
    <xf numFmtId="0" fontId="181" fillId="0" borderId="3" xfId="1972" applyNumberFormat="1" applyFont="1" applyFill="1" applyBorder="1" applyAlignment="1" applyProtection="1">
      <alignment horizontal="right" vertical="top" wrapText="1"/>
    </xf>
    <xf numFmtId="49" fontId="183" fillId="0" borderId="48" xfId="1972" applyNumberFormat="1" applyFont="1" applyFill="1" applyBorder="1" applyAlignment="1" applyProtection="1">
      <alignment horizontal="center" vertical="top" wrapText="1"/>
    </xf>
    <xf numFmtId="49" fontId="183" fillId="0" borderId="0" xfId="1972" applyNumberFormat="1" applyFont="1" applyFill="1" applyBorder="1" applyAlignment="1" applyProtection="1">
      <alignment horizontal="left" vertical="top" wrapText="1"/>
    </xf>
    <xf numFmtId="4" fontId="183" fillId="0" borderId="2" xfId="1972" applyNumberFormat="1" applyFont="1" applyFill="1" applyBorder="1" applyAlignment="1" applyProtection="1">
      <alignment horizontal="right" vertical="top" wrapText="1"/>
    </xf>
    <xf numFmtId="4" fontId="183" fillId="0" borderId="3" xfId="1972" applyNumberFormat="1" applyFont="1" applyFill="1" applyBorder="1" applyAlignment="1" applyProtection="1">
      <alignment horizontal="right" vertical="top" wrapText="1"/>
    </xf>
    <xf numFmtId="2" fontId="183" fillId="0" borderId="2" xfId="1972" applyNumberFormat="1" applyFont="1" applyFill="1" applyBorder="1" applyAlignment="1" applyProtection="1">
      <alignment horizontal="center" vertical="top" wrapText="1"/>
    </xf>
    <xf numFmtId="49" fontId="183" fillId="0" borderId="0" xfId="1972" applyNumberFormat="1" applyFont="1" applyFill="1" applyBorder="1" applyAlignment="1" applyProtection="1">
      <alignment horizontal="center" vertical="top" wrapText="1"/>
    </xf>
    <xf numFmtId="0" fontId="183" fillId="0" borderId="0" xfId="1972" applyNumberFormat="1" applyFont="1" applyFill="1" applyBorder="1" applyAlignment="1" applyProtection="1">
      <alignment horizontal="left" vertical="top" wrapText="1"/>
    </xf>
    <xf numFmtId="0" fontId="183" fillId="0" borderId="0" xfId="1972" applyNumberFormat="1" applyFont="1" applyFill="1" applyBorder="1" applyAlignment="1" applyProtection="1">
      <alignment horizontal="center" vertical="top" wrapText="1"/>
    </xf>
    <xf numFmtId="0" fontId="183" fillId="0" borderId="0" xfId="1972" applyNumberFormat="1" applyFont="1" applyFill="1" applyBorder="1" applyAlignment="1" applyProtection="1">
      <alignment horizontal="right" vertical="top" wrapText="1"/>
    </xf>
    <xf numFmtId="49" fontId="181" fillId="0" borderId="0" xfId="1972" applyNumberFormat="1" applyFont="1" applyFill="1" applyBorder="1" applyAlignment="1" applyProtection="1">
      <alignment vertical="top"/>
    </xf>
    <xf numFmtId="0" fontId="181" fillId="0" borderId="0" xfId="1972" applyNumberFormat="1" applyFont="1" applyFill="1" applyBorder="1" applyAlignment="1" applyProtection="1">
      <alignment vertical="top"/>
    </xf>
    <xf numFmtId="49" fontId="181" fillId="0" borderId="1" xfId="1972" applyNumberFormat="1" applyFont="1" applyFill="1" applyBorder="1" applyAlignment="1" applyProtection="1"/>
    <xf numFmtId="49" fontId="183" fillId="0" borderId="2" xfId="1972" applyNumberFormat="1" applyFont="1" applyFill="1" applyBorder="1" applyAlignment="1" applyProtection="1">
      <alignment horizontal="right" vertical="top" wrapText="1"/>
    </xf>
    <xf numFmtId="0" fontId="183" fillId="0" borderId="2" xfId="1972" applyNumberFormat="1" applyFont="1" applyFill="1" applyBorder="1" applyAlignment="1" applyProtection="1">
      <alignment horizontal="right" vertical="top"/>
    </xf>
    <xf numFmtId="0" fontId="183" fillId="0" borderId="2" xfId="1972" applyNumberFormat="1" applyFont="1" applyFill="1" applyBorder="1" applyAlignment="1" applyProtection="1">
      <alignment horizontal="center" vertical="top"/>
    </xf>
    <xf numFmtId="0" fontId="183" fillId="0" borderId="3" xfId="1972" applyNumberFormat="1" applyFont="1" applyFill="1" applyBorder="1" applyAlignment="1" applyProtection="1">
      <alignment horizontal="right" vertical="top"/>
    </xf>
    <xf numFmtId="49" fontId="181" fillId="0" borderId="48" xfId="1972" applyNumberFormat="1" applyFont="1" applyFill="1" applyBorder="1" applyAlignment="1" applyProtection="1"/>
    <xf numFmtId="4" fontId="181" fillId="0" borderId="0" xfId="1972" applyNumberFormat="1" applyFont="1" applyFill="1" applyBorder="1" applyAlignment="1" applyProtection="1">
      <alignment horizontal="right" vertical="top"/>
    </xf>
    <xf numFmtId="0" fontId="181" fillId="0" borderId="0" xfId="1972" applyNumberFormat="1" applyFont="1" applyFill="1" applyBorder="1" applyAlignment="1" applyProtection="1">
      <alignment horizontal="center" vertical="top"/>
    </xf>
    <xf numFmtId="4" fontId="181" fillId="0" borderId="12" xfId="1972" applyNumberFormat="1" applyFont="1" applyFill="1" applyBorder="1" applyAlignment="1" applyProtection="1">
      <alignment horizontal="right" vertical="top"/>
    </xf>
    <xf numFmtId="0" fontId="189" fillId="0" borderId="0" xfId="1972" applyNumberFormat="1" applyFont="1" applyFill="1" applyBorder="1" applyAlignment="1" applyProtection="1"/>
    <xf numFmtId="0" fontId="181" fillId="0" borderId="0" xfId="1972" applyNumberFormat="1" applyFont="1" applyFill="1" applyBorder="1" applyAlignment="1" applyProtection="1">
      <alignment horizontal="right" vertical="top"/>
    </xf>
    <xf numFmtId="0" fontId="181" fillId="0" borderId="12" xfId="1972" applyNumberFormat="1" applyFont="1" applyFill="1" applyBorder="1" applyAlignment="1" applyProtection="1">
      <alignment horizontal="right" vertical="top"/>
    </xf>
    <xf numFmtId="2" fontId="181" fillId="0" borderId="0" xfId="1972" applyNumberFormat="1" applyFont="1" applyFill="1" applyBorder="1" applyAlignment="1" applyProtection="1">
      <alignment horizontal="right" vertical="top"/>
    </xf>
    <xf numFmtId="2" fontId="181" fillId="0" borderId="12" xfId="1972" applyNumberFormat="1" applyFont="1" applyFill="1" applyBorder="1" applyAlignment="1" applyProtection="1">
      <alignment horizontal="right" vertical="top"/>
    </xf>
    <xf numFmtId="49" fontId="183" fillId="0" borderId="0" xfId="1972" applyNumberFormat="1" applyFont="1" applyFill="1" applyBorder="1" applyAlignment="1" applyProtection="1">
      <alignment horizontal="right" vertical="top" wrapText="1"/>
    </xf>
    <xf numFmtId="4" fontId="183" fillId="0" borderId="0" xfId="1972" applyNumberFormat="1" applyFont="1" applyFill="1" applyBorder="1" applyAlignment="1" applyProtection="1">
      <alignment horizontal="right" vertical="top"/>
    </xf>
    <xf numFmtId="0" fontId="183" fillId="0" borderId="0" xfId="1972" applyNumberFormat="1" applyFont="1" applyFill="1" applyBorder="1" applyAlignment="1" applyProtection="1">
      <alignment horizontal="center" vertical="top"/>
    </xf>
    <xf numFmtId="4" fontId="183" fillId="0" borderId="12" xfId="1972" applyNumberFormat="1" applyFont="1" applyFill="1" applyBorder="1" applyAlignment="1" applyProtection="1">
      <alignment horizontal="right" vertical="top"/>
    </xf>
    <xf numFmtId="2" fontId="183" fillId="0" borderId="0" xfId="1972" applyNumberFormat="1" applyFont="1" applyFill="1" applyBorder="1" applyAlignment="1" applyProtection="1">
      <alignment horizontal="center" vertical="top"/>
    </xf>
    <xf numFmtId="0" fontId="183" fillId="0" borderId="0" xfId="1972" applyNumberFormat="1" applyFont="1" applyFill="1" applyBorder="1" applyAlignment="1" applyProtection="1">
      <alignment horizontal="right" vertical="top"/>
    </xf>
    <xf numFmtId="49" fontId="181" fillId="0" borderId="2" xfId="1972" applyNumberFormat="1" applyFont="1" applyFill="1" applyBorder="1" applyAlignment="1" applyProtection="1"/>
    <xf numFmtId="0" fontId="181" fillId="0" borderId="2" xfId="1972" applyNumberFormat="1" applyFont="1" applyFill="1" applyBorder="1" applyAlignment="1" applyProtection="1"/>
    <xf numFmtId="0" fontId="182" fillId="0" borderId="0" xfId="1972" applyNumberFormat="1" applyFont="1" applyFill="1" applyBorder="1" applyAlignment="1" applyProtection="1">
      <alignment horizontal="right" vertical="top"/>
    </xf>
    <xf numFmtId="0" fontId="182" fillId="0" borderId="0" xfId="1972" applyNumberFormat="1" applyFont="1" applyFill="1" applyBorder="1" applyAlignment="1" applyProtection="1">
      <alignment horizontal="right"/>
    </xf>
    <xf numFmtId="49" fontId="181" fillId="0" borderId="0" xfId="1972" applyNumberFormat="1" applyFont="1" applyFill="1" applyBorder="1" applyAlignment="1" applyProtection="1">
      <alignment horizontal="left" vertical="top" wrapText="1"/>
    </xf>
    <xf numFmtId="0" fontId="183" fillId="0" borderId="0" xfId="1972" applyNumberFormat="1" applyFont="1" applyFill="1" applyBorder="1" applyAlignment="1" applyProtection="1">
      <alignment vertical="top" wrapText="1"/>
    </xf>
    <xf numFmtId="0" fontId="181" fillId="0" borderId="0" xfId="1972" applyNumberFormat="1" applyFont="1" applyFill="1" applyBorder="1" applyAlignment="1" applyProtection="1"/>
    <xf numFmtId="182" fontId="70" fillId="0" borderId="104" xfId="0" applyNumberFormat="1" applyFont="1" applyFill="1" applyBorder="1" applyAlignment="1">
      <alignment horizontal="center" vertical="center"/>
    </xf>
    <xf numFmtId="182" fontId="70" fillId="0" borderId="107" xfId="0" applyNumberFormat="1" applyFont="1" applyFill="1" applyBorder="1" applyAlignment="1">
      <alignment horizontal="center" vertical="center"/>
    </xf>
    <xf numFmtId="182" fontId="113" fillId="0" borderId="107" xfId="0" applyNumberFormat="1" applyFont="1" applyBorder="1" applyAlignment="1">
      <alignment horizontal="center" vertical="center"/>
    </xf>
    <xf numFmtId="182" fontId="114" fillId="0" borderId="107" xfId="0" applyNumberFormat="1" applyFont="1" applyFill="1" applyBorder="1" applyAlignment="1">
      <alignment horizontal="center" vertical="center"/>
    </xf>
    <xf numFmtId="182" fontId="70" fillId="6" borderId="107" xfId="0" applyNumberFormat="1" applyFont="1" applyFill="1" applyBorder="1" applyAlignment="1">
      <alignment horizontal="center" vertical="center"/>
    </xf>
    <xf numFmtId="182" fontId="114" fillId="0" borderId="112" xfId="0" applyNumberFormat="1" applyFont="1" applyFill="1" applyBorder="1" applyAlignment="1">
      <alignment horizontal="center" vertical="center"/>
    </xf>
    <xf numFmtId="0" fontId="114" fillId="0" borderId="4" xfId="63" applyNumberFormat="1" applyFont="1" applyFill="1" applyBorder="1" applyAlignment="1">
      <alignment horizontal="center" vertical="center" wrapText="1"/>
    </xf>
    <xf numFmtId="4" fontId="119" fillId="0" borderId="4" xfId="63" applyNumberFormat="1" applyFont="1" applyFill="1" applyBorder="1" applyAlignment="1">
      <alignment horizontal="center" vertical="center" wrapText="1"/>
    </xf>
    <xf numFmtId="9" fontId="40" fillId="0" borderId="7" xfId="1" applyNumberFormat="1" applyFont="1" applyBorder="1" applyAlignment="1">
      <alignment horizontal="left"/>
    </xf>
    <xf numFmtId="9" fontId="40" fillId="0" borderId="8" xfId="1" applyNumberFormat="1" applyFont="1" applyBorder="1" applyAlignment="1">
      <alignment horizontal="left"/>
    </xf>
    <xf numFmtId="9" fontId="40" fillId="0" borderId="6" xfId="1" applyNumberFormat="1" applyFont="1" applyBorder="1" applyAlignment="1">
      <alignment horizontal="left"/>
    </xf>
    <xf numFmtId="0" fontId="62" fillId="2" borderId="0" xfId="1" applyFont="1" applyFill="1" applyAlignment="1">
      <alignment horizontal="center" vertical="center" wrapText="1"/>
    </xf>
    <xf numFmtId="0" fontId="56" fillId="0" borderId="0" xfId="1" applyFont="1" applyFill="1" applyAlignment="1"/>
    <xf numFmtId="0" fontId="38" fillId="0" borderId="0" xfId="1" applyFont="1" applyFill="1" applyAlignment="1"/>
    <xf numFmtId="0" fontId="56" fillId="0" borderId="14" xfId="1" applyFont="1" applyFill="1" applyBorder="1" applyAlignment="1">
      <alignment vertical="center"/>
    </xf>
    <xf numFmtId="0" fontId="38" fillId="0" borderId="14" xfId="1" applyFont="1" applyFill="1" applyBorder="1" applyAlignment="1">
      <alignment vertical="center"/>
    </xf>
    <xf numFmtId="0" fontId="55" fillId="0" borderId="4" xfId="1" applyFont="1" applyBorder="1" applyAlignment="1">
      <alignment horizontal="center" vertical="center" wrapText="1"/>
    </xf>
    <xf numFmtId="0" fontId="57" fillId="0" borderId="4" xfId="1" applyFont="1" applyBorder="1" applyAlignment="1">
      <alignment horizontal="center" vertical="center" wrapText="1"/>
    </xf>
    <xf numFmtId="0" fontId="59" fillId="0" borderId="7" xfId="1" applyFont="1" applyBorder="1" applyAlignment="1">
      <alignment horizontal="center"/>
    </xf>
    <xf numFmtId="0" fontId="59" fillId="0" borderId="8" xfId="1" applyFont="1" applyBorder="1" applyAlignment="1">
      <alignment horizontal="center"/>
    </xf>
    <xf numFmtId="0" fontId="59" fillId="0" borderId="6" xfId="1" applyFont="1" applyBorder="1" applyAlignment="1">
      <alignment horizontal="center"/>
    </xf>
    <xf numFmtId="0" fontId="40" fillId="0" borderId="7" xfId="1" applyFont="1" applyFill="1" applyBorder="1" applyAlignment="1">
      <alignment horizontal="left" vertical="center" wrapText="1"/>
    </xf>
    <xf numFmtId="0" fontId="40" fillId="0" borderId="8" xfId="1" applyFont="1" applyFill="1" applyBorder="1" applyAlignment="1">
      <alignment horizontal="left" vertical="center" wrapText="1"/>
    </xf>
    <xf numFmtId="0" fontId="40" fillId="0" borderId="6" xfId="1" applyFont="1" applyFill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113" fillId="0" borderId="0" xfId="0" applyFont="1" applyAlignment="1">
      <alignment horizontal="center"/>
    </xf>
    <xf numFmtId="0" fontId="70" fillId="0" borderId="4" xfId="0" applyFont="1" applyBorder="1" applyAlignment="1">
      <alignment horizontal="center" vertical="center"/>
    </xf>
    <xf numFmtId="0" fontId="113" fillId="37" borderId="4" xfId="0" applyFont="1" applyFill="1" applyBorder="1" applyAlignment="1">
      <alignment horizontal="right"/>
    </xf>
    <xf numFmtId="0" fontId="70" fillId="0" borderId="5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4" xfId="0" applyFont="1" applyBorder="1" applyAlignment="1">
      <alignment horizontal="center" vertical="center" wrapText="1"/>
    </xf>
    <xf numFmtId="0" fontId="70" fillId="0" borderId="7" xfId="0" applyFont="1" applyBorder="1" applyAlignment="1">
      <alignment horizontal="center" vertical="center"/>
    </xf>
    <xf numFmtId="0" fontId="70" fillId="0" borderId="8" xfId="0" applyFont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49" fontId="183" fillId="0" borderId="0" xfId="1972" applyNumberFormat="1" applyFont="1" applyFill="1" applyBorder="1" applyAlignment="1" applyProtection="1">
      <alignment horizontal="center" vertical="top"/>
    </xf>
    <xf numFmtId="49" fontId="181" fillId="0" borderId="0" xfId="1972" applyNumberFormat="1" applyFont="1" applyFill="1" applyBorder="1" applyAlignment="1" applyProtection="1">
      <alignment horizontal="left" vertical="top"/>
    </xf>
    <xf numFmtId="49" fontId="181" fillId="0" borderId="0" xfId="1972" applyNumberFormat="1" applyFont="1" applyFill="1" applyBorder="1" applyAlignment="1" applyProtection="1">
      <alignment vertical="top" wrapText="1"/>
    </xf>
    <xf numFmtId="49" fontId="181" fillId="0" borderId="0" xfId="1972" applyNumberFormat="1" applyFont="1" applyFill="1" applyBorder="1" applyAlignment="1" applyProtection="1">
      <alignment horizontal="left" vertical="top" wrapText="1"/>
    </xf>
    <xf numFmtId="49" fontId="182" fillId="0" borderId="8" xfId="1972" applyNumberFormat="1" applyFont="1" applyFill="1" applyBorder="1" applyAlignment="1" applyProtection="1">
      <alignment horizontal="left" wrapText="1"/>
    </xf>
    <xf numFmtId="49" fontId="182" fillId="0" borderId="0" xfId="1972" applyNumberFormat="1" applyFont="1" applyFill="1" applyBorder="1" applyAlignment="1" applyProtection="1">
      <alignment horizontal="left" vertical="top" wrapText="1"/>
    </xf>
    <xf numFmtId="49" fontId="182" fillId="0" borderId="0" xfId="1972" applyNumberFormat="1" applyFont="1" applyFill="1" applyBorder="1" applyAlignment="1" applyProtection="1">
      <alignment horizontal="left" vertical="top"/>
    </xf>
    <xf numFmtId="0" fontId="182" fillId="0" borderId="8" xfId="1972" applyNumberFormat="1" applyFont="1" applyFill="1" applyBorder="1" applyAlignment="1" applyProtection="1">
      <alignment horizontal="center"/>
    </xf>
    <xf numFmtId="49" fontId="182" fillId="0" borderId="0" xfId="1972" applyNumberFormat="1" applyFont="1" applyFill="1" applyBorder="1" applyAlignment="1" applyProtection="1">
      <alignment horizontal="center" wrapText="1"/>
    </xf>
    <xf numFmtId="49" fontId="185" fillId="0" borderId="2" xfId="1972" applyNumberFormat="1" applyFont="1" applyFill="1" applyBorder="1" applyAlignment="1" applyProtection="1">
      <alignment horizontal="center" vertical="top"/>
    </xf>
    <xf numFmtId="49" fontId="186" fillId="0" borderId="0" xfId="1972" applyNumberFormat="1" applyFont="1" applyFill="1" applyBorder="1" applyAlignment="1" applyProtection="1">
      <alignment horizontal="center"/>
    </xf>
    <xf numFmtId="49" fontId="182" fillId="0" borderId="10" xfId="1972" applyNumberFormat="1" applyFont="1" applyFill="1" applyBorder="1" applyAlignment="1" applyProtection="1">
      <alignment horizontal="center" wrapText="1"/>
    </xf>
    <xf numFmtId="49" fontId="185" fillId="0" borderId="2" xfId="1972" applyNumberFormat="1" applyFont="1" applyFill="1" applyBorder="1" applyAlignment="1" applyProtection="1">
      <alignment horizontal="center"/>
    </xf>
    <xf numFmtId="2" fontId="182" fillId="0" borderId="8" xfId="1972" applyNumberFormat="1" applyFont="1" applyFill="1" applyBorder="1" applyAlignment="1" applyProtection="1">
      <alignment horizontal="right"/>
    </xf>
    <xf numFmtId="49" fontId="181" fillId="0" borderId="12" xfId="1972" applyNumberFormat="1" applyFont="1" applyFill="1" applyBorder="1" applyAlignment="1" applyProtection="1">
      <alignment horizontal="left" vertical="top" wrapText="1"/>
    </xf>
    <xf numFmtId="49" fontId="181" fillId="0" borderId="4" xfId="1972" applyNumberFormat="1" applyFont="1" applyFill="1" applyBorder="1" applyAlignment="1" applyProtection="1">
      <alignment horizontal="center" vertical="center" wrapText="1"/>
    </xf>
    <xf numFmtId="0" fontId="181" fillId="0" borderId="4" xfId="1972" applyNumberFormat="1" applyFont="1" applyFill="1" applyBorder="1" applyAlignment="1" applyProtection="1">
      <alignment horizontal="center" vertical="center" wrapText="1"/>
    </xf>
    <xf numFmtId="0" fontId="181" fillId="0" borderId="4" xfId="1972" applyNumberFormat="1" applyFont="1" applyFill="1" applyBorder="1" applyAlignment="1" applyProtection="1">
      <alignment horizontal="center" vertical="center"/>
    </xf>
    <xf numFmtId="49" fontId="188" fillId="0" borderId="7" xfId="1972" applyNumberFormat="1" applyFont="1" applyFill="1" applyBorder="1" applyAlignment="1" applyProtection="1">
      <alignment horizontal="left" vertical="center" wrapText="1"/>
    </xf>
    <xf numFmtId="49" fontId="188" fillId="0" borderId="8" xfId="1972" applyNumberFormat="1" applyFont="1" applyFill="1" applyBorder="1" applyAlignment="1" applyProtection="1">
      <alignment horizontal="left" vertical="center" wrapText="1"/>
    </xf>
    <xf numFmtId="49" fontId="188" fillId="0" borderId="6" xfId="1972" applyNumberFormat="1" applyFont="1" applyFill="1" applyBorder="1" applyAlignment="1" applyProtection="1">
      <alignment horizontal="left" vertical="center" wrapText="1"/>
    </xf>
    <xf numFmtId="49" fontId="183" fillId="0" borderId="2" xfId="1972" applyNumberFormat="1" applyFont="1" applyFill="1" applyBorder="1" applyAlignment="1" applyProtection="1">
      <alignment horizontal="left" vertical="top" wrapText="1"/>
    </xf>
    <xf numFmtId="49" fontId="181" fillId="0" borderId="2" xfId="1972" applyNumberFormat="1" applyFont="1" applyFill="1" applyBorder="1" applyAlignment="1" applyProtection="1">
      <alignment horizontal="left" vertical="top" wrapText="1"/>
    </xf>
    <xf numFmtId="0" fontId="185" fillId="0" borderId="2" xfId="1972" applyNumberFormat="1" applyFont="1" applyFill="1" applyBorder="1" applyAlignment="1" applyProtection="1">
      <alignment horizontal="center" vertical="center"/>
    </xf>
    <xf numFmtId="49" fontId="183" fillId="0" borderId="0" xfId="1972" applyNumberFormat="1" applyFont="1" applyFill="1" applyBorder="1" applyAlignment="1" applyProtection="1">
      <alignment horizontal="left" vertical="top" wrapText="1"/>
    </xf>
    <xf numFmtId="0" fontId="182" fillId="0" borderId="10" xfId="1972" applyNumberFormat="1" applyFont="1" applyFill="1" applyBorder="1" applyAlignment="1" applyProtection="1">
      <alignment horizontal="left" vertical="top"/>
    </xf>
    <xf numFmtId="0" fontId="114" fillId="0" borderId="0" xfId="0" applyFont="1" applyBorder="1" applyAlignment="1">
      <alignment horizontal="left" vertical="top" wrapText="1"/>
    </xf>
    <xf numFmtId="49" fontId="70" fillId="0" borderId="0" xfId="0" applyNumberFormat="1" applyFont="1" applyFill="1" applyBorder="1" applyAlignment="1">
      <alignment horizontal="justify" vertical="center" wrapText="1"/>
    </xf>
    <xf numFmtId="0" fontId="113" fillId="0" borderId="0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top" wrapText="1"/>
    </xf>
    <xf numFmtId="0" fontId="114" fillId="0" borderId="0" xfId="0" applyFont="1" applyFill="1" applyBorder="1" applyAlignment="1">
      <alignment vertical="center" wrapText="1"/>
    </xf>
    <xf numFmtId="0" fontId="59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wrapText="1"/>
    </xf>
    <xf numFmtId="0" fontId="114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114" fillId="0" borderId="0" xfId="0" applyFont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 wrapText="1"/>
    </xf>
    <xf numFmtId="0" fontId="59" fillId="0" borderId="0" xfId="63" applyFont="1" applyAlignment="1">
      <alignment horizontal="center"/>
    </xf>
    <xf numFmtId="0" fontId="117" fillId="0" borderId="2" xfId="63" applyFont="1" applyBorder="1" applyAlignment="1">
      <alignment horizontal="center"/>
    </xf>
    <xf numFmtId="0" fontId="59" fillId="0" borderId="0" xfId="63" applyFont="1" applyAlignment="1">
      <alignment horizontal="left" vertical="center" wrapText="1"/>
    </xf>
    <xf numFmtId="0" fontId="175" fillId="0" borderId="0" xfId="63" applyFont="1" applyFill="1" applyAlignment="1">
      <alignment horizontal="left" vertical="center" wrapText="1"/>
    </xf>
    <xf numFmtId="49" fontId="114" fillId="0" borderId="0" xfId="63" applyNumberFormat="1" applyFont="1" applyAlignment="1">
      <alignment horizontal="left" vertical="center" wrapText="1"/>
    </xf>
    <xf numFmtId="49" fontId="114" fillId="0" borderId="0" xfId="63" applyNumberFormat="1" applyFont="1" applyAlignment="1">
      <alignment horizontal="left" wrapText="1"/>
    </xf>
    <xf numFmtId="0" fontId="59" fillId="0" borderId="0" xfId="63" applyFont="1" applyAlignment="1">
      <alignment horizontal="left" wrapText="1"/>
    </xf>
    <xf numFmtId="49" fontId="114" fillId="0" borderId="0" xfId="63" applyNumberFormat="1" applyFont="1" applyFill="1" applyAlignment="1">
      <alignment horizontal="left" wrapText="1"/>
    </xf>
    <xf numFmtId="49" fontId="107" fillId="2" borderId="0" xfId="63" applyNumberFormat="1" applyFont="1" applyFill="1" applyBorder="1" applyAlignment="1">
      <alignment horizontal="left" vertical="center" wrapText="1"/>
    </xf>
    <xf numFmtId="0" fontId="113" fillId="0" borderId="0" xfId="0" applyFont="1" applyAlignment="1">
      <alignment horizontal="center" vertical="center"/>
    </xf>
    <xf numFmtId="0" fontId="113" fillId="0" borderId="0" xfId="0" quotePrefix="1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70" fillId="6" borderId="4" xfId="0" applyFont="1" applyFill="1" applyBorder="1" applyAlignment="1">
      <alignment horizontal="center" vertical="center" wrapText="1"/>
    </xf>
    <xf numFmtId="0" fontId="70" fillId="6" borderId="5" xfId="0" applyFont="1" applyFill="1" applyBorder="1" applyAlignment="1">
      <alignment horizontal="center" vertical="center" wrapText="1"/>
    </xf>
    <xf numFmtId="0" fontId="70" fillId="6" borderId="9" xfId="0" applyFont="1" applyFill="1" applyBorder="1" applyAlignment="1">
      <alignment horizontal="center" vertical="center" wrapText="1"/>
    </xf>
    <xf numFmtId="0" fontId="70" fillId="6" borderId="11" xfId="0" applyFont="1" applyFill="1" applyBorder="1" applyAlignment="1">
      <alignment horizontal="center" vertical="center" wrapText="1"/>
    </xf>
    <xf numFmtId="0" fontId="70" fillId="6" borderId="1" xfId="0" applyFont="1" applyFill="1" applyBorder="1" applyAlignment="1">
      <alignment horizontal="center" vertical="center" wrapText="1"/>
    </xf>
    <xf numFmtId="0" fontId="70" fillId="6" borderId="2" xfId="0" applyFont="1" applyFill="1" applyBorder="1" applyAlignment="1">
      <alignment horizontal="center" vertical="center" wrapText="1"/>
    </xf>
    <xf numFmtId="0" fontId="70" fillId="6" borderId="3" xfId="0" applyFont="1" applyFill="1" applyBorder="1" applyAlignment="1">
      <alignment horizontal="center" vertical="center" wrapText="1"/>
    </xf>
    <xf numFmtId="0" fontId="70" fillId="6" borderId="15" xfId="0" applyFont="1" applyFill="1" applyBorder="1" applyAlignment="1">
      <alignment horizontal="center" vertical="center" wrapText="1"/>
    </xf>
    <xf numFmtId="0" fontId="70" fillId="6" borderId="10" xfId="0" applyFont="1" applyFill="1" applyBorder="1" applyAlignment="1">
      <alignment horizontal="center" vertical="center" wrapText="1"/>
    </xf>
    <xf numFmtId="0" fontId="70" fillId="6" borderId="13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 vertical="center" wrapText="1"/>
    </xf>
    <xf numFmtId="0" fontId="114" fillId="29" borderId="7" xfId="0" applyFont="1" applyFill="1" applyBorder="1" applyAlignment="1">
      <alignment horizontal="center" vertical="center" wrapText="1"/>
    </xf>
    <xf numFmtId="0" fontId="114" fillId="29" borderId="8" xfId="0" applyFont="1" applyFill="1" applyBorder="1" applyAlignment="1">
      <alignment horizontal="center" vertical="center" wrapText="1"/>
    </xf>
    <xf numFmtId="0" fontId="114" fillId="29" borderId="6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left" vertical="center" wrapText="1"/>
    </xf>
    <xf numFmtId="0" fontId="59" fillId="4" borderId="6" xfId="0" applyFont="1" applyFill="1" applyBorder="1" applyAlignment="1">
      <alignment horizontal="left" vertical="center" wrapText="1"/>
    </xf>
    <xf numFmtId="0" fontId="114" fillId="0" borderId="0" xfId="0" applyFont="1" applyAlignment="1">
      <alignment horizontal="left" wrapText="1"/>
    </xf>
    <xf numFmtId="0" fontId="114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 wrapText="1"/>
    </xf>
    <xf numFmtId="0" fontId="59" fillId="0" borderId="0" xfId="0" quotePrefix="1" applyFont="1" applyAlignment="1">
      <alignment horizontal="left" vertical="center" wrapText="1"/>
    </xf>
    <xf numFmtId="0" fontId="114" fillId="0" borderId="0" xfId="0" applyFont="1" applyAlignment="1">
      <alignment horizontal="left" vertical="center" wrapText="1"/>
    </xf>
    <xf numFmtId="0" fontId="114" fillId="0" borderId="5" xfId="0" applyFont="1" applyBorder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0" fontId="114" fillId="0" borderId="5" xfId="0" applyFont="1" applyBorder="1" applyAlignment="1">
      <alignment horizontal="center" vertical="center"/>
    </xf>
    <xf numFmtId="0" fontId="114" fillId="0" borderId="11" xfId="0" applyFont="1" applyBorder="1" applyAlignment="1">
      <alignment horizontal="center" vertical="center"/>
    </xf>
    <xf numFmtId="0" fontId="110" fillId="0" borderId="0" xfId="0" applyFont="1" applyAlignment="1">
      <alignment horizontal="center"/>
    </xf>
    <xf numFmtId="0" fontId="112" fillId="0" borderId="0" xfId="0" applyFont="1" applyAlignment="1">
      <alignment horizontal="left" wrapText="1"/>
    </xf>
    <xf numFmtId="0" fontId="116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114" fillId="0" borderId="7" xfId="0" applyFont="1" applyBorder="1" applyAlignment="1">
      <alignment horizontal="center"/>
    </xf>
    <xf numFmtId="0" fontId="114" fillId="0" borderId="8" xfId="0" applyFont="1" applyBorder="1" applyAlignment="1">
      <alignment horizontal="center"/>
    </xf>
    <xf numFmtId="0" fontId="114" fillId="0" borderId="6" xfId="0" applyFont="1" applyBorder="1" applyAlignment="1">
      <alignment horizontal="center"/>
    </xf>
    <xf numFmtId="0" fontId="114" fillId="4" borderId="4" xfId="0" applyFont="1" applyFill="1" applyBorder="1" applyAlignment="1">
      <alignment horizontal="left" vertical="top"/>
    </xf>
    <xf numFmtId="0" fontId="114" fillId="0" borderId="7" xfId="0" applyFont="1" applyBorder="1" applyAlignment="1">
      <alignment horizontal="left" wrapText="1"/>
    </xf>
    <xf numFmtId="0" fontId="114" fillId="0" borderId="8" xfId="0" applyFont="1" applyBorder="1" applyAlignment="1">
      <alignment horizontal="left" wrapText="1"/>
    </xf>
    <xf numFmtId="0" fontId="114" fillId="0" borderId="6" xfId="0" applyFont="1" applyBorder="1" applyAlignment="1">
      <alignment horizontal="left" wrapText="1"/>
    </xf>
    <xf numFmtId="0" fontId="114" fillId="4" borderId="4" xfId="0" applyFont="1" applyFill="1" applyBorder="1" applyAlignment="1">
      <alignment horizontal="left" vertical="center"/>
    </xf>
    <xf numFmtId="0" fontId="114" fillId="0" borderId="4" xfId="0" applyFont="1" applyBorder="1" applyAlignment="1">
      <alignment horizontal="left" wrapText="1"/>
    </xf>
    <xf numFmtId="49" fontId="59" fillId="2" borderId="7" xfId="63" applyNumberFormat="1" applyFont="1" applyFill="1" applyBorder="1" applyAlignment="1">
      <alignment horizontal="right" vertical="center" wrapText="1"/>
    </xf>
    <xf numFmtId="49" fontId="59" fillId="2" borderId="8" xfId="63" applyNumberFormat="1" applyFont="1" applyFill="1" applyBorder="1" applyAlignment="1">
      <alignment horizontal="right" vertical="center" wrapText="1"/>
    </xf>
    <xf numFmtId="49" fontId="59" fillId="2" borderId="6" xfId="63" applyNumberFormat="1" applyFont="1" applyFill="1" applyBorder="1" applyAlignment="1">
      <alignment horizontal="right" vertical="center" wrapText="1"/>
    </xf>
    <xf numFmtId="0" fontId="59" fillId="2" borderId="7" xfId="63" applyFont="1" applyFill="1" applyBorder="1" applyAlignment="1">
      <alignment horizontal="center" vertical="center" wrapText="1"/>
    </xf>
    <xf numFmtId="0" fontId="59" fillId="2" borderId="8" xfId="63" applyFont="1" applyFill="1" applyBorder="1" applyAlignment="1">
      <alignment horizontal="center" vertical="center" wrapText="1"/>
    </xf>
    <xf numFmtId="0" fontId="59" fillId="2" borderId="1" xfId="63" applyFont="1" applyFill="1" applyBorder="1" applyAlignment="1">
      <alignment horizontal="center" vertical="center" wrapText="1"/>
    </xf>
    <xf numFmtId="0" fontId="59" fillId="2" borderId="2" xfId="63" applyFont="1" applyFill="1" applyBorder="1" applyAlignment="1">
      <alignment horizontal="center" vertical="center" wrapText="1"/>
    </xf>
    <xf numFmtId="0" fontId="59" fillId="2" borderId="3" xfId="63" applyFont="1" applyFill="1" applyBorder="1" applyAlignment="1">
      <alignment horizontal="center" vertical="center" wrapText="1"/>
    </xf>
    <xf numFmtId="49" fontId="59" fillId="2" borderId="5" xfId="63" applyNumberFormat="1" applyFont="1" applyFill="1" applyBorder="1" applyAlignment="1">
      <alignment horizontal="center" vertical="center" wrapText="1"/>
    </xf>
    <xf numFmtId="49" fontId="59" fillId="2" borderId="11" xfId="63" applyNumberFormat="1" applyFont="1" applyFill="1" applyBorder="1" applyAlignment="1">
      <alignment horizontal="center" vertical="center" wrapText="1"/>
    </xf>
    <xf numFmtId="0" fontId="40" fillId="2" borderId="5" xfId="63" applyFont="1" applyFill="1" applyBorder="1" applyAlignment="1">
      <alignment horizontal="center"/>
    </xf>
    <xf numFmtId="0" fontId="40" fillId="2" borderId="11" xfId="63" applyFont="1" applyFill="1" applyBorder="1" applyAlignment="1">
      <alignment horizontal="center"/>
    </xf>
    <xf numFmtId="49" fontId="59" fillId="2" borderId="9" xfId="63" applyNumberFormat="1" applyFont="1" applyFill="1" applyBorder="1" applyAlignment="1">
      <alignment horizontal="center" vertical="center" wrapText="1"/>
    </xf>
    <xf numFmtId="0" fontId="59" fillId="2" borderId="4" xfId="63" applyFont="1" applyFill="1" applyBorder="1" applyAlignment="1">
      <alignment horizontal="center"/>
    </xf>
    <xf numFmtId="0" fontId="59" fillId="2" borderId="0" xfId="63" applyFont="1" applyFill="1" applyAlignment="1">
      <alignment horizontal="center" vertical="center" wrapText="1"/>
    </xf>
    <xf numFmtId="0" fontId="114" fillId="2" borderId="0" xfId="63" applyFont="1" applyFill="1" applyAlignment="1">
      <alignment horizontal="left" vertical="top" wrapText="1"/>
    </xf>
    <xf numFmtId="0" fontId="114" fillId="2" borderId="0" xfId="63" applyFont="1" applyFill="1" applyAlignment="1">
      <alignment horizontal="left" vertical="top"/>
    </xf>
    <xf numFmtId="0" fontId="59" fillId="2" borderId="0" xfId="63" applyFont="1" applyFill="1" applyAlignment="1">
      <alignment horizontal="left" vertical="center" wrapText="1"/>
    </xf>
    <xf numFmtId="0" fontId="113" fillId="2" borderId="0" xfId="0" applyFont="1" applyFill="1" applyAlignment="1">
      <alignment horizontal="left" vertical="center"/>
    </xf>
    <xf numFmtId="0" fontId="114" fillId="2" borderId="0" xfId="63" applyFont="1" applyFill="1" applyAlignment="1">
      <alignment horizontal="left" vertical="center" wrapText="1"/>
    </xf>
    <xf numFmtId="0" fontId="59" fillId="2" borderId="0" xfId="0" applyFont="1" applyFill="1" applyAlignment="1">
      <alignment horizontal="left" vertical="center"/>
    </xf>
    <xf numFmtId="0" fontId="59" fillId="2" borderId="0" xfId="63" applyFont="1" applyFill="1" applyAlignment="1">
      <alignment horizontal="left" vertical="top" wrapText="1"/>
    </xf>
    <xf numFmtId="0" fontId="39" fillId="0" borderId="0" xfId="1928" applyFont="1" applyBorder="1" applyAlignment="1">
      <alignment horizontal="left" vertical="top" wrapText="1"/>
    </xf>
    <xf numFmtId="0" fontId="120" fillId="0" borderId="2" xfId="1928" applyFont="1" applyBorder="1" applyAlignment="1">
      <alignment horizontal="center" vertical="top" wrapText="1"/>
    </xf>
    <xf numFmtId="0" fontId="120" fillId="0" borderId="0" xfId="1928" applyFont="1" applyBorder="1" applyAlignment="1">
      <alignment horizontal="center" vertical="top" wrapText="1"/>
    </xf>
    <xf numFmtId="0" fontId="61" fillId="0" borderId="0" xfId="1928" applyFont="1" applyAlignment="1">
      <alignment horizontal="center"/>
    </xf>
    <xf numFmtId="0" fontId="39" fillId="0" borderId="0" xfId="1970" applyFont="1" applyAlignment="1">
      <alignment horizontal="center"/>
    </xf>
    <xf numFmtId="0" fontId="61" fillId="0" borderId="10" xfId="1928" applyFont="1" applyBorder="1" applyAlignment="1">
      <alignment horizontal="center" vertical="top" wrapText="1"/>
    </xf>
    <xf numFmtId="0" fontId="121" fillId="0" borderId="0" xfId="1970" applyFont="1" applyBorder="1" applyAlignment="1">
      <alignment horizontal="center" vertical="top"/>
    </xf>
    <xf numFmtId="0" fontId="38" fillId="0" borderId="5" xfId="1970" applyFont="1" applyBorder="1" applyAlignment="1">
      <alignment vertical="top" wrapText="1"/>
    </xf>
    <xf numFmtId="0" fontId="1" fillId="0" borderId="9" xfId="1970" applyBorder="1" applyAlignment="1">
      <alignment vertical="top" wrapText="1"/>
    </xf>
    <xf numFmtId="0" fontId="1" fillId="0" borderId="11" xfId="1970" applyBorder="1" applyAlignment="1">
      <alignment vertical="top" wrapText="1"/>
    </xf>
    <xf numFmtId="0" fontId="124" fillId="0" borderId="5" xfId="1970" applyFont="1" applyBorder="1" applyAlignment="1">
      <alignment horizontal="left" vertical="top" wrapText="1"/>
    </xf>
    <xf numFmtId="0" fontId="125" fillId="0" borderId="5" xfId="1970" applyFont="1" applyBorder="1" applyAlignment="1">
      <alignment horizontal="left" vertical="top" wrapText="1"/>
    </xf>
    <xf numFmtId="0" fontId="39" fillId="0" borderId="10" xfId="1928" applyFont="1" applyBorder="1" applyAlignment="1">
      <alignment horizontal="left" vertical="top" wrapText="1"/>
    </xf>
    <xf numFmtId="0" fontId="123" fillId="0" borderId="5" xfId="1970" applyFont="1" applyBorder="1" applyAlignment="1">
      <alignment horizontal="left" vertical="top" wrapText="1"/>
    </xf>
    <xf numFmtId="0" fontId="111" fillId="0" borderId="5" xfId="1970" applyFont="1" applyBorder="1" applyAlignment="1">
      <alignment horizontal="left" vertical="top" wrapText="1"/>
    </xf>
    <xf numFmtId="0" fontId="61" fillId="0" borderId="5" xfId="1970" applyFont="1" applyBorder="1" applyAlignment="1">
      <alignment horizontal="left" vertical="top" wrapText="1"/>
    </xf>
    <xf numFmtId="0" fontId="111" fillId="0" borderId="5" xfId="1970" applyFont="1" applyBorder="1" applyAlignment="1">
      <alignment vertical="top" wrapText="1"/>
    </xf>
    <xf numFmtId="0" fontId="39" fillId="0" borderId="5" xfId="1970" applyFont="1" applyBorder="1" applyAlignment="1">
      <alignment horizontal="left" vertical="top" wrapText="1"/>
    </xf>
    <xf numFmtId="0" fontId="1" fillId="0" borderId="5" xfId="1970" applyFont="1" applyBorder="1" applyAlignment="1">
      <alignment vertical="top" wrapText="1"/>
    </xf>
    <xf numFmtId="0" fontId="1" fillId="0" borderId="5" xfId="1970" applyFont="1" applyBorder="1" applyAlignment="1">
      <alignment horizontal="left" vertical="top" wrapText="1"/>
    </xf>
    <xf numFmtId="0" fontId="61" fillId="0" borderId="4" xfId="1970" applyFont="1" applyBorder="1" applyAlignment="1">
      <alignment horizontal="left" vertical="top" wrapText="1"/>
    </xf>
    <xf numFmtId="0" fontId="111" fillId="0" borderId="4" xfId="1970" applyFont="1" applyBorder="1" applyAlignment="1">
      <alignment vertical="top" wrapText="1"/>
    </xf>
    <xf numFmtId="0" fontId="113" fillId="0" borderId="0" xfId="109" quotePrefix="1" applyFont="1" applyFill="1" applyAlignment="1">
      <alignment horizontal="center" vertical="center" wrapText="1"/>
    </xf>
    <xf numFmtId="0" fontId="70" fillId="0" borderId="0" xfId="132" applyFont="1" applyFill="1" applyAlignment="1">
      <alignment wrapText="1"/>
    </xf>
    <xf numFmtId="0" fontId="70" fillId="0" borderId="0" xfId="108" quotePrefix="1" applyFont="1" applyFill="1" applyAlignment="1">
      <alignment horizontal="center" vertical="top" wrapText="1"/>
    </xf>
    <xf numFmtId="0" fontId="113" fillId="0" borderId="0" xfId="107" quotePrefix="1" applyFont="1" applyFill="1" applyAlignment="1">
      <alignment horizontal="left" vertical="top" wrapText="1"/>
    </xf>
    <xf numFmtId="0" fontId="113" fillId="0" borderId="0" xfId="102" quotePrefix="1" applyFont="1" applyFill="1" applyAlignment="1">
      <alignment horizontal="left" vertical="top" wrapText="1"/>
    </xf>
    <xf numFmtId="0" fontId="113" fillId="0" borderId="0" xfId="132" applyFont="1" applyFill="1" applyAlignment="1">
      <alignment wrapText="1"/>
    </xf>
    <xf numFmtId="0" fontId="70" fillId="0" borderId="0" xfId="87" quotePrefix="1" applyFont="1" applyFill="1" applyAlignment="1">
      <alignment horizontal="left" vertical="center" wrapText="1"/>
    </xf>
    <xf numFmtId="0" fontId="113" fillId="0" borderId="0" xfId="92" quotePrefix="1" applyFont="1" applyFill="1" applyAlignment="1">
      <alignment horizontal="left" vertical="center" wrapText="1"/>
    </xf>
    <xf numFmtId="0" fontId="70" fillId="0" borderId="0" xfId="102" quotePrefix="1" applyFont="1" applyFill="1" applyAlignment="1">
      <alignment horizontal="left" vertical="top" wrapText="1"/>
    </xf>
    <xf numFmtId="4" fontId="70" fillId="0" borderId="5" xfId="99" applyNumberFormat="1" applyFont="1" applyFill="1" applyBorder="1" applyAlignment="1">
      <alignment horizontal="center" vertical="center" wrapText="1"/>
    </xf>
    <xf numFmtId="4" fontId="70" fillId="0" borderId="9" xfId="99" applyNumberFormat="1" applyFont="1" applyFill="1" applyBorder="1" applyAlignment="1">
      <alignment horizontal="center" vertical="center" wrapText="1"/>
    </xf>
    <xf numFmtId="4" fontId="70" fillId="0" borderId="11" xfId="99" applyNumberFormat="1" applyFont="1" applyFill="1" applyBorder="1" applyAlignment="1">
      <alignment horizontal="center" vertical="center" wrapText="1"/>
    </xf>
    <xf numFmtId="0" fontId="70" fillId="0" borderId="4" xfId="93" quotePrefix="1" applyFont="1" applyFill="1" applyBorder="1" applyAlignment="1">
      <alignment horizontal="center" vertical="center" wrapText="1"/>
    </xf>
    <xf numFmtId="0" fontId="70" fillId="0" borderId="4" xfId="95" quotePrefix="1" applyFont="1" applyFill="1" applyBorder="1" applyAlignment="1">
      <alignment horizontal="center" vertical="center" wrapText="1"/>
    </xf>
    <xf numFmtId="0" fontId="70" fillId="0" borderId="4" xfId="0" applyFont="1" applyBorder="1" applyAlignment="1">
      <alignment horizontal="center" wrapText="1"/>
    </xf>
    <xf numFmtId="0" fontId="70" fillId="0" borderId="4" xfId="95" quotePrefix="1" applyFont="1" applyFill="1" applyBorder="1" applyAlignment="1">
      <alignment horizontal="left" vertical="center" wrapText="1"/>
    </xf>
    <xf numFmtId="0" fontId="70" fillId="0" borderId="7" xfId="106" quotePrefix="1" applyFont="1" applyFill="1" applyBorder="1" applyAlignment="1">
      <alignment horizontal="left" vertical="top" wrapText="1"/>
    </xf>
    <xf numFmtId="0" fontId="70" fillId="0" borderId="8" xfId="106" quotePrefix="1" applyFont="1" applyFill="1" applyBorder="1" applyAlignment="1">
      <alignment horizontal="left" vertical="top" wrapText="1"/>
    </xf>
    <xf numFmtId="0" fontId="70" fillId="0" borderId="6" xfId="106" quotePrefix="1" applyFont="1" applyFill="1" applyBorder="1" applyAlignment="1">
      <alignment horizontal="left" vertical="top" wrapText="1"/>
    </xf>
    <xf numFmtId="0" fontId="70" fillId="0" borderId="5" xfId="95" quotePrefix="1" applyFont="1" applyFill="1" applyBorder="1" applyAlignment="1">
      <alignment horizontal="center" vertical="center" wrapText="1"/>
    </xf>
    <xf numFmtId="0" fontId="70" fillId="0" borderId="9" xfId="95" quotePrefix="1" applyFont="1" applyFill="1" applyBorder="1" applyAlignment="1">
      <alignment horizontal="center" vertical="center" wrapText="1"/>
    </xf>
    <xf numFmtId="0" fontId="70" fillId="0" borderId="11" xfId="95" quotePrefix="1" applyFont="1" applyFill="1" applyBorder="1" applyAlignment="1">
      <alignment horizontal="center" vertical="center" wrapText="1"/>
    </xf>
    <xf numFmtId="0" fontId="55" fillId="0" borderId="0" xfId="1932" applyFont="1" applyAlignment="1" applyProtection="1">
      <alignment horizontal="center" vertical="center"/>
    </xf>
    <xf numFmtId="0" fontId="56" fillId="0" borderId="0" xfId="1932" applyFont="1" applyFill="1" applyAlignment="1" applyProtection="1">
      <alignment horizontal="center"/>
      <protection locked="0"/>
    </xf>
    <xf numFmtId="0" fontId="56" fillId="0" borderId="8" xfId="1932" applyFont="1" applyFill="1" applyBorder="1" applyAlignment="1">
      <alignment horizontal="center" wrapText="1"/>
    </xf>
    <xf numFmtId="0" fontId="56" fillId="0" borderId="8" xfId="1932" applyFont="1" applyFill="1" applyBorder="1" applyAlignment="1">
      <alignment horizontal="center"/>
    </xf>
    <xf numFmtId="0" fontId="134" fillId="0" borderId="25" xfId="151" applyFont="1" applyBorder="1" applyAlignment="1">
      <alignment horizontal="center" wrapText="1"/>
    </xf>
    <xf numFmtId="0" fontId="134" fillId="0" borderId="26" xfId="151" applyFont="1" applyBorder="1" applyAlignment="1">
      <alignment horizontal="center" wrapText="1"/>
    </xf>
    <xf numFmtId="0" fontId="134" fillId="0" borderId="27" xfId="151" applyFont="1" applyBorder="1" applyAlignment="1">
      <alignment horizontal="center" wrapText="1"/>
    </xf>
    <xf numFmtId="0" fontId="135" fillId="0" borderId="30" xfId="151" applyFont="1" applyBorder="1" applyAlignment="1">
      <alignment horizontal="center" vertical="center" wrapText="1"/>
    </xf>
    <xf numFmtId="0" fontId="135" fillId="0" borderId="31" xfId="151" applyFont="1" applyBorder="1" applyAlignment="1">
      <alignment horizontal="center" vertical="center" wrapText="1"/>
    </xf>
    <xf numFmtId="0" fontId="135" fillId="0" borderId="33" xfId="151" applyFont="1" applyBorder="1" applyAlignment="1">
      <alignment horizontal="center" vertical="center" wrapText="1"/>
    </xf>
    <xf numFmtId="0" fontId="135" fillId="0" borderId="34" xfId="151" applyFont="1" applyBorder="1" applyAlignment="1">
      <alignment horizontal="center" vertical="center" wrapText="1"/>
    </xf>
    <xf numFmtId="0" fontId="135" fillId="0" borderId="37" xfId="151" applyFont="1" applyBorder="1" applyAlignment="1">
      <alignment horizontal="center" vertical="center" wrapText="1"/>
    </xf>
    <xf numFmtId="0" fontId="135" fillId="0" borderId="38" xfId="151" applyFont="1" applyBorder="1" applyAlignment="1">
      <alignment horizontal="center" vertical="center" wrapText="1"/>
    </xf>
    <xf numFmtId="1" fontId="55" fillId="0" borderId="30" xfId="151" applyNumberFormat="1" applyFont="1" applyBorder="1" applyAlignment="1">
      <alignment horizontal="center" vertical="center" wrapText="1"/>
    </xf>
    <xf numFmtId="1" fontId="55" fillId="0" borderId="29" xfId="151" applyNumberFormat="1" applyFont="1" applyBorder="1" applyAlignment="1">
      <alignment horizontal="center" vertical="center" wrapText="1"/>
    </xf>
    <xf numFmtId="1" fontId="55" fillId="0" borderId="33" xfId="151" applyNumberFormat="1" applyFont="1" applyBorder="1" applyAlignment="1">
      <alignment horizontal="center" vertical="center" wrapText="1"/>
    </xf>
    <xf numFmtId="1" fontId="55" fillId="0" borderId="0" xfId="151" applyNumberFormat="1" applyFont="1" applyBorder="1" applyAlignment="1">
      <alignment horizontal="center" vertical="center" wrapText="1"/>
    </xf>
    <xf numFmtId="1" fontId="55" fillId="0" borderId="37" xfId="151" applyNumberFormat="1" applyFont="1" applyBorder="1" applyAlignment="1">
      <alignment horizontal="center" vertical="center" wrapText="1"/>
    </xf>
    <xf numFmtId="1" fontId="55" fillId="0" borderId="36" xfId="151" applyNumberFormat="1" applyFont="1" applyBorder="1" applyAlignment="1">
      <alignment horizontal="center" vertical="center" wrapText="1"/>
    </xf>
    <xf numFmtId="1" fontId="60" fillId="0" borderId="28" xfId="151" applyNumberFormat="1" applyFont="1" applyBorder="1" applyAlignment="1">
      <alignment horizontal="center" vertical="center" wrapText="1"/>
    </xf>
    <xf numFmtId="1" fontId="60" fillId="0" borderId="32" xfId="151" applyNumberFormat="1" applyFont="1" applyBorder="1" applyAlignment="1">
      <alignment horizontal="center" vertical="center" wrapText="1"/>
    </xf>
    <xf numFmtId="1" fontId="60" fillId="0" borderId="35" xfId="151" applyNumberFormat="1" applyFont="1" applyBorder="1" applyAlignment="1">
      <alignment horizontal="center" vertical="center" wrapText="1"/>
    </xf>
    <xf numFmtId="0" fontId="55" fillId="0" borderId="25" xfId="151" applyFont="1" applyBorder="1" applyAlignment="1">
      <alignment horizontal="center"/>
    </xf>
    <xf numFmtId="0" fontId="55" fillId="0" borderId="26" xfId="151" applyFont="1" applyBorder="1" applyAlignment="1">
      <alignment horizontal="center"/>
    </xf>
    <xf numFmtId="0" fontId="55" fillId="0" borderId="27" xfId="151" applyFont="1" applyBorder="1" applyAlignment="1">
      <alignment horizontal="center"/>
    </xf>
    <xf numFmtId="0" fontId="55" fillId="0" borderId="29" xfId="151" applyFont="1" applyBorder="1" applyAlignment="1">
      <alignment horizontal="center"/>
    </xf>
    <xf numFmtId="0" fontId="56" fillId="0" borderId="40" xfId="151" applyFont="1" applyBorder="1" applyAlignment="1">
      <alignment horizontal="center" vertical="center"/>
    </xf>
    <xf numFmtId="0" fontId="56" fillId="0" borderId="43" xfId="151" applyFont="1" applyBorder="1" applyAlignment="1">
      <alignment horizontal="center" vertical="center"/>
    </xf>
    <xf numFmtId="0" fontId="56" fillId="0" borderId="45" xfId="151" applyFont="1" applyBorder="1" applyAlignment="1">
      <alignment horizontal="center" vertical="center"/>
    </xf>
    <xf numFmtId="0" fontId="56" fillId="0" borderId="30" xfId="151" applyFont="1" applyBorder="1" applyAlignment="1">
      <alignment vertical="center"/>
    </xf>
    <xf numFmtId="0" fontId="56" fillId="0" borderId="33" xfId="151" applyFont="1" applyBorder="1" applyAlignment="1">
      <alignment vertical="center"/>
    </xf>
    <xf numFmtId="0" fontId="56" fillId="0" borderId="29" xfId="151" applyFont="1" applyBorder="1" applyAlignment="1">
      <alignment vertical="center"/>
    </xf>
    <xf numFmtId="0" fontId="56" fillId="0" borderId="0" xfId="151" applyFont="1" applyBorder="1" applyAlignment="1">
      <alignment vertical="center"/>
    </xf>
    <xf numFmtId="2" fontId="56" fillId="0" borderId="29" xfId="151" applyNumberFormat="1" applyFont="1" applyBorder="1" applyAlignment="1">
      <alignment vertical="center"/>
    </xf>
    <xf numFmtId="2" fontId="56" fillId="0" borderId="0" xfId="151" applyNumberFormat="1" applyFont="1" applyBorder="1" applyAlignment="1">
      <alignment vertical="center"/>
    </xf>
    <xf numFmtId="179" fontId="56" fillId="0" borderId="28" xfId="151" applyNumberFormat="1" applyFont="1" applyBorder="1" applyAlignment="1">
      <alignment horizontal="right" vertical="center"/>
    </xf>
    <xf numFmtId="179" fontId="56" fillId="0" borderId="32" xfId="151" applyNumberFormat="1" applyFont="1" applyBorder="1" applyAlignment="1">
      <alignment horizontal="right" vertical="center"/>
    </xf>
    <xf numFmtId="179" fontId="56" fillId="0" borderId="35" xfId="151" applyNumberFormat="1" applyFont="1" applyBorder="1" applyAlignment="1">
      <alignment horizontal="right" vertical="center"/>
    </xf>
    <xf numFmtId="0" fontId="56" fillId="0" borderId="37" xfId="151" applyFont="1" applyBorder="1" applyAlignment="1">
      <alignment vertical="center"/>
    </xf>
    <xf numFmtId="0" fontId="56" fillId="0" borderId="36" xfId="151" applyFont="1" applyBorder="1" applyAlignment="1">
      <alignment vertical="center"/>
    </xf>
    <xf numFmtId="0" fontId="42" fillId="0" borderId="29" xfId="151" applyFont="1" applyBorder="1" applyAlignment="1">
      <alignment vertical="center"/>
    </xf>
    <xf numFmtId="0" fontId="42" fillId="0" borderId="0" xfId="151" applyFont="1" applyBorder="1" applyAlignment="1">
      <alignment vertical="center"/>
    </xf>
    <xf numFmtId="0" fontId="42" fillId="0" borderId="36" xfId="151" applyFont="1" applyBorder="1" applyAlignment="1">
      <alignment vertical="center"/>
    </xf>
    <xf numFmtId="2" fontId="56" fillId="0" borderId="36" xfId="151" applyNumberFormat="1" applyFont="1" applyBorder="1" applyAlignment="1">
      <alignment vertical="center"/>
    </xf>
    <xf numFmtId="0" fontId="60" fillId="0" borderId="25" xfId="151" applyFont="1" applyBorder="1" applyAlignment="1">
      <alignment horizontal="center" vertical="center"/>
    </xf>
    <xf numFmtId="0" fontId="60" fillId="0" borderId="27" xfId="151" applyFont="1" applyBorder="1" applyAlignment="1">
      <alignment horizontal="center" vertical="center"/>
    </xf>
    <xf numFmtId="0" fontId="60" fillId="0" borderId="26" xfId="151" applyFont="1" applyBorder="1" applyAlignment="1">
      <alignment horizontal="center" vertical="center"/>
    </xf>
    <xf numFmtId="0" fontId="55" fillId="0" borderId="25" xfId="151" applyFont="1" applyBorder="1" applyAlignment="1">
      <alignment horizontal="center" vertical="center"/>
    </xf>
    <xf numFmtId="0" fontId="55" fillId="0" borderId="27" xfId="151" applyFont="1" applyBorder="1" applyAlignment="1">
      <alignment horizontal="center" vertical="center"/>
    </xf>
    <xf numFmtId="0" fontId="55" fillId="0" borderId="26" xfId="151" applyFont="1" applyBorder="1" applyAlignment="1">
      <alignment horizontal="center" vertical="center"/>
    </xf>
    <xf numFmtId="0" fontId="56" fillId="0" borderId="30" xfId="151" applyFont="1" applyBorder="1" applyAlignment="1">
      <alignment horizontal="center" vertical="center"/>
    </xf>
    <xf numFmtId="0" fontId="56" fillId="0" borderId="33" xfId="151" applyFont="1" applyBorder="1" applyAlignment="1">
      <alignment horizontal="center" vertical="center"/>
    </xf>
    <xf numFmtId="0" fontId="42" fillId="0" borderId="30" xfId="151" applyFont="1" applyBorder="1" applyAlignment="1">
      <alignment vertical="center"/>
    </xf>
    <xf numFmtId="0" fontId="42" fillId="0" borderId="33" xfId="151" applyFont="1" applyBorder="1" applyAlignment="1">
      <alignment vertical="center"/>
    </xf>
    <xf numFmtId="0" fontId="42" fillId="0" borderId="37" xfId="151" applyFont="1" applyBorder="1" applyAlignment="1">
      <alignment vertical="center"/>
    </xf>
    <xf numFmtId="176" fontId="42" fillId="0" borderId="29" xfId="151" applyNumberFormat="1" applyFont="1" applyBorder="1" applyAlignment="1">
      <alignment vertical="center"/>
    </xf>
    <xf numFmtId="176" fontId="42" fillId="0" borderId="0" xfId="151" applyNumberFormat="1" applyFont="1" applyBorder="1" applyAlignment="1">
      <alignment vertical="center"/>
    </xf>
    <xf numFmtId="176" fontId="42" fillId="0" borderId="36" xfId="151" applyNumberFormat="1" applyFont="1" applyBorder="1" applyAlignment="1">
      <alignment vertical="center"/>
    </xf>
    <xf numFmtId="179" fontId="42" fillId="0" borderId="28" xfId="151" applyNumberFormat="1" applyFont="1" applyBorder="1" applyAlignment="1">
      <alignment horizontal="right" vertical="center"/>
    </xf>
    <xf numFmtId="179" fontId="42" fillId="0" borderId="32" xfId="151" applyNumberFormat="1" applyFont="1" applyBorder="1" applyAlignment="1">
      <alignment horizontal="right" vertical="center"/>
    </xf>
    <xf numFmtId="179" fontId="56" fillId="0" borderId="28" xfId="151" applyNumberFormat="1" applyFont="1" applyFill="1" applyBorder="1" applyAlignment="1">
      <alignment horizontal="right" vertical="center"/>
    </xf>
    <xf numFmtId="179" fontId="56" fillId="0" borderId="32" xfId="151" applyNumberFormat="1" applyFont="1" applyFill="1" applyBorder="1" applyAlignment="1">
      <alignment horizontal="right" vertical="center"/>
    </xf>
    <xf numFmtId="0" fontId="56" fillId="0" borderId="30" xfId="151" applyFont="1" applyFill="1" applyBorder="1" applyAlignment="1">
      <alignment horizontal="center" vertical="center"/>
    </xf>
    <xf numFmtId="0" fontId="56" fillId="0" borderId="33" xfId="151" applyFont="1" applyFill="1" applyBorder="1" applyAlignment="1">
      <alignment horizontal="center" vertical="center"/>
    </xf>
    <xf numFmtId="0" fontId="56" fillId="0" borderId="30" xfId="151" applyFont="1" applyFill="1" applyBorder="1" applyAlignment="1">
      <alignment vertical="center"/>
    </xf>
    <xf numFmtId="0" fontId="56" fillId="0" borderId="33" xfId="151" applyFont="1" applyFill="1" applyBorder="1" applyAlignment="1">
      <alignment vertical="center"/>
    </xf>
    <xf numFmtId="0" fontId="56" fillId="0" borderId="37" xfId="151" applyFont="1" applyFill="1" applyBorder="1" applyAlignment="1">
      <alignment vertical="center"/>
    </xf>
    <xf numFmtId="0" fontId="56" fillId="0" borderId="29" xfId="151" applyFont="1" applyFill="1" applyBorder="1" applyAlignment="1">
      <alignment vertical="center"/>
    </xf>
    <xf numFmtId="0" fontId="56" fillId="0" borderId="0" xfId="151" applyFont="1" applyFill="1" applyBorder="1" applyAlignment="1">
      <alignment vertical="center"/>
    </xf>
    <xf numFmtId="0" fontId="56" fillId="0" borderId="36" xfId="151" applyFont="1" applyFill="1" applyBorder="1" applyAlignment="1">
      <alignment vertical="center"/>
    </xf>
    <xf numFmtId="0" fontId="56" fillId="0" borderId="40" xfId="151" applyFont="1" applyFill="1" applyBorder="1" applyAlignment="1">
      <alignment horizontal="center" vertical="center"/>
    </xf>
    <xf numFmtId="0" fontId="56" fillId="0" borderId="43" xfId="151" applyFont="1" applyFill="1" applyBorder="1" applyAlignment="1">
      <alignment horizontal="center" vertical="center"/>
    </xf>
    <xf numFmtId="0" fontId="56" fillId="0" borderId="45" xfId="151" applyFont="1" applyFill="1" applyBorder="1" applyAlignment="1">
      <alignment horizontal="center" vertical="center"/>
    </xf>
    <xf numFmtId="176" fontId="56" fillId="0" borderId="29" xfId="151" applyNumberFormat="1" applyFont="1" applyFill="1" applyBorder="1" applyAlignment="1">
      <alignment vertical="center"/>
    </xf>
    <xf numFmtId="176" fontId="56" fillId="0" borderId="0" xfId="151" applyNumberFormat="1" applyFont="1" applyFill="1" applyBorder="1" applyAlignment="1">
      <alignment vertical="center"/>
    </xf>
    <xf numFmtId="176" fontId="56" fillId="0" borderId="36" xfId="151" applyNumberFormat="1" applyFont="1" applyFill="1" applyBorder="1" applyAlignment="1">
      <alignment vertical="center"/>
    </xf>
    <xf numFmtId="2" fontId="56" fillId="0" borderId="29" xfId="151" applyNumberFormat="1" applyFont="1" applyFill="1" applyBorder="1" applyAlignment="1">
      <alignment horizontal="center" vertical="center"/>
    </xf>
    <xf numFmtId="2" fontId="56" fillId="0" borderId="0" xfId="151" applyNumberFormat="1" applyFont="1" applyFill="1" applyBorder="1" applyAlignment="1">
      <alignment horizontal="center" vertical="center"/>
    </xf>
    <xf numFmtId="2" fontId="56" fillId="0" borderId="36" xfId="151" applyNumberFormat="1" applyFont="1" applyFill="1" applyBorder="1" applyAlignment="1">
      <alignment horizontal="center" vertical="center"/>
    </xf>
    <xf numFmtId="179" fontId="56" fillId="0" borderId="35" xfId="151" applyNumberFormat="1" applyFont="1" applyFill="1" applyBorder="1" applyAlignment="1">
      <alignment horizontal="right" vertical="center"/>
    </xf>
    <xf numFmtId="0" fontId="60" fillId="0" borderId="25" xfId="151" applyFont="1" applyFill="1" applyBorder="1" applyAlignment="1">
      <alignment horizontal="right" vertical="center"/>
    </xf>
    <xf numFmtId="0" fontId="60" fillId="0" borderId="27" xfId="151" applyFont="1" applyFill="1" applyBorder="1" applyAlignment="1">
      <alignment horizontal="right" vertical="center"/>
    </xf>
    <xf numFmtId="0" fontId="60" fillId="0" borderId="26" xfId="151" applyFont="1" applyFill="1" applyBorder="1" applyAlignment="1">
      <alignment horizontal="right" vertical="center"/>
    </xf>
    <xf numFmtId="0" fontId="42" fillId="0" borderId="40" xfId="151" applyFont="1" applyFill="1" applyBorder="1" applyAlignment="1">
      <alignment horizontal="center" vertical="center"/>
    </xf>
    <xf numFmtId="0" fontId="42" fillId="0" borderId="43" xfId="151" applyFont="1" applyFill="1" applyBorder="1" applyAlignment="1">
      <alignment horizontal="center" vertical="center"/>
    </xf>
    <xf numFmtId="0" fontId="42" fillId="0" borderId="45" xfId="151" applyFont="1" applyFill="1" applyBorder="1" applyAlignment="1">
      <alignment horizontal="center" vertical="center"/>
    </xf>
    <xf numFmtId="179" fontId="58" fillId="0" borderId="28" xfId="151" applyNumberFormat="1" applyFont="1" applyFill="1" applyBorder="1" applyAlignment="1">
      <alignment horizontal="right" vertical="center"/>
    </xf>
    <xf numFmtId="179" fontId="58" fillId="0" borderId="32" xfId="151" applyNumberFormat="1" applyFont="1" applyFill="1" applyBorder="1" applyAlignment="1">
      <alignment horizontal="right" vertical="center"/>
    </xf>
    <xf numFmtId="179" fontId="58" fillId="0" borderId="35" xfId="151" applyNumberFormat="1" applyFont="1" applyFill="1" applyBorder="1" applyAlignment="1">
      <alignment horizontal="right" vertical="center"/>
    </xf>
    <xf numFmtId="0" fontId="42" fillId="0" borderId="30" xfId="151" applyFont="1" applyFill="1" applyBorder="1" applyAlignment="1">
      <alignment vertical="center"/>
    </xf>
    <xf numFmtId="0" fontId="42" fillId="0" borderId="29" xfId="151" applyFont="1" applyFill="1" applyBorder="1" applyAlignment="1">
      <alignment vertical="center"/>
    </xf>
    <xf numFmtId="0" fontId="42" fillId="0" borderId="37" xfId="151" applyFont="1" applyFill="1" applyBorder="1" applyAlignment="1">
      <alignment vertical="center"/>
    </xf>
    <xf numFmtId="0" fontId="42" fillId="0" borderId="36" xfId="151" applyFont="1" applyFill="1" applyBorder="1" applyAlignment="1">
      <alignment vertical="center"/>
    </xf>
    <xf numFmtId="179" fontId="42" fillId="0" borderId="28" xfId="151" applyNumberFormat="1" applyFont="1" applyFill="1" applyBorder="1" applyAlignment="1">
      <alignment horizontal="right" vertical="center"/>
    </xf>
    <xf numFmtId="179" fontId="42" fillId="0" borderId="35" xfId="151" applyNumberFormat="1" applyFont="1" applyFill="1" applyBorder="1" applyAlignment="1">
      <alignment horizontal="right" vertical="center"/>
    </xf>
    <xf numFmtId="179" fontId="58" fillId="0" borderId="28" xfId="151" applyNumberFormat="1" applyFont="1" applyBorder="1" applyAlignment="1">
      <alignment horizontal="right" vertical="center"/>
    </xf>
    <xf numFmtId="179" fontId="58" fillId="0" borderId="35" xfId="151" applyNumberFormat="1" applyFont="1" applyBorder="1" applyAlignment="1">
      <alignment horizontal="right" vertical="center"/>
    </xf>
    <xf numFmtId="0" fontId="60" fillId="0" borderId="25" xfId="151" applyFont="1" applyFill="1" applyBorder="1" applyAlignment="1">
      <alignment horizontal="center" vertical="center"/>
    </xf>
    <xf numFmtId="0" fontId="60" fillId="0" borderId="27" xfId="151" applyFont="1" applyFill="1" applyBorder="1" applyAlignment="1">
      <alignment horizontal="center" vertical="center"/>
    </xf>
    <xf numFmtId="0" fontId="60" fillId="0" borderId="29" xfId="151" applyFont="1" applyFill="1" applyBorder="1" applyAlignment="1">
      <alignment horizontal="center" vertical="center"/>
    </xf>
    <xf numFmtId="0" fontId="60" fillId="0" borderId="31" xfId="151" applyFont="1" applyFill="1" applyBorder="1" applyAlignment="1">
      <alignment horizontal="center" vertical="center"/>
    </xf>
    <xf numFmtId="0" fontId="56" fillId="0" borderId="42" xfId="151" applyFont="1" applyBorder="1" applyAlignment="1">
      <alignment horizontal="center" vertical="center"/>
    </xf>
    <xf numFmtId="0" fontId="56" fillId="0" borderId="47" xfId="151" applyFont="1" applyBorder="1" applyAlignment="1">
      <alignment horizontal="center" vertical="center"/>
    </xf>
    <xf numFmtId="180" fontId="56" fillId="0" borderId="30" xfId="151" applyNumberFormat="1" applyFont="1" applyBorder="1" applyAlignment="1">
      <alignment vertical="center"/>
    </xf>
    <xf numFmtId="180" fontId="56" fillId="0" borderId="29" xfId="151" applyNumberFormat="1" applyFont="1" applyBorder="1" applyAlignment="1">
      <alignment vertical="center"/>
    </xf>
    <xf numFmtId="180" fontId="56" fillId="0" borderId="37" xfId="151" applyNumberFormat="1" applyFont="1" applyBorder="1" applyAlignment="1">
      <alignment vertical="center"/>
    </xf>
    <xf numFmtId="180" fontId="56" fillId="0" borderId="36" xfId="151" applyNumberFormat="1" applyFont="1" applyBorder="1" applyAlignment="1">
      <alignment vertical="center"/>
    </xf>
    <xf numFmtId="9" fontId="56" fillId="0" borderId="29" xfId="151" applyNumberFormat="1" applyFont="1" applyBorder="1" applyAlignment="1">
      <alignment vertical="center"/>
    </xf>
    <xf numFmtId="9" fontId="56" fillId="0" borderId="36" xfId="151" applyNumberFormat="1" applyFont="1" applyBorder="1" applyAlignment="1">
      <alignment vertical="center"/>
    </xf>
    <xf numFmtId="1" fontId="56" fillId="0" borderId="29" xfId="151" applyNumberFormat="1" applyFont="1" applyBorder="1" applyAlignment="1">
      <alignment vertical="center"/>
    </xf>
    <xf numFmtId="1" fontId="56" fillId="0" borderId="36" xfId="151" applyNumberFormat="1" applyFont="1" applyBorder="1" applyAlignment="1">
      <alignment vertical="center"/>
    </xf>
    <xf numFmtId="0" fontId="40" fillId="0" borderId="30" xfId="151" applyFont="1" applyFill="1" applyBorder="1" applyAlignment="1">
      <alignment horizontal="center"/>
    </xf>
    <xf numFmtId="0" fontId="40" fillId="0" borderId="29" xfId="151" applyFont="1" applyFill="1" applyBorder="1" applyAlignment="1">
      <alignment horizontal="center"/>
    </xf>
    <xf numFmtId="0" fontId="40" fillId="0" borderId="36" xfId="151" applyFont="1" applyFill="1" applyBorder="1" applyAlignment="1">
      <alignment horizontal="center"/>
    </xf>
    <xf numFmtId="0" fontId="40" fillId="0" borderId="38" xfId="151" applyFont="1" applyFill="1" applyBorder="1" applyAlignment="1">
      <alignment horizontal="center"/>
    </xf>
    <xf numFmtId="0" fontId="42" fillId="0" borderId="62" xfId="151" applyFont="1" applyBorder="1" applyAlignment="1">
      <alignment horizontal="left" wrapText="1"/>
    </xf>
    <xf numFmtId="0" fontId="42" fillId="0" borderId="63" xfId="151" applyFont="1" applyBorder="1" applyAlignment="1">
      <alignment horizontal="left" wrapText="1"/>
    </xf>
    <xf numFmtId="0" fontId="62" fillId="0" borderId="25" xfId="151" applyFont="1" applyBorder="1" applyAlignment="1">
      <alignment horizontal="right"/>
    </xf>
    <xf numFmtId="0" fontId="62" fillId="0" borderId="27" xfId="151" applyFont="1" applyBorder="1" applyAlignment="1">
      <alignment horizontal="right"/>
    </xf>
    <xf numFmtId="168" fontId="62" fillId="0" borderId="25" xfId="151" applyNumberFormat="1" applyFont="1" applyBorder="1" applyAlignment="1">
      <alignment horizontal="center"/>
    </xf>
    <xf numFmtId="168" fontId="62" fillId="0" borderId="27" xfId="151" applyNumberFormat="1" applyFont="1" applyBorder="1" applyAlignment="1">
      <alignment horizontal="center"/>
    </xf>
    <xf numFmtId="168" fontId="62" fillId="0" borderId="26" xfId="151" applyNumberFormat="1" applyFont="1" applyBorder="1" applyAlignment="1">
      <alignment horizontal="center"/>
    </xf>
    <xf numFmtId="0" fontId="62" fillId="0" borderId="25" xfId="151" applyFont="1" applyBorder="1" applyAlignment="1">
      <alignment horizontal="center"/>
    </xf>
    <xf numFmtId="0" fontId="62" fillId="0" borderId="27" xfId="151" applyFont="1" applyBorder="1" applyAlignment="1">
      <alignment horizontal="center"/>
    </xf>
    <xf numFmtId="0" fontId="62" fillId="0" borderId="26" xfId="151" applyFont="1" applyBorder="1" applyAlignment="1">
      <alignment horizontal="center"/>
    </xf>
    <xf numFmtId="179" fontId="59" fillId="0" borderId="25" xfId="151" applyNumberFormat="1" applyFont="1" applyBorder="1" applyAlignment="1">
      <alignment horizontal="center"/>
    </xf>
    <xf numFmtId="0" fontId="59" fillId="0" borderId="27" xfId="151" applyFont="1" applyBorder="1" applyAlignment="1">
      <alignment horizontal="center"/>
    </xf>
    <xf numFmtId="0" fontId="59" fillId="0" borderId="26" xfId="151" applyFont="1" applyBorder="1" applyAlignment="1">
      <alignment horizontal="center"/>
    </xf>
    <xf numFmtId="0" fontId="42" fillId="0" borderId="33" xfId="151" applyFont="1" applyFill="1" applyBorder="1" applyAlignment="1">
      <alignment vertical="center"/>
    </xf>
    <xf numFmtId="0" fontId="42" fillId="0" borderId="0" xfId="151" applyFont="1" applyFill="1" applyBorder="1" applyAlignment="1">
      <alignment vertical="center"/>
    </xf>
    <xf numFmtId="179" fontId="42" fillId="0" borderId="32" xfId="151" applyNumberFormat="1" applyFont="1" applyFill="1" applyBorder="1" applyAlignment="1">
      <alignment horizontal="right" vertical="center"/>
    </xf>
    <xf numFmtId="0" fontId="40" fillId="0" borderId="7" xfId="151" applyFont="1" applyFill="1" applyBorder="1" applyAlignment="1">
      <alignment horizontal="center" vertical="center"/>
    </xf>
    <xf numFmtId="0" fontId="40" fillId="0" borderId="8" xfId="151" applyFont="1" applyFill="1" applyBorder="1" applyAlignment="1">
      <alignment horizontal="center" vertical="center"/>
    </xf>
    <xf numFmtId="0" fontId="40" fillId="0" borderId="6" xfId="151" applyFont="1" applyFill="1" applyBorder="1" applyAlignment="1">
      <alignment horizontal="center" vertical="center"/>
    </xf>
    <xf numFmtId="0" fontId="55" fillId="2" borderId="0" xfId="1" applyFont="1" applyFill="1" applyAlignment="1">
      <alignment vertical="center"/>
    </xf>
    <xf numFmtId="0" fontId="4" fillId="2" borderId="0" xfId="1963" applyFill="1" applyAlignment="1">
      <alignment vertical="center"/>
    </xf>
    <xf numFmtId="0" fontId="55" fillId="2" borderId="0" xfId="1" applyFont="1" applyFill="1" applyAlignment="1">
      <alignment horizontal="center" vertical="center"/>
    </xf>
    <xf numFmtId="0" fontId="55" fillId="2" borderId="0" xfId="1" applyFont="1" applyFill="1" applyAlignment="1">
      <alignment horizontal="center" vertical="center" wrapText="1"/>
    </xf>
    <xf numFmtId="0" fontId="57" fillId="2" borderId="0" xfId="1" applyFont="1" applyFill="1" applyAlignment="1">
      <alignment horizontal="center" vertical="center" wrapText="1"/>
    </xf>
    <xf numFmtId="9" fontId="40" fillId="2" borderId="7" xfId="1" applyNumberFormat="1" applyFont="1" applyFill="1" applyBorder="1" applyAlignment="1">
      <alignment horizontal="left"/>
    </xf>
    <xf numFmtId="9" fontId="40" fillId="2" borderId="8" xfId="1" applyNumberFormat="1" applyFont="1" applyFill="1" applyBorder="1" applyAlignment="1">
      <alignment horizontal="left"/>
    </xf>
    <xf numFmtId="9" fontId="40" fillId="2" borderId="6" xfId="1" applyNumberFormat="1" applyFont="1" applyFill="1" applyBorder="1" applyAlignment="1">
      <alignment horizontal="left"/>
    </xf>
    <xf numFmtId="0" fontId="60" fillId="0" borderId="5" xfId="1" applyFont="1" applyFill="1" applyBorder="1" applyAlignment="1">
      <alignment horizontal="center" vertical="center" wrapText="1"/>
    </xf>
    <xf numFmtId="0" fontId="56" fillId="0" borderId="9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5" fillId="2" borderId="4" xfId="1" applyFont="1" applyFill="1" applyBorder="1" applyAlignment="1">
      <alignment horizontal="center" vertical="center" wrapText="1"/>
    </xf>
    <xf numFmtId="0" fontId="57" fillId="2" borderId="4" xfId="1" applyFont="1" applyFill="1" applyBorder="1" applyAlignment="1">
      <alignment horizontal="center" vertical="center" wrapText="1"/>
    </xf>
    <xf numFmtId="0" fontId="40" fillId="2" borderId="7" xfId="1" applyFont="1" applyFill="1" applyBorder="1" applyAlignment="1">
      <alignment horizontal="center"/>
    </xf>
    <xf numFmtId="0" fontId="40" fillId="2" borderId="8" xfId="1" applyFont="1" applyFill="1" applyBorder="1" applyAlignment="1">
      <alignment horizontal="center"/>
    </xf>
    <xf numFmtId="0" fontId="40" fillId="2" borderId="6" xfId="1" applyFont="1" applyFill="1" applyBorder="1" applyAlignment="1">
      <alignment horizontal="center"/>
    </xf>
    <xf numFmtId="0" fontId="40" fillId="0" borderId="7" xfId="1" applyFont="1" applyFill="1" applyBorder="1" applyAlignment="1">
      <alignment horizontal="center"/>
    </xf>
    <xf numFmtId="0" fontId="40" fillId="0" borderId="8" xfId="1" applyFont="1" applyFill="1" applyBorder="1" applyAlignment="1">
      <alignment horizontal="center"/>
    </xf>
    <xf numFmtId="0" fontId="40" fillId="0" borderId="6" xfId="1" applyFont="1" applyFill="1" applyBorder="1" applyAlignment="1">
      <alignment horizontal="center"/>
    </xf>
    <xf numFmtId="0" fontId="40" fillId="2" borderId="7" xfId="1" applyFont="1" applyFill="1" applyBorder="1" applyAlignment="1">
      <alignment horizontal="left" vertical="center"/>
    </xf>
    <xf numFmtId="0" fontId="40" fillId="2" borderId="8" xfId="1" applyFont="1" applyFill="1" applyBorder="1" applyAlignment="1">
      <alignment horizontal="left" vertical="center"/>
    </xf>
    <xf numFmtId="0" fontId="40" fillId="2" borderId="6" xfId="1" applyFont="1" applyFill="1" applyBorder="1" applyAlignment="1">
      <alignment horizontal="left" vertical="center"/>
    </xf>
    <xf numFmtId="0" fontId="0" fillId="0" borderId="0" xfId="0" applyFill="1" applyAlignment="1"/>
    <xf numFmtId="0" fontId="147" fillId="2" borderId="4" xfId="1" applyFont="1" applyFill="1" applyBorder="1" applyAlignment="1">
      <alignment horizontal="center"/>
    </xf>
    <xf numFmtId="0" fontId="147" fillId="2" borderId="4" xfId="1" applyFont="1" applyFill="1" applyBorder="1" applyAlignment="1">
      <alignment horizontal="left" vertical="center" wrapText="1"/>
    </xf>
    <xf numFmtId="0" fontId="142" fillId="0" borderId="4" xfId="1" applyFont="1" applyFill="1" applyBorder="1" applyAlignment="1">
      <alignment horizontal="center" vertical="center" wrapText="1"/>
    </xf>
    <xf numFmtId="0" fontId="146" fillId="0" borderId="4" xfId="1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47" fillId="0" borderId="4" xfId="1" applyFont="1" applyFill="1" applyBorder="1" applyAlignment="1">
      <alignment horizontal="center"/>
    </xf>
    <xf numFmtId="0" fontId="148" fillId="0" borderId="4" xfId="1" applyFont="1" applyFill="1" applyBorder="1" applyAlignment="1">
      <alignment horizontal="left"/>
    </xf>
    <xf numFmtId="0" fontId="142" fillId="0" borderId="0" xfId="1" applyFont="1" applyFill="1" applyAlignment="1">
      <alignment horizontal="center" vertical="center"/>
    </xf>
    <xf numFmtId="0" fontId="55" fillId="0" borderId="0" xfId="1" applyFont="1" applyFill="1" applyAlignment="1">
      <alignment horizontal="center" vertical="center" wrapText="1"/>
    </xf>
    <xf numFmtId="0" fontId="40" fillId="0" borderId="10" xfId="1" applyFont="1" applyFill="1" applyBorder="1" applyAlignment="1">
      <alignment vertical="center" wrapText="1"/>
    </xf>
    <xf numFmtId="0" fontId="151" fillId="0" borderId="0" xfId="1" applyFont="1" applyFill="1" applyAlignment="1">
      <alignment horizontal="center" vertical="center"/>
    </xf>
    <xf numFmtId="0" fontId="40" fillId="0" borderId="0" xfId="1" applyFont="1" applyFill="1" applyAlignment="1">
      <alignment horizontal="center" vertical="center" wrapText="1"/>
    </xf>
    <xf numFmtId="0" fontId="40" fillId="0" borderId="0" xfId="1" applyFont="1" applyFill="1" applyAlignment="1">
      <alignment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left" wrapText="1"/>
    </xf>
    <xf numFmtId="0" fontId="40" fillId="0" borderId="8" xfId="1" applyFont="1" applyFill="1" applyBorder="1" applyAlignment="1">
      <alignment horizontal="left" wrapText="1"/>
    </xf>
    <xf numFmtId="0" fontId="40" fillId="0" borderId="6" xfId="1" applyFont="1" applyFill="1" applyBorder="1" applyAlignment="1">
      <alignment horizontal="left" wrapText="1"/>
    </xf>
    <xf numFmtId="0" fontId="152" fillId="0" borderId="0" xfId="1964" applyFont="1" applyFill="1" applyAlignment="1">
      <alignment horizontal="right"/>
    </xf>
    <xf numFmtId="0" fontId="40" fillId="0" borderId="0" xfId="1964" applyFont="1" applyFill="1" applyBorder="1" applyAlignment="1">
      <alignment horizontal="center" vertical="center"/>
    </xf>
    <xf numFmtId="0" fontId="42" fillId="0" borderId="0" xfId="1964" applyFont="1" applyFill="1" applyBorder="1" applyAlignment="1">
      <alignment horizontal="center" vertical="center" wrapText="1"/>
    </xf>
    <xf numFmtId="0" fontId="42" fillId="0" borderId="0" xfId="1964" applyFont="1" applyFill="1" applyBorder="1" applyAlignment="1">
      <alignment horizontal="center" vertical="center"/>
    </xf>
    <xf numFmtId="0" fontId="114" fillId="0" borderId="11" xfId="1" applyFont="1" applyFill="1" applyBorder="1" applyAlignment="1">
      <alignment horizontal="left" vertical="center"/>
    </xf>
    <xf numFmtId="0" fontId="4" fillId="0" borderId="48" xfId="1964" applyFill="1" applyBorder="1" applyAlignment="1">
      <alignment horizontal="center"/>
    </xf>
    <xf numFmtId="0" fontId="114" fillId="0" borderId="4" xfId="1" applyFont="1" applyFill="1" applyBorder="1" applyAlignment="1">
      <alignment horizontal="left" vertical="center"/>
    </xf>
    <xf numFmtId="0" fontId="40" fillId="0" borderId="4" xfId="1964" applyFont="1" applyFill="1" applyBorder="1" applyAlignment="1">
      <alignment vertical="center"/>
    </xf>
    <xf numFmtId="0" fontId="40" fillId="0" borderId="7" xfId="1964" applyFont="1" applyFill="1" applyBorder="1" applyAlignment="1">
      <alignment horizontal="left" vertical="center"/>
    </xf>
    <xf numFmtId="0" fontId="40" fillId="0" borderId="8" xfId="1964" applyFont="1" applyFill="1" applyBorder="1" applyAlignment="1">
      <alignment horizontal="left" vertical="center"/>
    </xf>
    <xf numFmtId="0" fontId="40" fillId="0" borderId="6" xfId="1964" applyFont="1" applyFill="1" applyBorder="1" applyAlignment="1">
      <alignment horizontal="left" vertical="center"/>
    </xf>
    <xf numFmtId="0" fontId="147" fillId="0" borderId="4" xfId="1964" applyFont="1" applyFill="1" applyBorder="1" applyAlignment="1">
      <alignment horizontal="left" vertical="center" wrapText="1"/>
    </xf>
    <xf numFmtId="0" fontId="4" fillId="0" borderId="0" xfId="1964" applyFill="1" applyAlignment="1">
      <alignment horizontal="center"/>
    </xf>
    <xf numFmtId="0" fontId="42" fillId="0" borderId="7" xfId="1964" applyFont="1" applyFill="1" applyBorder="1" applyAlignment="1">
      <alignment vertical="center" wrapText="1"/>
    </xf>
    <xf numFmtId="0" fontId="42" fillId="0" borderId="8" xfId="1964" applyFont="1" applyFill="1" applyBorder="1" applyAlignment="1">
      <alignment vertical="center" wrapText="1"/>
    </xf>
    <xf numFmtId="0" fontId="42" fillId="0" borderId="6" xfId="1964" applyFont="1" applyFill="1" applyBorder="1" applyAlignment="1">
      <alignment vertical="center" wrapText="1"/>
    </xf>
    <xf numFmtId="0" fontId="40" fillId="0" borderId="7" xfId="1964" applyFont="1" applyFill="1" applyBorder="1" applyAlignment="1">
      <alignment vertical="center" wrapText="1"/>
    </xf>
    <xf numFmtId="0" fontId="40" fillId="0" borderId="8" xfId="1964" applyFont="1" applyFill="1" applyBorder="1" applyAlignment="1">
      <alignment vertical="center" wrapText="1"/>
    </xf>
    <xf numFmtId="0" fontId="40" fillId="0" borderId="6" xfId="1964" applyFont="1" applyFill="1" applyBorder="1" applyAlignment="1">
      <alignment vertical="center" wrapText="1"/>
    </xf>
    <xf numFmtId="0" fontId="40" fillId="0" borderId="7" xfId="1964" applyFont="1" applyFill="1" applyBorder="1" applyAlignment="1">
      <alignment horizontal="center" vertical="center" wrapText="1"/>
    </xf>
    <xf numFmtId="0" fontId="40" fillId="0" borderId="8" xfId="1964" applyFont="1" applyFill="1" applyBorder="1" applyAlignment="1">
      <alignment horizontal="center" vertical="center" wrapText="1"/>
    </xf>
    <xf numFmtId="0" fontId="40" fillId="0" borderId="6" xfId="1964" applyFont="1" applyFill="1" applyBorder="1" applyAlignment="1">
      <alignment horizontal="center" vertical="center" wrapText="1"/>
    </xf>
    <xf numFmtId="0" fontId="40" fillId="0" borderId="15" xfId="1964" applyFont="1" applyFill="1" applyBorder="1" applyAlignment="1">
      <alignment vertical="center" wrapText="1"/>
    </xf>
    <xf numFmtId="0" fontId="40" fillId="0" borderId="10" xfId="1964" applyFont="1" applyFill="1" applyBorder="1" applyAlignment="1">
      <alignment vertical="center" wrapText="1"/>
    </xf>
    <xf numFmtId="0" fontId="40" fillId="0" borderId="13" xfId="1964" applyFont="1" applyFill="1" applyBorder="1" applyAlignment="1">
      <alignment vertical="center" wrapText="1"/>
    </xf>
    <xf numFmtId="0" fontId="40" fillId="0" borderId="7" xfId="1964" applyFont="1" applyFill="1" applyBorder="1" applyAlignment="1">
      <alignment vertical="center"/>
    </xf>
    <xf numFmtId="0" fontId="40" fillId="0" borderId="8" xfId="1964" applyFont="1" applyFill="1" applyBorder="1" applyAlignment="1">
      <alignment vertical="center"/>
    </xf>
    <xf numFmtId="0" fontId="40" fillId="0" borderId="6" xfId="1964" applyFont="1" applyFill="1" applyBorder="1" applyAlignment="1">
      <alignment vertical="center"/>
    </xf>
    <xf numFmtId="0" fontId="42" fillId="0" borderId="4" xfId="1964" applyFont="1" applyFill="1" applyBorder="1" applyAlignment="1">
      <alignment horizontal="center" vertical="center" wrapText="1"/>
    </xf>
    <xf numFmtId="0" fontId="158" fillId="0" borderId="74" xfId="1925" applyFont="1" applyFill="1" applyBorder="1" applyAlignment="1">
      <alignment horizontal="center" vertical="center" wrapText="1"/>
    </xf>
    <xf numFmtId="0" fontId="158" fillId="0" borderId="75" xfId="1925" applyFont="1" applyFill="1" applyBorder="1" applyAlignment="1">
      <alignment horizontal="center" vertical="center" wrapText="1"/>
    </xf>
    <xf numFmtId="0" fontId="158" fillId="0" borderId="76" xfId="1925" applyFont="1" applyFill="1" applyBorder="1" applyAlignment="1">
      <alignment horizontal="center" vertical="center" wrapText="1"/>
    </xf>
    <xf numFmtId="0" fontId="158" fillId="0" borderId="78" xfId="1925" applyFont="1" applyFill="1" applyBorder="1" applyAlignment="1">
      <alignment horizontal="center" vertical="center" wrapText="1"/>
    </xf>
    <xf numFmtId="0" fontId="158" fillId="0" borderId="79" xfId="1925" applyFont="1" applyFill="1" applyBorder="1" applyAlignment="1">
      <alignment horizontal="center" vertical="center" wrapText="1"/>
    </xf>
    <xf numFmtId="0" fontId="158" fillId="0" borderId="80" xfId="1925" applyFont="1" applyFill="1" applyBorder="1" applyAlignment="1">
      <alignment horizontal="center" vertical="center" wrapText="1"/>
    </xf>
    <xf numFmtId="0" fontId="158" fillId="0" borderId="81" xfId="1925" applyFont="1" applyFill="1" applyBorder="1" applyAlignment="1">
      <alignment horizontal="center" vertical="center" wrapText="1"/>
    </xf>
    <xf numFmtId="0" fontId="39" fillId="0" borderId="1" xfId="1925" applyFont="1" applyBorder="1" applyAlignment="1">
      <alignment horizontal="left" vertical="center" wrapText="1"/>
    </xf>
    <xf numFmtId="0" fontId="39" fillId="0" borderId="2" xfId="1925" applyFont="1" applyBorder="1" applyAlignment="1">
      <alignment horizontal="left" vertical="center" wrapText="1"/>
    </xf>
    <xf numFmtId="0" fontId="39" fillId="0" borderId="3" xfId="1925" applyFont="1" applyBorder="1" applyAlignment="1">
      <alignment horizontal="left" vertical="center" wrapText="1"/>
    </xf>
    <xf numFmtId="0" fontId="39" fillId="0" borderId="15" xfId="1925" applyFont="1" applyBorder="1" applyAlignment="1">
      <alignment horizontal="left" vertical="center" wrapText="1"/>
    </xf>
    <xf numFmtId="0" fontId="39" fillId="0" borderId="10" xfId="1925" applyFont="1" applyBorder="1" applyAlignment="1">
      <alignment horizontal="left" vertical="center" wrapText="1"/>
    </xf>
    <xf numFmtId="0" fontId="39" fillId="0" borderId="13" xfId="1925" applyFont="1" applyBorder="1" applyAlignment="1">
      <alignment horizontal="left" vertical="center" wrapText="1"/>
    </xf>
    <xf numFmtId="0" fontId="157" fillId="0" borderId="1" xfId="1939" applyFont="1" applyFill="1" applyBorder="1" applyAlignment="1" applyProtection="1">
      <alignment horizontal="left" vertical="center" wrapText="1"/>
      <protection locked="0"/>
    </xf>
    <xf numFmtId="0" fontId="157" fillId="0" borderId="2" xfId="1939" applyFont="1" applyFill="1" applyBorder="1" applyAlignment="1" applyProtection="1">
      <alignment horizontal="left" vertical="center" wrapText="1"/>
      <protection locked="0"/>
    </xf>
    <xf numFmtId="0" fontId="157" fillId="0" borderId="3" xfId="1939" applyFont="1" applyFill="1" applyBorder="1" applyAlignment="1" applyProtection="1">
      <alignment horizontal="left" vertical="center" wrapText="1"/>
      <protection locked="0"/>
    </xf>
    <xf numFmtId="0" fontId="157" fillId="0" borderId="15" xfId="1939" applyFont="1" applyFill="1" applyBorder="1" applyAlignment="1" applyProtection="1">
      <alignment horizontal="left" vertical="center" wrapText="1"/>
      <protection locked="0"/>
    </xf>
    <xf numFmtId="0" fontId="157" fillId="0" borderId="10" xfId="1939" applyFont="1" applyFill="1" applyBorder="1" applyAlignment="1" applyProtection="1">
      <alignment horizontal="left" vertical="center" wrapText="1"/>
      <protection locked="0"/>
    </xf>
    <xf numFmtId="0" fontId="157" fillId="0" borderId="13" xfId="1939" applyFont="1" applyFill="1" applyBorder="1" applyAlignment="1" applyProtection="1">
      <alignment horizontal="left" vertical="center" wrapText="1"/>
      <protection locked="0"/>
    </xf>
    <xf numFmtId="0" fontId="157" fillId="0" borderId="7" xfId="1939" applyFont="1" applyFill="1" applyBorder="1" applyAlignment="1" applyProtection="1">
      <alignment horizontal="left" vertical="center" wrapText="1"/>
      <protection locked="0"/>
    </xf>
    <xf numFmtId="0" fontId="157" fillId="0" borderId="8" xfId="1939" applyFont="1" applyFill="1" applyBorder="1" applyAlignment="1" applyProtection="1">
      <alignment horizontal="left" vertical="center" wrapText="1"/>
      <protection locked="0"/>
    </xf>
    <xf numFmtId="0" fontId="157" fillId="0" borderId="6" xfId="1939" applyFont="1" applyFill="1" applyBorder="1" applyAlignment="1" applyProtection="1">
      <alignment horizontal="left" vertical="center" wrapText="1"/>
      <protection locked="0"/>
    </xf>
    <xf numFmtId="0" fontId="39" fillId="0" borderId="8" xfId="1925" applyBorder="1" applyAlignment="1">
      <alignment horizontal="center" vertical="top" wrapText="1"/>
    </xf>
    <xf numFmtId="0" fontId="39" fillId="0" borderId="6" xfId="1925" applyBorder="1" applyAlignment="1">
      <alignment horizontal="center" vertical="top" wrapText="1"/>
    </xf>
    <xf numFmtId="0" fontId="158" fillId="0" borderId="67" xfId="1925" applyFont="1" applyFill="1" applyBorder="1" applyAlignment="1">
      <alignment horizontal="center" vertical="center" wrapText="1"/>
    </xf>
    <xf numFmtId="0" fontId="158" fillId="0" borderId="68" xfId="1925" applyFont="1" applyFill="1" applyBorder="1" applyAlignment="1">
      <alignment horizontal="center" vertical="center" wrapText="1"/>
    </xf>
    <xf numFmtId="0" fontId="158" fillId="0" borderId="96" xfId="1925" applyFont="1" applyFill="1" applyBorder="1" applyAlignment="1">
      <alignment horizontal="center" vertical="center" wrapText="1"/>
    </xf>
    <xf numFmtId="0" fontId="157" fillId="0" borderId="7" xfId="1939" applyFont="1" applyFill="1" applyBorder="1" applyAlignment="1" applyProtection="1">
      <alignment horizontal="left" vertical="top" wrapText="1"/>
      <protection locked="0"/>
    </xf>
    <xf numFmtId="0" fontId="157" fillId="0" borderId="8" xfId="1939" applyFont="1" applyFill="1" applyBorder="1" applyAlignment="1" applyProtection="1">
      <alignment horizontal="left" vertical="top" wrapText="1"/>
      <protection locked="0"/>
    </xf>
    <xf numFmtId="0" fontId="157" fillId="0" borderId="6" xfId="1939" applyFont="1" applyFill="1" applyBorder="1" applyAlignment="1" applyProtection="1">
      <alignment horizontal="left" vertical="top" wrapText="1"/>
      <protection locked="0"/>
    </xf>
    <xf numFmtId="2" fontId="61" fillId="0" borderId="0" xfId="1925" applyNumberFormat="1" applyFont="1" applyAlignment="1">
      <alignment horizontal="center"/>
    </xf>
    <xf numFmtId="0" fontId="61" fillId="0" borderId="0" xfId="1925" applyFont="1" applyAlignment="1">
      <alignment horizontal="center"/>
    </xf>
    <xf numFmtId="0" fontId="39" fillId="0" borderId="7" xfId="1925" applyFont="1" applyBorder="1" applyAlignment="1">
      <alignment horizontal="left" vertical="center"/>
    </xf>
    <xf numFmtId="0" fontId="39" fillId="0" borderId="6" xfId="1925" applyFont="1" applyBorder="1" applyAlignment="1">
      <alignment horizontal="left" vertical="center"/>
    </xf>
    <xf numFmtId="0" fontId="157" fillId="0" borderId="0" xfId="1939" applyFont="1" applyFill="1" applyAlignment="1" applyProtection="1">
      <alignment horizontal="left" vertical="center" wrapText="1"/>
      <protection locked="0"/>
    </xf>
    <xf numFmtId="0" fontId="61" fillId="0" borderId="44" xfId="1925" applyFont="1" applyBorder="1" applyAlignment="1">
      <alignment horizontal="center" vertical="center" wrapText="1"/>
    </xf>
    <xf numFmtId="0" fontId="61" fillId="0" borderId="4" xfId="1925" applyFont="1" applyBorder="1" applyAlignment="1">
      <alignment horizontal="center" vertical="center" wrapText="1"/>
    </xf>
    <xf numFmtId="0" fontId="158" fillId="0" borderId="69" xfId="1925" applyFont="1" applyFill="1" applyBorder="1" applyAlignment="1">
      <alignment horizontal="center" vertical="center" wrapText="1"/>
    </xf>
    <xf numFmtId="0" fontId="158" fillId="0" borderId="70" xfId="1925" applyFont="1" applyFill="1" applyBorder="1" applyAlignment="1">
      <alignment horizontal="center" vertical="center" wrapText="1"/>
    </xf>
    <xf numFmtId="0" fontId="158" fillId="0" borderId="97" xfId="1925" applyFont="1" applyFill="1" applyBorder="1" applyAlignment="1">
      <alignment horizontal="center" vertical="center" wrapText="1"/>
    </xf>
    <xf numFmtId="0" fontId="61" fillId="0" borderId="72" xfId="1925" applyFont="1" applyFill="1" applyBorder="1" applyAlignment="1">
      <alignment horizontal="center" vertical="center" wrapText="1"/>
    </xf>
    <xf numFmtId="0" fontId="61" fillId="0" borderId="79" xfId="1925" applyFont="1" applyFill="1" applyBorder="1" applyAlignment="1">
      <alignment horizontal="center" vertical="center" wrapText="1"/>
    </xf>
    <xf numFmtId="0" fontId="61" fillId="0" borderId="81" xfId="1925" applyFont="1" applyFill="1" applyBorder="1" applyAlignment="1">
      <alignment horizontal="center" vertical="center" wrapText="1"/>
    </xf>
    <xf numFmtId="0" fontId="44" fillId="0" borderId="72" xfId="1925" applyFont="1" applyFill="1" applyBorder="1" applyAlignment="1">
      <alignment horizontal="center" vertical="center" wrapText="1"/>
    </xf>
    <xf numFmtId="0" fontId="44" fillId="0" borderId="79" xfId="1925" applyFont="1" applyFill="1" applyBorder="1" applyAlignment="1">
      <alignment horizontal="center" vertical="center" wrapText="1"/>
    </xf>
    <xf numFmtId="0" fontId="44" fillId="0" borderId="100" xfId="1925" applyFont="1" applyFill="1" applyBorder="1" applyAlignment="1">
      <alignment horizontal="center" vertical="center" wrapText="1"/>
    </xf>
    <xf numFmtId="0" fontId="158" fillId="0" borderId="82" xfId="1925" applyFont="1" applyFill="1" applyBorder="1" applyAlignment="1">
      <alignment horizontal="center" vertical="center" wrapText="1"/>
    </xf>
    <xf numFmtId="0" fontId="61" fillId="0" borderId="101" xfId="1925" applyFont="1" applyFill="1" applyBorder="1" applyAlignment="1">
      <alignment horizontal="center" vertical="center" wrapText="1"/>
    </xf>
    <xf numFmtId="0" fontId="39" fillId="0" borderId="88" xfId="1925" applyFont="1" applyFill="1" applyBorder="1" applyAlignment="1">
      <alignment horizontal="center" vertical="center" wrapText="1"/>
    </xf>
    <xf numFmtId="0" fontId="39" fillId="0" borderId="101" xfId="1925" applyFont="1" applyFill="1" applyBorder="1" applyAlignment="1">
      <alignment horizontal="center" vertical="center" wrapText="1"/>
    </xf>
    <xf numFmtId="0" fontId="39" fillId="0" borderId="100" xfId="1925" applyFont="1" applyFill="1" applyBorder="1" applyAlignment="1">
      <alignment horizontal="center" vertical="center" wrapText="1"/>
    </xf>
    <xf numFmtId="0" fontId="61" fillId="0" borderId="80" xfId="1925" applyFont="1" applyFill="1" applyBorder="1" applyAlignment="1">
      <alignment horizontal="center" vertical="center" wrapText="1"/>
    </xf>
    <xf numFmtId="0" fontId="61" fillId="0" borderId="82" xfId="1925" applyFont="1" applyFill="1" applyBorder="1" applyAlignment="1">
      <alignment horizontal="center" vertical="center" wrapText="1"/>
    </xf>
    <xf numFmtId="0" fontId="163" fillId="0" borderId="0" xfId="1925" applyFont="1" applyAlignment="1">
      <alignment vertical="top" wrapText="1"/>
    </xf>
    <xf numFmtId="49" fontId="39" fillId="0" borderId="0" xfId="1925" applyNumberFormat="1" applyAlignment="1">
      <alignment horizontal="center"/>
    </xf>
    <xf numFmtId="0" fontId="158" fillId="0" borderId="83" xfId="1925" applyFont="1" applyFill="1" applyBorder="1" applyAlignment="1">
      <alignment horizontal="center" vertical="center" wrapText="1"/>
    </xf>
    <xf numFmtId="0" fontId="61" fillId="0" borderId="102" xfId="1925" applyFont="1" applyFill="1" applyBorder="1" applyAlignment="1">
      <alignment horizontal="center" vertical="center" wrapText="1"/>
    </xf>
    <xf numFmtId="0" fontId="61" fillId="0" borderId="8" xfId="1925" applyFont="1" applyFill="1" applyBorder="1" applyAlignment="1">
      <alignment horizontal="center" vertical="center" wrapText="1"/>
    </xf>
    <xf numFmtId="0" fontId="44" fillId="0" borderId="2" xfId="1925" applyFont="1" applyBorder="1" applyAlignment="1">
      <alignment horizontal="center" vertical="top" wrapText="1"/>
    </xf>
    <xf numFmtId="0" fontId="44" fillId="0" borderId="0" xfId="1925" applyFont="1" applyBorder="1" applyAlignment="1">
      <alignment horizontal="center" vertical="top" wrapText="1"/>
    </xf>
    <xf numFmtId="0" fontId="158" fillId="0" borderId="44" xfId="1925" applyFont="1" applyFill="1" applyBorder="1" applyAlignment="1">
      <alignment horizontal="center" vertical="center" wrapText="1"/>
    </xf>
    <xf numFmtId="0" fontId="158" fillId="0" borderId="4" xfId="1925" applyFont="1" applyFill="1" applyBorder="1" applyAlignment="1">
      <alignment horizontal="center" vertical="center" wrapText="1"/>
    </xf>
    <xf numFmtId="0" fontId="61" fillId="0" borderId="7" xfId="1925" applyFont="1" applyFill="1" applyBorder="1" applyAlignment="1">
      <alignment horizontal="center" vertical="center" wrapText="1"/>
    </xf>
    <xf numFmtId="0" fontId="61" fillId="0" borderId="6" xfId="1925" applyFont="1" applyFill="1" applyBorder="1" applyAlignment="1">
      <alignment horizontal="center" vertical="center" wrapText="1"/>
    </xf>
    <xf numFmtId="0" fontId="39" fillId="0" borderId="12" xfId="1925" applyFont="1" applyFill="1" applyBorder="1" applyAlignment="1">
      <alignment horizontal="center" vertical="center" wrapText="1"/>
    </xf>
    <xf numFmtId="0" fontId="157" fillId="0" borderId="7" xfId="1925" applyFont="1" applyFill="1" applyBorder="1" applyAlignment="1">
      <alignment horizontal="center" vertical="center" wrapText="1"/>
    </xf>
    <xf numFmtId="0" fontId="157" fillId="0" borderId="8" xfId="1925" applyFont="1" applyFill="1" applyBorder="1" applyAlignment="1">
      <alignment horizontal="center" vertical="center" wrapText="1"/>
    </xf>
    <xf numFmtId="0" fontId="165" fillId="3" borderId="7" xfId="61" applyFont="1" applyFill="1" applyBorder="1" applyAlignment="1">
      <alignment horizontal="center" vertical="center" wrapText="1"/>
    </xf>
    <xf numFmtId="0" fontId="165" fillId="3" borderId="8" xfId="61" applyFont="1" applyFill="1" applyBorder="1" applyAlignment="1">
      <alignment horizontal="center" vertical="center" wrapText="1"/>
    </xf>
    <xf numFmtId="0" fontId="165" fillId="3" borderId="6" xfId="61" applyFont="1" applyFill="1" applyBorder="1" applyAlignment="1">
      <alignment horizontal="center" vertical="center" wrapText="1"/>
    </xf>
    <xf numFmtId="0" fontId="165" fillId="0" borderId="7" xfId="61" applyFont="1" applyBorder="1" applyAlignment="1">
      <alignment horizontal="center" vertical="center"/>
    </xf>
    <xf numFmtId="0" fontId="165" fillId="0" borderId="8" xfId="61" applyFont="1" applyBorder="1" applyAlignment="1">
      <alignment horizontal="center" vertical="center"/>
    </xf>
    <xf numFmtId="0" fontId="165" fillId="0" borderId="6" xfId="61" applyFont="1" applyBorder="1" applyAlignment="1">
      <alignment horizontal="center" vertical="center"/>
    </xf>
    <xf numFmtId="0" fontId="109" fillId="0" borderId="0" xfId="61" applyFont="1" applyAlignment="1">
      <alignment horizontal="center"/>
    </xf>
    <xf numFmtId="4" fontId="109" fillId="0" borderId="0" xfId="61" applyNumberFormat="1" applyFont="1" applyAlignment="1">
      <alignment horizontal="center" vertical="center" wrapText="1"/>
    </xf>
    <xf numFmtId="4" fontId="109" fillId="0" borderId="8" xfId="61" applyNumberFormat="1" applyFont="1" applyBorder="1" applyAlignment="1">
      <alignment horizontal="center" vertical="center" wrapText="1"/>
    </xf>
    <xf numFmtId="0" fontId="165" fillId="0" borderId="0" xfId="61" applyFont="1" applyBorder="1" applyAlignment="1">
      <alignment horizontal="left"/>
    </xf>
    <xf numFmtId="0" fontId="165" fillId="0" borderId="7" xfId="61" applyFont="1" applyBorder="1" applyAlignment="1">
      <alignment horizontal="center" vertical="top"/>
    </xf>
    <xf numFmtId="0" fontId="165" fillId="0" borderId="8" xfId="61" applyFont="1" applyBorder="1" applyAlignment="1">
      <alignment horizontal="center" vertical="top"/>
    </xf>
    <xf numFmtId="0" fontId="165" fillId="0" borderId="6" xfId="61" applyFont="1" applyBorder="1" applyAlignment="1">
      <alignment horizontal="center" vertical="top"/>
    </xf>
    <xf numFmtId="0" fontId="165" fillId="0" borderId="7" xfId="61" applyFont="1" applyBorder="1" applyAlignment="1">
      <alignment horizontal="right" vertical="center" wrapText="1"/>
    </xf>
    <xf numFmtId="0" fontId="165" fillId="0" borderId="8" xfId="61" applyFont="1" applyBorder="1" applyAlignment="1">
      <alignment horizontal="right" vertical="center" wrapText="1"/>
    </xf>
    <xf numFmtId="0" fontId="165" fillId="0" borderId="6" xfId="61" applyFont="1" applyBorder="1" applyAlignment="1">
      <alignment horizontal="right" vertical="center" wrapText="1"/>
    </xf>
    <xf numFmtId="0" fontId="139" fillId="0" borderId="5" xfId="1966" applyFont="1" applyFill="1" applyBorder="1" applyAlignment="1">
      <alignment horizontal="center" vertical="center" wrapText="1"/>
    </xf>
    <xf numFmtId="0" fontId="139" fillId="0" borderId="11" xfId="1966" applyFont="1" applyFill="1" applyBorder="1" applyAlignment="1">
      <alignment horizontal="center" vertical="center" wrapText="1"/>
    </xf>
    <xf numFmtId="0" fontId="59" fillId="0" borderId="0" xfId="1966" applyFont="1" applyBorder="1" applyAlignment="1">
      <alignment horizontal="center" vertical="center" wrapText="1"/>
    </xf>
    <xf numFmtId="0" fontId="59" fillId="0" borderId="0" xfId="1966" applyFont="1" applyAlignment="1">
      <alignment horizontal="center" vertical="center" wrapText="1"/>
    </xf>
    <xf numFmtId="0" fontId="51" fillId="0" borderId="0" xfId="1942" quotePrefix="1" applyAlignment="1">
      <alignment horizontal="left" vertical="top" wrapText="1"/>
    </xf>
    <xf numFmtId="0" fontId="4" fillId="0" borderId="0" xfId="1966" applyAlignment="1">
      <alignment wrapText="1"/>
    </xf>
    <xf numFmtId="0" fontId="53" fillId="0" borderId="0" xfId="1943" applyBorder="1" applyAlignment="1">
      <alignment horizontal="left" vertical="center" wrapText="1"/>
    </xf>
    <xf numFmtId="0" fontId="51" fillId="0" borderId="0" xfId="1944" applyAlignment="1">
      <alignment horizontal="left" vertical="center" wrapText="1"/>
    </xf>
    <xf numFmtId="0" fontId="53" fillId="0" borderId="0" xfId="1945" applyBorder="1" applyAlignment="1">
      <alignment horizontal="left" vertical="center" wrapText="1"/>
    </xf>
    <xf numFmtId="0" fontId="51" fillId="0" borderId="0" xfId="1944" quotePrefix="1" applyAlignment="1">
      <alignment horizontal="left" vertical="center" wrapText="1"/>
    </xf>
    <xf numFmtId="0" fontId="139" fillId="0" borderId="4" xfId="1966" applyFont="1" applyFill="1" applyBorder="1" applyAlignment="1">
      <alignment horizontal="left" vertical="center" wrapText="1"/>
    </xf>
    <xf numFmtId="0" fontId="145" fillId="0" borderId="4" xfId="1966" applyFont="1" applyBorder="1" applyAlignment="1">
      <alignment horizontal="left" vertical="center" wrapText="1"/>
    </xf>
    <xf numFmtId="0" fontId="139" fillId="0" borderId="11" xfId="1966" applyFont="1" applyBorder="1" applyAlignment="1">
      <alignment horizontal="center" vertical="center" wrapText="1"/>
    </xf>
    <xf numFmtId="0" fontId="139" fillId="0" borderId="7" xfId="1966" applyFont="1" applyFill="1" applyBorder="1" applyAlignment="1">
      <alignment horizontal="center" vertical="center" wrapText="1"/>
    </xf>
    <xf numFmtId="0" fontId="139" fillId="0" borderId="6" xfId="1966" applyFont="1" applyFill="1" applyBorder="1" applyAlignment="1">
      <alignment horizontal="center" vertical="center" wrapText="1"/>
    </xf>
    <xf numFmtId="0" fontId="139" fillId="0" borderId="5" xfId="1966" applyFont="1" applyFill="1" applyBorder="1" applyAlignment="1">
      <alignment horizontal="center" vertical="center"/>
    </xf>
    <xf numFmtId="0" fontId="139" fillId="0" borderId="9" xfId="1966" applyFont="1" applyFill="1" applyBorder="1" applyAlignment="1">
      <alignment horizontal="center" vertical="center"/>
    </xf>
    <xf numFmtId="0" fontId="4" fillId="0" borderId="11" xfId="1966" applyBorder="1" applyAlignment="1">
      <alignment horizontal="center" vertical="center"/>
    </xf>
    <xf numFmtId="0" fontId="139" fillId="0" borderId="9" xfId="1966" applyFont="1" applyFill="1" applyBorder="1" applyAlignment="1">
      <alignment horizontal="center" vertical="center" wrapText="1"/>
    </xf>
    <xf numFmtId="0" fontId="4" fillId="0" borderId="48" xfId="1966" applyBorder="1" applyAlignment="1">
      <alignment horizontal="center" vertical="center" wrapText="1"/>
    </xf>
    <xf numFmtId="0" fontId="4" fillId="0" borderId="0" xfId="1966" applyBorder="1" applyAlignment="1">
      <alignment horizontal="center" vertical="center" wrapText="1"/>
    </xf>
    <xf numFmtId="0" fontId="42" fillId="0" borderId="0" xfId="1966" applyFont="1" applyFill="1" applyBorder="1" applyAlignment="1">
      <alignment horizontal="left" vertical="center" wrapText="1"/>
    </xf>
    <xf numFmtId="0" fontId="42" fillId="0" borderId="0" xfId="1966" applyFont="1" applyFill="1" applyBorder="1" applyAlignment="1">
      <alignment horizontal="center" vertical="center" wrapText="1"/>
    </xf>
    <xf numFmtId="0" fontId="139" fillId="0" borderId="7" xfId="1967" applyFont="1" applyFill="1" applyBorder="1" applyAlignment="1">
      <alignment horizontal="left" vertical="center" wrapText="1"/>
    </xf>
    <xf numFmtId="0" fontId="4" fillId="0" borderId="8" xfId="1967" applyBorder="1" applyAlignment="1">
      <alignment horizontal="left" vertical="center" wrapText="1"/>
    </xf>
    <xf numFmtId="0" fontId="4" fillId="0" borderId="6" xfId="1967" applyBorder="1" applyAlignment="1">
      <alignment horizontal="left" vertical="center" wrapText="1"/>
    </xf>
    <xf numFmtId="0" fontId="139" fillId="2" borderId="4" xfId="1966" applyFont="1" applyFill="1" applyBorder="1" applyAlignment="1">
      <alignment horizontal="left" vertical="center" wrapText="1"/>
    </xf>
    <xf numFmtId="0" fontId="145" fillId="2" borderId="4" xfId="1966" applyFont="1" applyFill="1" applyBorder="1" applyAlignment="1">
      <alignment horizontal="left" vertical="center" wrapText="1"/>
    </xf>
    <xf numFmtId="0" fontId="139" fillId="31" borderId="7" xfId="1966" applyFont="1" applyFill="1" applyBorder="1" applyAlignment="1">
      <alignment vertical="center" wrapText="1"/>
    </xf>
    <xf numFmtId="0" fontId="139" fillId="31" borderId="8" xfId="1966" applyFont="1" applyFill="1" applyBorder="1" applyAlignment="1">
      <alignment vertical="center" wrapText="1"/>
    </xf>
    <xf numFmtId="0" fontId="139" fillId="31" borderId="6" xfId="1966" applyFont="1" applyFill="1" applyBorder="1" applyAlignment="1">
      <alignment vertical="center" wrapText="1"/>
    </xf>
    <xf numFmtId="0" fontId="147" fillId="31" borderId="7" xfId="1966" applyFont="1" applyFill="1" applyBorder="1" applyAlignment="1">
      <alignment vertical="center" wrapText="1"/>
    </xf>
    <xf numFmtId="0" fontId="147" fillId="31" borderId="8" xfId="1966" applyFont="1" applyFill="1" applyBorder="1" applyAlignment="1">
      <alignment vertical="center" wrapText="1"/>
    </xf>
    <xf numFmtId="0" fontId="147" fillId="31" borderId="6" xfId="1966" applyFont="1" applyFill="1" applyBorder="1" applyAlignment="1">
      <alignment vertical="center" wrapText="1"/>
    </xf>
    <xf numFmtId="0" fontId="111" fillId="0" borderId="10" xfId="0" applyFont="1" applyBorder="1" applyAlignment="1">
      <alignment horizontal="center"/>
    </xf>
    <xf numFmtId="0" fontId="111" fillId="0" borderId="8" xfId="0" applyFont="1" applyBorder="1" applyAlignment="1">
      <alignment horizontal="center" vertical="center" wrapText="1"/>
    </xf>
    <xf numFmtId="0" fontId="165" fillId="0" borderId="7" xfId="61" applyFont="1" applyBorder="1" applyAlignment="1">
      <alignment horizontal="center" vertical="center" wrapText="1"/>
    </xf>
    <xf numFmtId="0" fontId="165" fillId="0" borderId="8" xfId="61" applyFont="1" applyBorder="1" applyAlignment="1">
      <alignment horizontal="center" vertical="center" wrapText="1"/>
    </xf>
    <xf numFmtId="0" fontId="165" fillId="0" borderId="6" xfId="61" applyFont="1" applyBorder="1" applyAlignment="1">
      <alignment horizontal="center" vertical="center" wrapText="1"/>
    </xf>
    <xf numFmtId="0" fontId="165" fillId="0" borderId="0" xfId="61" applyFont="1" applyBorder="1" applyAlignment="1">
      <alignment horizontal="left" wrapText="1"/>
    </xf>
  </cellXfs>
  <cellStyles count="1973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5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2"/>
    <cellStyle name="S6 3" xfId="91"/>
    <cellStyle name="S6 4" xfId="102"/>
    <cellStyle name="S6 5" xfId="139"/>
    <cellStyle name="S7" xfId="53"/>
    <cellStyle name="S7 2" xfId="54"/>
    <cellStyle name="S7 2 2" xfId="194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7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5"/>
    <cellStyle name="Обычный 28 4 2" xfId="1947"/>
    <cellStyle name="Обычный 28 4 3" xfId="1951"/>
    <cellStyle name="Обычный 28 4 4" xfId="1964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0 2 2" xfId="1966"/>
    <cellStyle name="Обычный 31" xfId="1941"/>
    <cellStyle name="Обычный 31 2" xfId="1949"/>
    <cellStyle name="Обычный 31 2 2" xfId="1953"/>
    <cellStyle name="Обычный 31 2 2 2" xfId="1967"/>
    <cellStyle name="Обычный 32" xfId="1954"/>
    <cellStyle name="Обычный 33" xfId="1940"/>
    <cellStyle name="Обычный 33 2" xfId="1948"/>
    <cellStyle name="Обычный 33 3" xfId="1952"/>
    <cellStyle name="Обычный 34" xfId="1934"/>
    <cellStyle name="Обычный 35" xfId="1946"/>
    <cellStyle name="Обычный 35 2" xfId="1950"/>
    <cellStyle name="Обычный 36" xfId="1955"/>
    <cellStyle name="Обычный 36 2" xfId="1965"/>
    <cellStyle name="Обычный 37" xfId="1956"/>
    <cellStyle name="Обычный 37 2" xfId="1963"/>
    <cellStyle name="Обычный 38" xfId="1957"/>
    <cellStyle name="Обычный 39" xfId="1958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9"/>
    <cellStyle name="Обычный 41" xfId="1960"/>
    <cellStyle name="Обычный 42" xfId="1961"/>
    <cellStyle name="Обычный 43" xfId="1962"/>
    <cellStyle name="Обычный 44" xfId="1968"/>
    <cellStyle name="Обычный 45" xfId="1969"/>
    <cellStyle name="Обычный 46" xfId="1970"/>
    <cellStyle name="Обычный 47" xfId="1972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3"/>
    <cellStyle name="Обычный_6200_PRT" xfId="1939"/>
    <cellStyle name="Обычный_6200_PRT 2" xfId="1932"/>
    <cellStyle name="Обычный_6200РД" xfId="1938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6"/>
    <cellStyle name="Финансовый 8" xfId="1971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45.xml"/><Relationship Id="rId74" Type="http://schemas.openxmlformats.org/officeDocument/2006/relationships/externalLink" Target="externalLinks/externalLink53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0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externalLink" Target="externalLinks/externalLink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52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304800</xdr:colOff>
      <xdr:row>54</xdr:row>
      <xdr:rowOff>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tarinov\AppData\Roaming\Microsoft\AddIns\sumprop.xla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EL8%20&#1080;%20EL9%20(20.10.2022)/&#1053;&#1052;&#1062;%20&#1055;&#1048;&#1056;%20EL9%20(&#1073;&#1077;&#1079;%20&#1072;&#1074;&#1072;&#1085;&#1089;&#1080;&#1088;&#1086;&#1074;&#1072;&#1085;&#1080;&#1103;)_20.10.2022%20&#1074;%20&#1088;&#1072;&#1073;&#1086;&#1090;&#1077;!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3.%20&#1069;&#1083;&#1100;&#1073;&#1088;&#1091;&#1089;/EL8%20&#1080;%20EL9%20&#1055;&#1048;&#1056;/&#1040;&#1085;&#1072;&#1083;&#1080;&#1079;%20&#1089;&#1090;&#1086;&#1080;&#1084;&#1086;&#1089;&#1090;&#1080;%20&#1053;&#1058;&#1057;%20&#1080;%20&#1057;&#1058;&#1059;%20(EL7,%20EL8,%20EL9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  <sheetName val="Упр"/>
      <sheetName val="ц_1991"/>
      <sheetName val="информация"/>
      <sheetName val="РС"/>
      <sheetName val="Данные для расчёта сметы"/>
      <sheetName val="СметаСводная"/>
      <sheetName val="свод 2"/>
      <sheetName val="ИГ1"/>
      <sheetName val="См 1 наруж.водопровод"/>
      <sheetName val="свод1"/>
      <sheetName val="СметаСводная Рыб"/>
      <sheetName val="#ССЫЛКА"/>
      <sheetName val="СметаСводная Колпино"/>
      <sheetName val="Материалы"/>
      <sheetName val="шаблон"/>
      <sheetName val="Journals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Курсы"/>
      <sheetName val="ВКЕ"/>
      <sheetName val="СМЕТА проект"/>
      <sheetName val="РП"/>
      <sheetName val="Сводная смета"/>
      <sheetName val="list"/>
      <sheetName val="Разработка проекта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свод_3"/>
      <sheetName val="ПСП_"/>
      <sheetName val="Пример_расчета"/>
      <sheetName val="свод_2"/>
      <sheetName val="СМЕТА_проект"/>
      <sheetName val="Сводная_смета"/>
      <sheetName val="Разработка_проекта"/>
      <sheetName val="Main"/>
      <sheetName val="Кл-р SysTel"/>
      <sheetName val="СПРПФ"/>
      <sheetName val="sapactivexlhiddensheet"/>
      <sheetName val="КП Прим (3)"/>
      <sheetName val="1.3"/>
      <sheetName val="Калькуляция_2012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HP и оргтехника"/>
      <sheetName val="5ОборРабМест(HP)"/>
      <sheetName val="Зап-3- СЦБ"/>
      <sheetName val="СметаСводная павильон"/>
      <sheetName val="сводная"/>
      <sheetName val="OCK1"/>
      <sheetName val="СМ"/>
      <sheetName val="Раб"/>
      <sheetName val="Ap"/>
      <sheetName val="Раб1"/>
      <sheetName val="Штамп"/>
      <sheetName val="Ан"/>
      <sheetName val="Титул"/>
      <sheetName val="СмДок"/>
      <sheetName val="СостРабПр"/>
      <sheetName val="Огл"/>
      <sheetName val="ПЗ"/>
      <sheetName val="ИсхДан"/>
      <sheetName val="С0"/>
      <sheetName val="Л09-02"/>
      <sheetName val="Л09-03"/>
      <sheetName val="16"/>
      <sheetName val="17"/>
      <sheetName val="18"/>
      <sheetName val="SS(4)"/>
      <sheetName val="SS(5)"/>
      <sheetName val="SS(6)"/>
      <sheetName val="SSS"/>
      <sheetName val="SS(7)"/>
      <sheetName val="SS(8)"/>
      <sheetName val="SS(9)"/>
      <sheetName val="SS(10)"/>
      <sheetName val="SS(11)"/>
      <sheetName val="SS(12)"/>
      <sheetName val="SS(13)"/>
      <sheetName val="SS(14)"/>
      <sheetName val="SS(15)"/>
      <sheetName val="SS(16)"/>
      <sheetName val="SS(17)"/>
      <sheetName val="SS(18)"/>
      <sheetName val="SS(19)"/>
      <sheetName val="SS(20)"/>
      <sheetName val="SS(21)"/>
      <sheetName val="SS(22)"/>
      <sheetName val="SS(23)"/>
      <sheetName val="SS(24)"/>
      <sheetName val="SS(25)"/>
      <sheetName val="SS(26)"/>
      <sheetName val="SS(27)"/>
      <sheetName val="SS(28)"/>
      <sheetName val="SS(29)"/>
      <sheetName val="SS(30)"/>
      <sheetName val="SS(31)"/>
      <sheetName val="SS(32)"/>
      <sheetName val="SS(33)"/>
      <sheetName val="SS(34)"/>
      <sheetName val="SS(35)"/>
      <sheetName val="SS(36)"/>
      <sheetName val="SS(37)"/>
      <sheetName val="SS(38)"/>
      <sheetName val="SS(39)"/>
      <sheetName val="SS(40)"/>
      <sheetName val="SS(41)"/>
      <sheetName val="SS(42)"/>
      <sheetName val="SS(43)"/>
      <sheetName val="SS(44)"/>
      <sheetName val="SS(45)"/>
      <sheetName val="SS(46)"/>
      <sheetName val="SS(47)"/>
      <sheetName val="SS(48)"/>
      <sheetName val="SS(49)"/>
      <sheetName val="SS(50)"/>
      <sheetName val="SS(51)"/>
      <sheetName val="SS(52)"/>
      <sheetName val="SS(53)"/>
      <sheetName val="SS(54)"/>
      <sheetName val="SS(55)"/>
      <sheetName val="SS(56)"/>
      <sheetName val="SS(57)"/>
      <sheetName val="SS(58)"/>
      <sheetName val="SS(59)"/>
      <sheetName val="SS(60)"/>
      <sheetName val="SS(61)"/>
      <sheetName val="SS(62)"/>
      <sheetName val="SS(63)"/>
      <sheetName val="SS(64)"/>
      <sheetName val="SS(65)"/>
      <sheetName val="SS(66)"/>
      <sheetName val="SS(67)"/>
      <sheetName val="SS(68)"/>
      <sheetName val="SS(69)"/>
      <sheetName val="SS(70)"/>
      <sheetName val="SS(71)"/>
      <sheetName val="SS(72)"/>
      <sheetName val="SS(73)"/>
      <sheetName val="SS(74)"/>
      <sheetName val="SS(75)"/>
      <sheetName val="SS(76)"/>
      <sheetName val="SS(77)"/>
      <sheetName val="SS(78)"/>
      <sheetName val="SS(79)"/>
      <sheetName val="SS(80)"/>
      <sheetName val="SS(81)"/>
      <sheetName val="SS(82)"/>
      <sheetName val="SS(83)"/>
      <sheetName val="SS(84)"/>
      <sheetName val="SS(85)"/>
      <sheetName val="SS(86)"/>
      <sheetName val="SS(87)"/>
      <sheetName val="SS(88)"/>
      <sheetName val="SS(89)"/>
      <sheetName val="SS(90)"/>
      <sheetName val="SS(91)"/>
      <sheetName val="SS(92)"/>
      <sheetName val="SS(93)"/>
      <sheetName val="SS(94)"/>
      <sheetName val="SS(95)"/>
      <sheetName val="SS(96)"/>
      <sheetName val="SS(97)"/>
      <sheetName val="SS(98)"/>
      <sheetName val="SS(99)"/>
      <sheetName val="SS(100)"/>
      <sheetName val="SS(101)"/>
      <sheetName val="SS(102)"/>
      <sheetName val="SS(103)"/>
      <sheetName val="SS(104)"/>
      <sheetName val="SS(105)"/>
      <sheetName val="SS(106)"/>
      <sheetName val="SS(107)"/>
      <sheetName val="SS(108)"/>
      <sheetName val="SS(109)"/>
      <sheetName val="SS(110)"/>
      <sheetName val="SS(111)"/>
      <sheetName val="SS(112)"/>
      <sheetName val="SS(113)"/>
      <sheetName val="SS(114)"/>
      <sheetName val="SS(115)"/>
      <sheetName val="SS(116)"/>
      <sheetName val="SS(117)"/>
      <sheetName val="SS(118)"/>
      <sheetName val="SS(119)"/>
      <sheetName val="SS(120)"/>
      <sheetName val="SS(121)"/>
      <sheetName val="SS(122)"/>
      <sheetName val="SS(123)"/>
      <sheetName val="SS(124)"/>
      <sheetName val="SS(125)"/>
      <sheetName val="SS(126)"/>
      <sheetName val="SS(127)"/>
      <sheetName val="SS(128)"/>
      <sheetName val="SS(129)"/>
      <sheetName val="SS(130)"/>
      <sheetName val="SS(131)"/>
      <sheetName val="SS(132)"/>
      <sheetName val="SS(133)"/>
      <sheetName val="SS(134)"/>
      <sheetName val="SS(135)"/>
      <sheetName val="SS(136)"/>
      <sheetName val="SS(137)"/>
      <sheetName val="SS(138)"/>
      <sheetName val="SS(139)"/>
      <sheetName val="SS(140)"/>
      <sheetName val="SS(141)"/>
      <sheetName val="SS(142)"/>
      <sheetName val="SS(143)"/>
      <sheetName val="SS(144)"/>
      <sheetName val="SS(145)"/>
      <sheetName val="SS(146)"/>
      <sheetName val="SS(147)"/>
      <sheetName val="SS(148)"/>
      <sheetName val="SS(149)"/>
      <sheetName val="SS(150)"/>
      <sheetName val="SS(151)"/>
      <sheetName val="SS(152)"/>
      <sheetName val="SS(153)"/>
      <sheetName val="SS(154)"/>
      <sheetName val="SS(155)"/>
      <sheetName val="SS(156)"/>
      <sheetName val="SS(157)"/>
      <sheetName val="SS(158)"/>
      <sheetName val="SS(159)"/>
      <sheetName val="SS(160)"/>
      <sheetName val="SS(161)"/>
      <sheetName val="SS(162)"/>
      <sheetName val="SS(163)"/>
      <sheetName val="SS(164)"/>
      <sheetName val="SS(166)"/>
      <sheetName val="Титул1"/>
      <sheetName val="Титул2"/>
      <sheetName val="Титул3"/>
      <sheetName val="НЕДЕЛИ"/>
      <sheetName val="х"/>
      <sheetName val="влад-таблица"/>
      <sheetName val="Стр1По"/>
      <sheetName val="Подрядчики"/>
      <sheetName val="См_1_наруж_водопровод"/>
      <sheetName val="Кл-р_SysTel"/>
      <sheetName val="КП_Прим_(3)"/>
      <sheetName val="1_3"/>
      <sheetName val="СметаСводная_Рыб"/>
      <sheetName val="Таас-Юрях"/>
      <sheetName val="Етыпур-"/>
      <sheetName val="ЗапТарк"/>
      <sheetName val="Приобка"/>
      <sheetName val="ВЖК"/>
      <sheetName val="КП Мак"/>
      <sheetName val="Бюджет"/>
      <sheetName val="гидрология"/>
      <sheetName val="пр_5_1"/>
      <sheetName val="Стр5"/>
      <sheetName val="Стр6"/>
      <sheetName val="Стр7"/>
      <sheetName val="Стр8а"/>
      <sheetName val="Стр9а"/>
      <sheetName val="Стр8б"/>
      <sheetName val="Стр9б"/>
      <sheetName val="Стр8г"/>
      <sheetName val="Стр9г"/>
      <sheetName val="Стр8и"/>
      <sheetName val="Стр9и"/>
      <sheetName val="Стр14"/>
      <sheetName val="Список"/>
      <sheetName val="Иммакр"/>
      <sheetName val="Данные1кв."/>
      <sheetName val="Данные"/>
      <sheetName val="Стр2По"/>
      <sheetName val="Стр3По"/>
      <sheetName val="Стр4По"/>
      <sheetName val="Стр5По"/>
      <sheetName val="Стр6По(а)"/>
      <sheetName val="Стр6По(б)"/>
      <sheetName val="Стр6По(г)"/>
      <sheetName val="Стр6По(и)"/>
      <sheetName val="Стр7По"/>
      <sheetName val="НДС"/>
      <sheetName val="Коэф КВ"/>
      <sheetName val="EKDEB90"/>
      <sheetName val="Стр1"/>
      <sheetName val="ИД"/>
      <sheetName val="январь"/>
      <sheetName val="Лист1"/>
      <sheetName val="База"/>
      <sheetName val="6.52-свод"/>
      <sheetName val="ОБЩЕСТВА"/>
      <sheetName val="План"/>
      <sheetName val="Лист2"/>
      <sheetName val="Гр5(о)"/>
      <sheetName val="Справочник"/>
      <sheetName val="Данные1кв_"/>
      <sheetName val="Коэф_КВ"/>
      <sheetName val="6_52-свод"/>
      <sheetName val="КП НовоКов"/>
      <sheetName val="Калплан Кра"/>
      <sheetName val="изыскания 2"/>
      <sheetName val="КП к ГК"/>
      <sheetName val="Об-15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.рын"/>
      <sheetName val="Вспомогательный"/>
      <sheetName val="Смета 1свод"/>
      <sheetName val="СметаСводная снег"/>
      <sheetName val="13.1"/>
      <sheetName val="Амур ДОН"/>
      <sheetName val="Архив2"/>
      <sheetName val="Opex personnel (Term facs)"/>
      <sheetName val="КП (2)"/>
      <sheetName val="Calc"/>
      <sheetName val="Ачинский НПЗ"/>
      <sheetName val="пятилетка"/>
      <sheetName val="мониторинг"/>
      <sheetName val="Параметры"/>
      <sheetName val="кп"/>
      <sheetName val="Кал.план Жукова даты - не надо"/>
      <sheetName val="смета СИД"/>
      <sheetName val="ПДР ООО &quot;Юкос ФБЦ&quot;"/>
      <sheetName val="Объемы работ по ПВ"/>
      <sheetName val="мсн"/>
      <sheetName val="Lim"/>
      <sheetName val="Хар_"/>
      <sheetName val="С1_"/>
      <sheetName val="total"/>
      <sheetName val="исходные данные"/>
      <sheetName val="Комплектация"/>
      <sheetName val="трубы"/>
      <sheetName val="расчетные таблицы"/>
      <sheetName val="СМР"/>
      <sheetName val="дороги"/>
      <sheetName val="Дополнительные параметры"/>
      <sheetName val="ОПС"/>
      <sheetName val="BACT"/>
      <sheetName val="Дополнительные пара_x0000__x0000__x0005__x0000__xde00_"/>
      <sheetName val="ЛЧ"/>
      <sheetName val="Смета-Т"/>
      <sheetName val="Курс доллара"/>
      <sheetName val="Хаттон 90.90 Femco"/>
      <sheetName val="См3 СЦБ-зап"/>
      <sheetName val="ПД"/>
      <sheetName val="СметаСводная 1 оч"/>
      <sheetName val="Leistungsakt"/>
      <sheetName val="в работу"/>
      <sheetName val="трансформация1"/>
      <sheetName val="breakdown"/>
      <sheetName val="Destination"/>
      <sheetName val="СС"/>
      <sheetName val="Капитальные затраты"/>
      <sheetName val="ЭХЗ"/>
      <sheetName val="Свод объем"/>
      <sheetName val="1ПС"/>
      <sheetName val="ИД1"/>
      <sheetName val="Приложение 2"/>
      <sheetName val="Переменные и константы"/>
      <sheetName val="вариант"/>
      <sheetName val="ID"/>
      <sheetName val="СП"/>
      <sheetName val="A54НДС"/>
      <sheetName val="Должности"/>
      <sheetName val="Общая часть"/>
      <sheetName val="УП _2004"/>
      <sheetName val="АЧ"/>
      <sheetName val="Табл38-7"/>
      <sheetName val="БП НОВЫЙ"/>
      <sheetName val="База Геодезия"/>
      <sheetName val="База Геология"/>
      <sheetName val="6"/>
      <sheetName val="5.1"/>
      <sheetName val="3.1 ТХ"/>
      <sheetName val="геолог"/>
      <sheetName val="К"/>
      <sheetName val="база на 21-04-08"/>
      <sheetName val="СПЕЦИФИК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Данные для расчёта сметы"/>
      <sheetName val="СметаСводная снег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2002_v2_"/>
      <sheetName val="см8"/>
      <sheetName val="РН-ПНГ"/>
      <sheetName val="свод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Перечень ИУ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  <sheetName val="СМ"/>
      <sheetName val="8"/>
      <sheetName val="исх-данные"/>
      <sheetName val="MararashAA"/>
      <sheetName val="ПРОЦЕНТЫ"/>
      <sheetName val="Пра_x0000_с_лист"/>
      <sheetName val="ПС_x0000__x0000__x0000__x0000__x0000__x0000_"/>
      <sheetName val="Бл.электр."/>
      <sheetName val="2 Геология"/>
      <sheetName val="Объем работ"/>
      <sheetName val="Виды работ АСО"/>
      <sheetName val="таблица_руко_x0019__x0015__x0009__x0003__x000c__x0011__x0011_"/>
      <sheetName val="ФОТ для смет"/>
      <sheetName val="ЛС_РЕС"/>
      <sheetName val="_x0000__x0000_"/>
      <sheetName val="таблица_руко_x0019__x0015_ _x0003__x000c__x0011__x0011_"/>
      <sheetName val="КБК ДПК"/>
      <sheetName val="Сводный"/>
      <sheetName val="3_гидромет"/>
      <sheetName val="6"/>
      <sheetName val="СМИС"/>
      <sheetName val="basa"/>
      <sheetName val="ПД-2.2"/>
      <sheetName val="1.14"/>
      <sheetName val="1.7"/>
      <sheetName val="Имя"/>
      <sheetName val="кап.ремонт"/>
      <sheetName val="База"/>
      <sheetName val="СВ 2"/>
      <sheetName val="1.2_"/>
      <sheetName val="Base"/>
      <sheetName val="Настр"/>
      <sheetName val="Распределение_затрат"/>
      <sheetName val="ЗАТ_ПОДР"/>
      <sheetName val="ПРОЧИЕ_ЗАТР"/>
      <sheetName val="ПОКУП_ВОДА"/>
      <sheetName val="РАСПРЕД ПО ПРОЦЕСС"/>
      <sheetName val="РЕАГ_КАТАЛ"/>
      <sheetName val="СЫРЬЕ"/>
      <sheetName val="СМЕТА_ТЕКРЕМ"/>
      <sheetName val="УСЛУГИ_ПРОМХАР"/>
      <sheetName val="Обор"/>
      <sheetName val="Приложение 2"/>
      <sheetName val="Должности"/>
      <sheetName val="Лист"/>
      <sheetName val="Исх"/>
      <sheetName val="Исх."/>
      <sheetName val="#ССЫЛКА"/>
      <sheetName val="пофакторный"/>
      <sheetName val="РАСШИФ_ЦЕХ_РАСХ"/>
      <sheetName val="топ"/>
      <sheetName val="Дог_рас"/>
      <sheetName val="Ограничения шаблон"/>
      <sheetName val="Причины отклонений"/>
      <sheetName val="Статус работы"/>
      <sheetName val="Уровень графика"/>
      <sheetName val="ЕТС (ф)"/>
      <sheetName val="Исх1"/>
      <sheetName val="П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sumprop"/>
    </sheetNames>
    <definedNames>
      <definedName name="СуммаПрописью"/>
    </definedNames>
    <sheetDataSet>
      <sheetData sheetId="0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дрология"/>
      <sheetName val="Пояснительная"/>
      <sheetName val="Протокол"/>
      <sheetName val="НМЦ"/>
      <sheetName val="НМЦК"/>
      <sheetName val="Cводная смета ПИР"/>
      <sheetName val="ПД EL9"/>
      <sheetName val="Экспертиза ПД и ИЗ"/>
      <sheetName val="Геодезия"/>
      <sheetName val="Геология"/>
      <sheetName val="Геофизика "/>
      <sheetName val="Гидромет"/>
      <sheetName val="Сели Лавины"/>
      <sheetName val="Экология"/>
      <sheetName val="Археология"/>
      <sheetName val="ВОП (по форме 3п)"/>
      <sheetName val="Сводная"/>
      <sheetName val="ВОП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G12">
            <v>0.3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ТС СТУ EL7-EL9 (сравнение)"/>
    </sheetNames>
    <sheetDataSet>
      <sheetData sheetId="0">
        <row r="13">
          <cell r="N13">
            <v>2000000</v>
          </cell>
          <cell r="O13" t="str">
            <v>КП (письмо ООО "НКД" исх. №3400 от 28.10.2022)</v>
          </cell>
        </row>
        <row r="14">
          <cell r="N14">
            <v>1458333.3333333335</v>
          </cell>
          <cell r="O14" t="str">
            <v>КП (письмо ООО "НКД" исх. №3400 от 28.10.2022)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  <sheetName val="Упр"/>
      <sheetName val="РП"/>
      <sheetName val="См 1 наруж.водопровод"/>
      <sheetName val="Обновление"/>
      <sheetName val="Цена"/>
      <sheetName val="Product"/>
      <sheetName val="Лист1"/>
      <sheetName val="Данные для расчёта сметы"/>
      <sheetName val="График"/>
      <sheetName val="Коэф"/>
      <sheetName val="OCK1"/>
      <sheetName val="КП (2)"/>
      <sheetName val="в работу"/>
      <sheetName val="Сводная"/>
      <sheetName val="Параметры"/>
      <sheetName val="Геология"/>
      <sheetName val="Геофизика"/>
      <sheetName val="ЭХЗ"/>
      <sheetName val="Табл38-7"/>
      <sheetName val="Journals"/>
      <sheetName val="СтрЗапасов (2)"/>
      <sheetName val="З_П"/>
      <sheetName val="СМЕТА_проект"/>
      <sheetName val="СВОД_ПИР"/>
      <sheetName val="13_1"/>
      <sheetName val="Пример_расчета"/>
      <sheetName val="Коэфф1_"/>
      <sheetName val="Прайс_лист"/>
      <sheetName val="Сводная_смета"/>
      <sheetName val="Сводная_газопровод"/>
      <sheetName val="к_84-к_83"/>
      <sheetName val="Прибыль опл"/>
      <sheetName val="все"/>
      <sheetName val="8"/>
      <sheetName val="Хар_"/>
      <sheetName val="С1_"/>
      <sheetName val="Восстановл_Лист7"/>
      <sheetName val="Восстановл_Лист13"/>
      <sheetName val="Восстановл_Лист15"/>
      <sheetName val="Восстановл_Лист19"/>
      <sheetName val="УКП"/>
      <sheetName val="Lim"/>
      <sheetName val="ИД СМР"/>
      <sheetName val="ИД ПНР"/>
      <sheetName val="СПЕЦИФИКАЦИЯ"/>
      <sheetName val="Norm"/>
      <sheetName val=""/>
      <sheetName val="ПД"/>
      <sheetName val="№5 СУБ Инж защ"/>
      <sheetName val="data"/>
      <sheetName val="Panduit"/>
      <sheetName val="Б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>
      <c r="A1" s="16"/>
      <c r="B1" s="17"/>
      <c r="C1" s="17"/>
      <c r="D1" s="16"/>
      <c r="E1" s="18" t="s">
        <v>48</v>
      </c>
      <c r="F1" s="18"/>
      <c r="G1" s="18"/>
      <c r="H1" s="18"/>
      <c r="I1" s="18"/>
      <c r="J1" s="18"/>
      <c r="K1" s="17"/>
      <c r="L1" s="17"/>
      <c r="M1" s="8"/>
    </row>
    <row r="2" spans="1:13">
      <c r="A2" s="16"/>
      <c r="B2" s="17"/>
      <c r="C2" s="17"/>
      <c r="D2" s="16"/>
      <c r="E2" s="18" t="s">
        <v>49</v>
      </c>
      <c r="F2" s="18"/>
      <c r="G2" s="18"/>
      <c r="H2" s="18"/>
      <c r="I2" s="18"/>
      <c r="J2" s="18"/>
      <c r="K2" s="17"/>
      <c r="L2" s="17"/>
      <c r="M2" s="8"/>
    </row>
    <row r="3" spans="1:13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>
      <c r="A4" s="1299" t="s">
        <v>47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8"/>
    </row>
    <row r="5" spans="1:13">
      <c r="A5" s="1300" t="s">
        <v>91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7"/>
    </row>
    <row r="6" spans="1:13" s="93" customFormat="1" ht="26.25" customHeight="1" thickBot="1">
      <c r="A6" s="1302" t="s">
        <v>92</v>
      </c>
      <c r="B6" s="1302"/>
      <c r="C6" s="1302"/>
      <c r="D6" s="1302"/>
      <c r="E6" s="1302"/>
      <c r="F6" s="1302"/>
      <c r="G6" s="1302"/>
      <c r="H6" s="1302"/>
      <c r="I6" s="1302"/>
      <c r="J6" s="1302"/>
      <c r="K6" s="1302"/>
      <c r="L6" s="1303"/>
      <c r="M6" s="92"/>
    </row>
    <row r="7" spans="1:13" ht="21" customHeight="1" thickTop="1">
      <c r="A7" s="20" t="s">
        <v>50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>
      <c r="A8" s="1304" t="s">
        <v>17</v>
      </c>
      <c r="B8" s="1304" t="s">
        <v>18</v>
      </c>
      <c r="C8" s="1304" t="s">
        <v>19</v>
      </c>
      <c r="D8" s="1304" t="s">
        <v>20</v>
      </c>
      <c r="E8" s="1304" t="s">
        <v>21</v>
      </c>
      <c r="F8" s="1304" t="s">
        <v>22</v>
      </c>
      <c r="G8" s="1304"/>
      <c r="H8" s="1304"/>
      <c r="I8" s="1304"/>
      <c r="J8" s="1304"/>
      <c r="K8" s="1305"/>
      <c r="L8" s="1304" t="s">
        <v>23</v>
      </c>
    </row>
    <row r="9" spans="1:13" ht="18" customHeight="1">
      <c r="A9" s="1305"/>
      <c r="B9" s="1305"/>
      <c r="C9" s="1305"/>
      <c r="D9" s="1305"/>
      <c r="E9" s="1305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1305"/>
    </row>
    <row r="10" spans="1:13" ht="18" customHeigh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>
      <c r="A11" s="1306" t="s">
        <v>30</v>
      </c>
      <c r="B11" s="1307"/>
      <c r="C11" s="1307"/>
      <c r="D11" s="1307"/>
      <c r="E11" s="1307"/>
      <c r="F11" s="1307"/>
      <c r="G11" s="1307"/>
      <c r="H11" s="1307"/>
      <c r="I11" s="1307"/>
      <c r="J11" s="1307"/>
      <c r="K11" s="1307"/>
      <c r="L11" s="1308"/>
    </row>
    <row r="12" spans="1:13" ht="42" customHeight="1">
      <c r="A12" s="26">
        <v>1</v>
      </c>
      <c r="B12" s="27" t="s">
        <v>51</v>
      </c>
      <c r="C12" s="28" t="s">
        <v>52</v>
      </c>
      <c r="D12" s="28">
        <v>0.36</v>
      </c>
      <c r="E12" s="29" t="s">
        <v>53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>
      <c r="A13" s="26">
        <v>2</v>
      </c>
      <c r="B13" s="27" t="s">
        <v>54</v>
      </c>
      <c r="C13" s="28" t="s">
        <v>37</v>
      </c>
      <c r="D13" s="28">
        <v>0</v>
      </c>
      <c r="E13" s="29" t="s">
        <v>55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>
      <c r="A14" s="26">
        <v>2</v>
      </c>
      <c r="B14" s="27" t="s">
        <v>56</v>
      </c>
      <c r="C14" s="28" t="s">
        <v>37</v>
      </c>
      <c r="D14" s="28">
        <v>36</v>
      </c>
      <c r="E14" s="29" t="s">
        <v>57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>
      <c r="A15" s="26">
        <v>3</v>
      </c>
      <c r="B15" s="27" t="s">
        <v>58</v>
      </c>
      <c r="C15" s="28" t="s">
        <v>59</v>
      </c>
      <c r="D15" s="28">
        <v>4845</v>
      </c>
      <c r="E15" s="29" t="s">
        <v>60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>
      <c r="A17" s="35"/>
      <c r="B17" s="3" t="s">
        <v>76</v>
      </c>
      <c r="C17" s="7"/>
      <c r="D17" s="36">
        <f>L16</f>
        <v>113568.24</v>
      </c>
      <c r="E17" s="4" t="s">
        <v>61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>
      <c r="A18" s="35"/>
      <c r="B18" s="3" t="s">
        <v>62</v>
      </c>
      <c r="C18" s="7"/>
      <c r="D18" s="36">
        <f>L16</f>
        <v>113568.24</v>
      </c>
      <c r="E18" s="4" t="s">
        <v>63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>
      <c r="A19" s="35"/>
      <c r="B19" s="3" t="s">
        <v>64</v>
      </c>
      <c r="C19" s="37"/>
      <c r="D19" s="36">
        <f>L16</f>
        <v>113568.24</v>
      </c>
      <c r="E19" s="4" t="s">
        <v>65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>
      <c r="A22" s="1306" t="s">
        <v>66</v>
      </c>
      <c r="B22" s="1307"/>
      <c r="C22" s="1307"/>
      <c r="D22" s="1307"/>
      <c r="E22" s="1307"/>
      <c r="F22" s="1307"/>
      <c r="G22" s="1307"/>
      <c r="H22" s="1307"/>
      <c r="I22" s="1307"/>
      <c r="J22" s="1307"/>
      <c r="K22" s="1307"/>
      <c r="L22" s="1308"/>
      <c r="M22" s="9"/>
    </row>
    <row r="23" spans="1:13" ht="29.25" hidden="1" customHeight="1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>
      <c r="A24" s="26">
        <v>4</v>
      </c>
      <c r="B24" s="53" t="s">
        <v>67</v>
      </c>
      <c r="C24" s="29"/>
      <c r="D24" s="54">
        <f>L21</f>
        <v>136281.89000000001</v>
      </c>
      <c r="E24" s="55" t="s">
        <v>68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>
      <c r="A25" s="26">
        <v>5</v>
      </c>
      <c r="B25" s="53" t="s">
        <v>69</v>
      </c>
      <c r="C25" s="29"/>
      <c r="D25" s="54">
        <f>D24+L24</f>
        <v>143095.98000000001</v>
      </c>
      <c r="E25" s="55" t="s">
        <v>70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>
      <c r="A26" s="26">
        <v>6</v>
      </c>
      <c r="B26" s="53" t="s">
        <v>32</v>
      </c>
      <c r="C26" s="29"/>
      <c r="D26" s="54">
        <f>D24+L24</f>
        <v>143095.98000000001</v>
      </c>
      <c r="E26" s="62" t="s">
        <v>71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>
      <c r="A27" s="26">
        <v>8</v>
      </c>
      <c r="B27" s="53" t="s">
        <v>40</v>
      </c>
      <c r="C27" s="29"/>
      <c r="D27" s="54">
        <f>L16+L17</f>
        <v>136281.89000000001</v>
      </c>
      <c r="E27" s="55" t="s">
        <v>72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73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>
      <c r="A32" s="79"/>
      <c r="B32" s="1309" t="s">
        <v>74</v>
      </c>
      <c r="C32" s="1310"/>
      <c r="D32" s="1310"/>
      <c r="E32" s="1310"/>
      <c r="F32" s="1310"/>
      <c r="G32" s="1310"/>
      <c r="H32" s="1310"/>
      <c r="I32" s="1310"/>
      <c r="J32" s="1311"/>
      <c r="K32" s="80">
        <v>3.9</v>
      </c>
      <c r="L32" s="81">
        <f>L31*K32</f>
        <v>747819.58</v>
      </c>
    </row>
    <row r="33" spans="1:12" hidden="1">
      <c r="A33" s="79"/>
      <c r="B33" s="1309" t="s">
        <v>44</v>
      </c>
      <c r="C33" s="1310"/>
      <c r="D33" s="1310"/>
      <c r="E33" s="1310"/>
      <c r="F33" s="1310"/>
      <c r="G33" s="1310"/>
      <c r="H33" s="1310"/>
      <c r="I33" s="1310"/>
      <c r="J33" s="1311"/>
      <c r="K33" s="80">
        <v>1</v>
      </c>
      <c r="L33" s="81">
        <f>L32*K33</f>
        <v>747819.58</v>
      </c>
    </row>
    <row r="34" spans="1:1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>
      <c r="A35" s="79"/>
      <c r="B35" s="1296" t="s">
        <v>75</v>
      </c>
      <c r="C35" s="1297"/>
      <c r="D35" s="1297"/>
      <c r="E35" s="1297"/>
      <c r="F35" s="1297"/>
      <c r="G35" s="1297"/>
      <c r="H35" s="1297"/>
      <c r="I35" s="1297"/>
      <c r="J35" s="1297"/>
      <c r="K35" s="1298"/>
      <c r="L35" s="70">
        <v>0</v>
      </c>
    </row>
    <row r="36" spans="1:1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F1090"/>
  <sheetViews>
    <sheetView showGridLines="0" topLeftCell="B1034" zoomScale="130" zoomScaleNormal="130" workbookViewId="0">
      <selection activeCell="E1082" sqref="E1082"/>
    </sheetView>
  </sheetViews>
  <sheetFormatPr defaultColWidth="8.85546875" defaultRowHeight="12.75" outlineLevelRow="1"/>
  <cols>
    <col min="1" max="1" width="0" style="994" hidden="1" customWidth="1"/>
    <col min="2" max="2" width="3.42578125" style="994" customWidth="1"/>
    <col min="3" max="3" width="25.42578125" style="994" customWidth="1"/>
    <col min="4" max="4" width="36" style="994" customWidth="1"/>
    <col min="5" max="5" width="21.28515625" style="994" customWidth="1"/>
    <col min="6" max="6" width="12.7109375" style="994" customWidth="1"/>
    <col min="7" max="10" width="8.85546875" style="994"/>
    <col min="11" max="11" width="16" style="994" customWidth="1"/>
    <col min="12" max="16384" width="8.85546875" style="994"/>
  </cols>
  <sheetData>
    <row r="1" spans="2:6">
      <c r="B1" s="243"/>
      <c r="C1" s="243"/>
      <c r="D1" s="243"/>
      <c r="E1" s="993" t="s">
        <v>205</v>
      </c>
    </row>
    <row r="2" spans="2:6" ht="14.45" customHeight="1">
      <c r="B2" s="1435" t="s">
        <v>206</v>
      </c>
      <c r="C2" s="1435"/>
      <c r="D2" s="244"/>
      <c r="E2" s="244"/>
      <c r="F2" s="995"/>
    </row>
    <row r="3" spans="2:6" ht="18" customHeight="1">
      <c r="B3" s="991"/>
      <c r="C3" s="991"/>
      <c r="D3" s="1436" t="s">
        <v>207</v>
      </c>
      <c r="E3" s="1436"/>
      <c r="F3" s="1437"/>
    </row>
    <row r="4" spans="2:6" ht="24.6" customHeight="1">
      <c r="B4" s="1438" t="s">
        <v>208</v>
      </c>
      <c r="C4" s="1438"/>
      <c r="D4" s="1438"/>
      <c r="E4" s="1438"/>
      <c r="F4" s="1438"/>
    </row>
    <row r="5" spans="2:6" ht="20.45" customHeight="1">
      <c r="B5" s="1439" t="s">
        <v>209</v>
      </c>
      <c r="C5" s="1439"/>
      <c r="D5" s="1439"/>
      <c r="E5" s="1439"/>
      <c r="F5" s="996"/>
    </row>
    <row r="6" spans="2:6" ht="5.45" customHeight="1">
      <c r="B6" s="997"/>
      <c r="C6" s="997"/>
      <c r="D6" s="997"/>
      <c r="E6" s="997"/>
      <c r="F6" s="997"/>
    </row>
    <row r="7" spans="2:6" ht="55.5" customHeight="1">
      <c r="B7" s="1440" t="s">
        <v>933</v>
      </c>
      <c r="C7" s="1440"/>
      <c r="D7" s="1440"/>
      <c r="E7" s="1440"/>
      <c r="F7" s="1440"/>
    </row>
    <row r="8" spans="2:6" ht="19.149999999999999" customHeight="1">
      <c r="B8" s="1441" t="s">
        <v>210</v>
      </c>
      <c r="C8" s="1441"/>
      <c r="D8" s="1441"/>
      <c r="E8" s="1441"/>
      <c r="F8" s="998"/>
    </row>
    <row r="9" spans="2:6">
      <c r="B9" s="997"/>
      <c r="C9" s="997"/>
      <c r="D9" s="997"/>
      <c r="E9" s="997"/>
      <c r="F9" s="997"/>
    </row>
    <row r="10" spans="2:6" ht="17.45" customHeight="1">
      <c r="B10" s="999" t="s">
        <v>211</v>
      </c>
      <c r="C10" s="997"/>
      <c r="D10" s="1000"/>
      <c r="E10" s="1000"/>
      <c r="F10" s="1000"/>
    </row>
    <row r="11" spans="2:6" ht="16.899999999999999" customHeight="1">
      <c r="B11" s="1001"/>
      <c r="C11" s="1447"/>
      <c r="D11" s="1447"/>
      <c r="E11" s="1447"/>
      <c r="F11" s="1447"/>
    </row>
    <row r="12" spans="2:6" ht="25.15" customHeight="1">
      <c r="B12" s="996" t="s">
        <v>212</v>
      </c>
      <c r="C12" s="997"/>
      <c r="D12" s="1002"/>
      <c r="E12" s="1002"/>
      <c r="F12" s="1002"/>
    </row>
    <row r="13" spans="2:6" ht="24" customHeight="1">
      <c r="C13" s="1447" t="s">
        <v>1136</v>
      </c>
      <c r="D13" s="1447"/>
      <c r="E13" s="1447"/>
      <c r="F13" s="1447"/>
    </row>
    <row r="14" spans="2:6" ht="24" customHeight="1">
      <c r="C14" s="991"/>
      <c r="D14" s="991"/>
      <c r="E14" s="991"/>
      <c r="F14" s="991"/>
    </row>
    <row r="15" spans="2:6" ht="15" customHeight="1" outlineLevel="1">
      <c r="B15" s="245" t="s">
        <v>1174</v>
      </c>
      <c r="C15" s="991"/>
      <c r="D15" s="991"/>
      <c r="E15" s="991"/>
      <c r="F15" s="991"/>
    </row>
    <row r="16" spans="2:6">
      <c r="B16" s="997"/>
      <c r="C16" s="997"/>
      <c r="D16" s="246"/>
      <c r="E16" s="246"/>
      <c r="F16" s="247"/>
    </row>
    <row r="17" spans="2:6" ht="79.900000000000006" customHeight="1">
      <c r="B17" s="1003" t="s">
        <v>213</v>
      </c>
      <c r="C17" s="1004" t="s">
        <v>214</v>
      </c>
      <c r="D17" s="1004" t="s">
        <v>215</v>
      </c>
      <c r="E17" s="248" t="s">
        <v>216</v>
      </c>
      <c r="F17" s="248" t="s">
        <v>217</v>
      </c>
    </row>
    <row r="18" spans="2:6">
      <c r="B18" s="249">
        <v>1</v>
      </c>
      <c r="C18" s="250">
        <v>2</v>
      </c>
      <c r="D18" s="250">
        <v>3</v>
      </c>
      <c r="E18" s="249">
        <v>4</v>
      </c>
      <c r="F18" s="249">
        <v>5</v>
      </c>
    </row>
    <row r="19" spans="2:6" ht="21" customHeight="1">
      <c r="B19" s="1448" t="s">
        <v>218</v>
      </c>
      <c r="C19" s="1449"/>
      <c r="D19" s="1449"/>
      <c r="E19" s="1449"/>
      <c r="F19" s="1449"/>
    </row>
    <row r="20" spans="2:6" ht="42" customHeight="1">
      <c r="B20" s="1445" t="s">
        <v>934</v>
      </c>
      <c r="C20" s="1446"/>
      <c r="D20" s="1446"/>
      <c r="E20" s="1446"/>
      <c r="F20" s="1446"/>
    </row>
    <row r="21" spans="2:6" ht="51">
      <c r="B21" s="1442">
        <v>1</v>
      </c>
      <c r="C21" s="1005" t="s">
        <v>837</v>
      </c>
      <c r="D21" s="251" t="s">
        <v>838</v>
      </c>
      <c r="E21" s="1006" t="s">
        <v>1175</v>
      </c>
      <c r="F21" s="1007" t="s">
        <v>1176</v>
      </c>
    </row>
    <row r="22" spans="2:6" ht="36" outlineLevel="1">
      <c r="B22" s="1443"/>
      <c r="C22" s="1008"/>
      <c r="D22" s="252" t="s">
        <v>839</v>
      </c>
      <c r="E22" s="1009"/>
      <c r="F22" s="1010" t="s">
        <v>77</v>
      </c>
    </row>
    <row r="23" spans="2:6" outlineLevel="1">
      <c r="B23" s="1443"/>
      <c r="C23" s="1008"/>
      <c r="D23" s="252" t="s">
        <v>219</v>
      </c>
      <c r="E23" s="1009"/>
      <c r="F23" s="1010" t="s">
        <v>77</v>
      </c>
    </row>
    <row r="24" spans="2:6" ht="72" outlineLevel="1">
      <c r="B24" s="1444"/>
      <c r="C24" s="1008"/>
      <c r="D24" s="252" t="s">
        <v>1177</v>
      </c>
      <c r="E24" s="1009"/>
      <c r="F24" s="1010" t="s">
        <v>77</v>
      </c>
    </row>
    <row r="25" spans="2:6" ht="27.95" customHeight="1">
      <c r="B25" s="1445" t="s">
        <v>935</v>
      </c>
      <c r="C25" s="1446"/>
      <c r="D25" s="1446"/>
      <c r="E25" s="1446"/>
      <c r="F25" s="1446"/>
    </row>
    <row r="26" spans="2:6" ht="51">
      <c r="B26" s="1442">
        <v>2</v>
      </c>
      <c r="C26" s="1005" t="s">
        <v>936</v>
      </c>
      <c r="D26" s="251" t="s">
        <v>838</v>
      </c>
      <c r="E26" s="1006" t="s">
        <v>1178</v>
      </c>
      <c r="F26" s="1007" t="s">
        <v>1176</v>
      </c>
    </row>
    <row r="27" spans="2:6" ht="36" outlineLevel="1">
      <c r="B27" s="1443"/>
      <c r="C27" s="1008"/>
      <c r="D27" s="252" t="s">
        <v>839</v>
      </c>
      <c r="E27" s="1009"/>
      <c r="F27" s="1010" t="s">
        <v>77</v>
      </c>
    </row>
    <row r="28" spans="2:6" outlineLevel="1">
      <c r="B28" s="1443"/>
      <c r="C28" s="1008"/>
      <c r="D28" s="252" t="s">
        <v>219</v>
      </c>
      <c r="E28" s="1009"/>
      <c r="F28" s="1010" t="s">
        <v>77</v>
      </c>
    </row>
    <row r="29" spans="2:6" ht="72" outlineLevel="1">
      <c r="B29" s="1444"/>
      <c r="C29" s="1008"/>
      <c r="D29" s="252" t="s">
        <v>1177</v>
      </c>
      <c r="E29" s="1009"/>
      <c r="F29" s="1010" t="s">
        <v>77</v>
      </c>
    </row>
    <row r="30" spans="2:6" ht="56.1" customHeight="1">
      <c r="B30" s="1445" t="s">
        <v>1179</v>
      </c>
      <c r="C30" s="1446"/>
      <c r="D30" s="1446"/>
      <c r="E30" s="1446"/>
      <c r="F30" s="1446"/>
    </row>
    <row r="31" spans="2:6" ht="76.5">
      <c r="B31" s="1442">
        <v>3</v>
      </c>
      <c r="C31" s="1005" t="s">
        <v>1180</v>
      </c>
      <c r="D31" s="251" t="s">
        <v>227</v>
      </c>
      <c r="E31" s="1006" t="s">
        <v>1181</v>
      </c>
      <c r="F31" s="1007" t="s">
        <v>1182</v>
      </c>
    </row>
    <row r="32" spans="2:6" ht="36" outlineLevel="1">
      <c r="B32" s="1443"/>
      <c r="C32" s="1008"/>
      <c r="D32" s="252" t="s">
        <v>228</v>
      </c>
      <c r="E32" s="1009"/>
      <c r="F32" s="1010" t="s">
        <v>77</v>
      </c>
    </row>
    <row r="33" spans="2:6" ht="36" outlineLevel="1">
      <c r="B33" s="1443"/>
      <c r="C33" s="1008"/>
      <c r="D33" s="252" t="s">
        <v>229</v>
      </c>
      <c r="E33" s="1009"/>
      <c r="F33" s="1010" t="s">
        <v>77</v>
      </c>
    </row>
    <row r="34" spans="2:6" ht="60" outlineLevel="1">
      <c r="B34" s="1443"/>
      <c r="C34" s="1008"/>
      <c r="D34" s="252" t="s">
        <v>868</v>
      </c>
      <c r="E34" s="1009"/>
      <c r="F34" s="1010" t="s">
        <v>77</v>
      </c>
    </row>
    <row r="35" spans="2:6" ht="84" outlineLevel="1">
      <c r="B35" s="1443"/>
      <c r="C35" s="1008"/>
      <c r="D35" s="252" t="s">
        <v>230</v>
      </c>
      <c r="E35" s="1009"/>
      <c r="F35" s="1010" t="s">
        <v>77</v>
      </c>
    </row>
    <row r="36" spans="2:6" ht="48" outlineLevel="1">
      <c r="B36" s="1443"/>
      <c r="C36" s="1008"/>
      <c r="D36" s="252" t="s">
        <v>231</v>
      </c>
      <c r="E36" s="1009"/>
      <c r="F36" s="1010" t="s">
        <v>77</v>
      </c>
    </row>
    <row r="37" spans="2:6" ht="48" outlineLevel="1">
      <c r="B37" s="1443"/>
      <c r="C37" s="1008"/>
      <c r="D37" s="252" t="s">
        <v>232</v>
      </c>
      <c r="E37" s="1009"/>
      <c r="F37" s="1010" t="s">
        <v>77</v>
      </c>
    </row>
    <row r="38" spans="2:6" ht="48" outlineLevel="1">
      <c r="B38" s="1443"/>
      <c r="C38" s="1008"/>
      <c r="D38" s="252" t="s">
        <v>233</v>
      </c>
      <c r="E38" s="1009"/>
      <c r="F38" s="1010" t="s">
        <v>77</v>
      </c>
    </row>
    <row r="39" spans="2:6" outlineLevel="1">
      <c r="B39" s="1443"/>
      <c r="C39" s="1008"/>
      <c r="D39" s="252" t="s">
        <v>219</v>
      </c>
      <c r="E39" s="1009"/>
      <c r="F39" s="1010" t="s">
        <v>77</v>
      </c>
    </row>
    <row r="40" spans="2:6" ht="72" outlineLevel="1">
      <c r="B40" s="1443"/>
      <c r="C40" s="1008"/>
      <c r="D40" s="252" t="s">
        <v>1183</v>
      </c>
      <c r="E40" s="1009"/>
      <c r="F40" s="1010" t="s">
        <v>77</v>
      </c>
    </row>
    <row r="41" spans="2:6" ht="36" outlineLevel="1">
      <c r="B41" s="1443"/>
      <c r="C41" s="1008"/>
      <c r="D41" s="252" t="s">
        <v>1184</v>
      </c>
      <c r="E41" s="1009"/>
      <c r="F41" s="1010" t="s">
        <v>1185</v>
      </c>
    </row>
    <row r="42" spans="2:6" ht="36" outlineLevel="1">
      <c r="B42" s="1443"/>
      <c r="C42" s="1008"/>
      <c r="D42" s="252" t="s">
        <v>1186</v>
      </c>
      <c r="E42" s="1009"/>
      <c r="F42" s="1010" t="s">
        <v>1187</v>
      </c>
    </row>
    <row r="43" spans="2:6" ht="48" outlineLevel="1">
      <c r="B43" s="1443"/>
      <c r="C43" s="1008"/>
      <c r="D43" s="252" t="s">
        <v>1188</v>
      </c>
      <c r="E43" s="1009"/>
      <c r="F43" s="1010" t="s">
        <v>1189</v>
      </c>
    </row>
    <row r="44" spans="2:6" ht="36" outlineLevel="1">
      <c r="B44" s="1443"/>
      <c r="C44" s="1008"/>
      <c r="D44" s="252" t="s">
        <v>1190</v>
      </c>
      <c r="E44" s="1009"/>
      <c r="F44" s="1010" t="s">
        <v>1191</v>
      </c>
    </row>
    <row r="45" spans="2:6" ht="36" outlineLevel="1">
      <c r="B45" s="1443"/>
      <c r="C45" s="1008"/>
      <c r="D45" s="252" t="s">
        <v>1192</v>
      </c>
      <c r="E45" s="1009"/>
      <c r="F45" s="1010" t="s">
        <v>1193</v>
      </c>
    </row>
    <row r="46" spans="2:6" ht="36" outlineLevel="1">
      <c r="B46" s="1443"/>
      <c r="C46" s="1008"/>
      <c r="D46" s="252" t="s">
        <v>1194</v>
      </c>
      <c r="E46" s="1009"/>
      <c r="F46" s="1010" t="s">
        <v>1195</v>
      </c>
    </row>
    <row r="47" spans="2:6" ht="24" outlineLevel="1">
      <c r="B47" s="1443"/>
      <c r="C47" s="1008"/>
      <c r="D47" s="252" t="s">
        <v>1196</v>
      </c>
      <c r="E47" s="1009"/>
      <c r="F47" s="1010" t="s">
        <v>1197</v>
      </c>
    </row>
    <row r="48" spans="2:6" ht="24" outlineLevel="1">
      <c r="B48" s="1443"/>
      <c r="C48" s="1008"/>
      <c r="D48" s="252" t="s">
        <v>1198</v>
      </c>
      <c r="E48" s="1009"/>
      <c r="F48" s="1010" t="s">
        <v>1199</v>
      </c>
    </row>
    <row r="49" spans="2:6" outlineLevel="1">
      <c r="B49" s="1443"/>
      <c r="C49" s="1008"/>
      <c r="D49" s="252" t="s">
        <v>1200</v>
      </c>
      <c r="E49" s="1009"/>
      <c r="F49" s="1010" t="s">
        <v>1201</v>
      </c>
    </row>
    <row r="50" spans="2:6" outlineLevel="1">
      <c r="B50" s="1444"/>
      <c r="C50" s="1008"/>
      <c r="D50" s="252" t="s">
        <v>220</v>
      </c>
      <c r="E50" s="1009"/>
      <c r="F50" s="1010"/>
    </row>
    <row r="51" spans="2:6" ht="27.95" customHeight="1">
      <c r="B51" s="1445" t="s">
        <v>937</v>
      </c>
      <c r="C51" s="1446"/>
      <c r="D51" s="1446"/>
      <c r="E51" s="1446"/>
      <c r="F51" s="1446"/>
    </row>
    <row r="52" spans="2:6" ht="63.75">
      <c r="B52" s="1442">
        <v>4</v>
      </c>
      <c r="C52" s="1005" t="s">
        <v>938</v>
      </c>
      <c r="D52" s="251" t="s">
        <v>221</v>
      </c>
      <c r="E52" s="1006" t="s">
        <v>1202</v>
      </c>
      <c r="F52" s="1007" t="s">
        <v>1203</v>
      </c>
    </row>
    <row r="53" spans="2:6" ht="144" outlineLevel="1">
      <c r="B53" s="1443"/>
      <c r="C53" s="1008"/>
      <c r="D53" s="252" t="s">
        <v>222</v>
      </c>
      <c r="E53" s="1009"/>
      <c r="F53" s="1010" t="s">
        <v>77</v>
      </c>
    </row>
    <row r="54" spans="2:6" ht="24" outlineLevel="1">
      <c r="B54" s="1443"/>
      <c r="C54" s="1008"/>
      <c r="D54" s="252" t="s">
        <v>223</v>
      </c>
      <c r="E54" s="1009"/>
      <c r="F54" s="1010" t="s">
        <v>77</v>
      </c>
    </row>
    <row r="55" spans="2:6" ht="72" outlineLevel="1">
      <c r="B55" s="1443"/>
      <c r="C55" s="1008"/>
      <c r="D55" s="252" t="s">
        <v>1183</v>
      </c>
      <c r="E55" s="1009"/>
      <c r="F55" s="1010" t="s">
        <v>77</v>
      </c>
    </row>
    <row r="56" spans="2:6" outlineLevel="1">
      <c r="B56" s="1443"/>
      <c r="C56" s="1008"/>
      <c r="D56" s="252" t="s">
        <v>1204</v>
      </c>
      <c r="E56" s="1009"/>
      <c r="F56" s="1010" t="s">
        <v>1205</v>
      </c>
    </row>
    <row r="57" spans="2:6" ht="24" outlineLevel="1">
      <c r="B57" s="1443"/>
      <c r="C57" s="1008"/>
      <c r="D57" s="252" t="s">
        <v>1206</v>
      </c>
      <c r="E57" s="1009"/>
      <c r="F57" s="1010" t="s">
        <v>1207</v>
      </c>
    </row>
    <row r="58" spans="2:6" ht="24" outlineLevel="1">
      <c r="B58" s="1443"/>
      <c r="C58" s="1008"/>
      <c r="D58" s="252" t="s">
        <v>1208</v>
      </c>
      <c r="E58" s="1009"/>
      <c r="F58" s="1010" t="s">
        <v>1209</v>
      </c>
    </row>
    <row r="59" spans="2:6" outlineLevel="1">
      <c r="B59" s="1443"/>
      <c r="C59" s="1008"/>
      <c r="D59" s="252" t="s">
        <v>1210</v>
      </c>
      <c r="E59" s="1009"/>
      <c r="F59" s="1010" t="s">
        <v>1211</v>
      </c>
    </row>
    <row r="60" spans="2:6" ht="36" outlineLevel="1">
      <c r="B60" s="1443"/>
      <c r="C60" s="1008"/>
      <c r="D60" s="252" t="s">
        <v>1212</v>
      </c>
      <c r="E60" s="1009"/>
      <c r="F60" s="1010" t="s">
        <v>1213</v>
      </c>
    </row>
    <row r="61" spans="2:6" outlineLevel="1">
      <c r="B61" s="1443"/>
      <c r="C61" s="1008"/>
      <c r="D61" s="252" t="s">
        <v>1214</v>
      </c>
      <c r="E61" s="1009"/>
      <c r="F61" s="1010">
        <v>801</v>
      </c>
    </row>
    <row r="62" spans="2:6" ht="24" outlineLevel="1">
      <c r="B62" s="1443"/>
      <c r="C62" s="1008"/>
      <c r="D62" s="252" t="s">
        <v>1215</v>
      </c>
      <c r="E62" s="1009"/>
      <c r="F62" s="1010" t="s">
        <v>1216</v>
      </c>
    </row>
    <row r="63" spans="2:6" outlineLevel="1">
      <c r="B63" s="1443"/>
      <c r="C63" s="1008"/>
      <c r="D63" s="252" t="s">
        <v>1217</v>
      </c>
      <c r="E63" s="1009"/>
      <c r="F63" s="1010" t="s">
        <v>1218</v>
      </c>
    </row>
    <row r="64" spans="2:6" outlineLevel="1">
      <c r="B64" s="1443"/>
      <c r="C64" s="1008"/>
      <c r="D64" s="252" t="s">
        <v>1219</v>
      </c>
      <c r="E64" s="1009"/>
      <c r="F64" s="1010" t="s">
        <v>1220</v>
      </c>
    </row>
    <row r="65" spans="2:6" outlineLevel="1">
      <c r="B65" s="1443"/>
      <c r="C65" s="1008"/>
      <c r="D65" s="252" t="s">
        <v>1221</v>
      </c>
      <c r="E65" s="1009"/>
      <c r="F65" s="1010" t="s">
        <v>1220</v>
      </c>
    </row>
    <row r="66" spans="2:6" outlineLevel="1">
      <c r="B66" s="1443"/>
      <c r="C66" s="1008"/>
      <c r="D66" s="252" t="s">
        <v>1222</v>
      </c>
      <c r="E66" s="1009"/>
      <c r="F66" s="1010" t="s">
        <v>1223</v>
      </c>
    </row>
    <row r="67" spans="2:6" outlineLevel="1">
      <c r="B67" s="1443"/>
      <c r="C67" s="1008"/>
      <c r="D67" s="252" t="s">
        <v>1224</v>
      </c>
      <c r="E67" s="1009"/>
      <c r="F67" s="1010" t="s">
        <v>1225</v>
      </c>
    </row>
    <row r="68" spans="2:6" outlineLevel="1">
      <c r="B68" s="1443"/>
      <c r="C68" s="1008"/>
      <c r="D68" s="252" t="s">
        <v>1226</v>
      </c>
      <c r="E68" s="1009"/>
      <c r="F68" s="1010" t="s">
        <v>1223</v>
      </c>
    </row>
    <row r="69" spans="2:6" outlineLevel="1">
      <c r="B69" s="1443"/>
      <c r="C69" s="1008"/>
      <c r="D69" s="252" t="s">
        <v>1227</v>
      </c>
      <c r="E69" s="1009"/>
      <c r="F69" s="1010" t="s">
        <v>1228</v>
      </c>
    </row>
    <row r="70" spans="2:6" outlineLevel="1">
      <c r="B70" s="1444"/>
      <c r="C70" s="1008"/>
      <c r="D70" s="252" t="s">
        <v>220</v>
      </c>
      <c r="E70" s="1009"/>
      <c r="F70" s="1010"/>
    </row>
    <row r="71" spans="2:6" ht="27.95" customHeight="1">
      <c r="B71" s="1445" t="s">
        <v>939</v>
      </c>
      <c r="C71" s="1446"/>
      <c r="D71" s="1446"/>
      <c r="E71" s="1446"/>
      <c r="F71" s="1446"/>
    </row>
    <row r="72" spans="2:6" ht="51">
      <c r="B72" s="1442">
        <v>5</v>
      </c>
      <c r="C72" s="1005" t="s">
        <v>936</v>
      </c>
      <c r="D72" s="251" t="s">
        <v>838</v>
      </c>
      <c r="E72" s="1006" t="s">
        <v>1178</v>
      </c>
      <c r="F72" s="1007" t="s">
        <v>1176</v>
      </c>
    </row>
    <row r="73" spans="2:6" ht="36" outlineLevel="1">
      <c r="B73" s="1443"/>
      <c r="C73" s="1008"/>
      <c r="D73" s="252" t="s">
        <v>839</v>
      </c>
      <c r="E73" s="1009"/>
      <c r="F73" s="1010" t="s">
        <v>77</v>
      </c>
    </row>
    <row r="74" spans="2:6" outlineLevel="1">
      <c r="B74" s="1443"/>
      <c r="C74" s="1008"/>
      <c r="D74" s="252" t="s">
        <v>219</v>
      </c>
      <c r="E74" s="1009"/>
      <c r="F74" s="1010" t="s">
        <v>77</v>
      </c>
    </row>
    <row r="75" spans="2:6" ht="72" outlineLevel="1">
      <c r="B75" s="1444"/>
      <c r="C75" s="1008"/>
      <c r="D75" s="252" t="s">
        <v>1177</v>
      </c>
      <c r="E75" s="1009"/>
      <c r="F75" s="1010" t="s">
        <v>77</v>
      </c>
    </row>
    <row r="76" spans="2:6" ht="42" customHeight="1">
      <c r="B76" s="1445" t="s">
        <v>1229</v>
      </c>
      <c r="C76" s="1446"/>
      <c r="D76" s="1446"/>
      <c r="E76" s="1446"/>
      <c r="F76" s="1446"/>
    </row>
    <row r="77" spans="2:6" ht="76.5">
      <c r="B77" s="1442">
        <v>6</v>
      </c>
      <c r="C77" s="1005" t="s">
        <v>940</v>
      </c>
      <c r="D77" s="251" t="s">
        <v>227</v>
      </c>
      <c r="E77" s="1006" t="s">
        <v>1230</v>
      </c>
      <c r="F77" s="1007" t="s">
        <v>1231</v>
      </c>
    </row>
    <row r="78" spans="2:6" ht="36" outlineLevel="1">
      <c r="B78" s="1443"/>
      <c r="C78" s="1008"/>
      <c r="D78" s="252" t="s">
        <v>228</v>
      </c>
      <c r="E78" s="1009"/>
      <c r="F78" s="1010" t="s">
        <v>77</v>
      </c>
    </row>
    <row r="79" spans="2:6" ht="36" outlineLevel="1">
      <c r="B79" s="1443"/>
      <c r="C79" s="1008"/>
      <c r="D79" s="252" t="s">
        <v>229</v>
      </c>
      <c r="E79" s="1009"/>
      <c r="F79" s="1010" t="s">
        <v>77</v>
      </c>
    </row>
    <row r="80" spans="2:6" ht="60" outlineLevel="1">
      <c r="B80" s="1443"/>
      <c r="C80" s="1008"/>
      <c r="D80" s="252" t="s">
        <v>868</v>
      </c>
      <c r="E80" s="1009"/>
      <c r="F80" s="1010" t="s">
        <v>77</v>
      </c>
    </row>
    <row r="81" spans="2:6" ht="84" outlineLevel="1">
      <c r="B81" s="1443"/>
      <c r="C81" s="1008"/>
      <c r="D81" s="252" t="s">
        <v>230</v>
      </c>
      <c r="E81" s="1009"/>
      <c r="F81" s="1010" t="s">
        <v>77</v>
      </c>
    </row>
    <row r="82" spans="2:6" ht="48" outlineLevel="1">
      <c r="B82" s="1443"/>
      <c r="C82" s="1008"/>
      <c r="D82" s="252" t="s">
        <v>231</v>
      </c>
      <c r="E82" s="1009"/>
      <c r="F82" s="1010" t="s">
        <v>77</v>
      </c>
    </row>
    <row r="83" spans="2:6" ht="48" outlineLevel="1">
      <c r="B83" s="1443"/>
      <c r="C83" s="1008"/>
      <c r="D83" s="252" t="s">
        <v>232</v>
      </c>
      <c r="E83" s="1009"/>
      <c r="F83" s="1010" t="s">
        <v>77</v>
      </c>
    </row>
    <row r="84" spans="2:6" ht="48" outlineLevel="1">
      <c r="B84" s="1443"/>
      <c r="C84" s="1008"/>
      <c r="D84" s="252" t="s">
        <v>233</v>
      </c>
      <c r="E84" s="1009"/>
      <c r="F84" s="1010" t="s">
        <v>77</v>
      </c>
    </row>
    <row r="85" spans="2:6" outlineLevel="1">
      <c r="B85" s="1443"/>
      <c r="C85" s="1008"/>
      <c r="D85" s="252" t="s">
        <v>219</v>
      </c>
      <c r="E85" s="1009"/>
      <c r="F85" s="1010" t="s">
        <v>77</v>
      </c>
    </row>
    <row r="86" spans="2:6" ht="72" outlineLevel="1">
      <c r="B86" s="1443"/>
      <c r="C86" s="1008"/>
      <c r="D86" s="252" t="s">
        <v>1183</v>
      </c>
      <c r="E86" s="1009"/>
      <c r="F86" s="1010" t="s">
        <v>77</v>
      </c>
    </row>
    <row r="87" spans="2:6" ht="36" outlineLevel="1">
      <c r="B87" s="1443"/>
      <c r="C87" s="1008"/>
      <c r="D87" s="252" t="s">
        <v>1184</v>
      </c>
      <c r="E87" s="1009"/>
      <c r="F87" s="1010" t="s">
        <v>1232</v>
      </c>
    </row>
    <row r="88" spans="2:6" ht="36" outlineLevel="1">
      <c r="B88" s="1443"/>
      <c r="C88" s="1008"/>
      <c r="D88" s="252" t="s">
        <v>1186</v>
      </c>
      <c r="E88" s="1009"/>
      <c r="F88" s="1010" t="s">
        <v>1233</v>
      </c>
    </row>
    <row r="89" spans="2:6" ht="48" outlineLevel="1">
      <c r="B89" s="1443"/>
      <c r="C89" s="1008"/>
      <c r="D89" s="252" t="s">
        <v>1188</v>
      </c>
      <c r="E89" s="1009"/>
      <c r="F89" s="1010" t="s">
        <v>1234</v>
      </c>
    </row>
    <row r="90" spans="2:6" ht="36" outlineLevel="1">
      <c r="B90" s="1443"/>
      <c r="C90" s="1008"/>
      <c r="D90" s="252" t="s">
        <v>1190</v>
      </c>
      <c r="E90" s="1009"/>
      <c r="F90" s="1010" t="s">
        <v>1235</v>
      </c>
    </row>
    <row r="91" spans="2:6" ht="36" outlineLevel="1">
      <c r="B91" s="1443"/>
      <c r="C91" s="1008"/>
      <c r="D91" s="252" t="s">
        <v>1192</v>
      </c>
      <c r="E91" s="1009"/>
      <c r="F91" s="1010" t="s">
        <v>1236</v>
      </c>
    </row>
    <row r="92" spans="2:6" ht="36" outlineLevel="1">
      <c r="B92" s="1443"/>
      <c r="C92" s="1008"/>
      <c r="D92" s="252" t="s">
        <v>1194</v>
      </c>
      <c r="E92" s="1009"/>
      <c r="F92" s="1010" t="s">
        <v>1237</v>
      </c>
    </row>
    <row r="93" spans="2:6" ht="24" outlineLevel="1">
      <c r="B93" s="1443"/>
      <c r="C93" s="1008"/>
      <c r="D93" s="252" t="s">
        <v>1196</v>
      </c>
      <c r="E93" s="1009"/>
      <c r="F93" s="1010" t="s">
        <v>1238</v>
      </c>
    </row>
    <row r="94" spans="2:6" ht="24" outlineLevel="1">
      <c r="B94" s="1443"/>
      <c r="C94" s="1008"/>
      <c r="D94" s="252" t="s">
        <v>1198</v>
      </c>
      <c r="E94" s="1009"/>
      <c r="F94" s="1010" t="s">
        <v>1239</v>
      </c>
    </row>
    <row r="95" spans="2:6" outlineLevel="1">
      <c r="B95" s="1443"/>
      <c r="C95" s="1008"/>
      <c r="D95" s="252" t="s">
        <v>1200</v>
      </c>
      <c r="E95" s="1009"/>
      <c r="F95" s="1010" t="s">
        <v>1240</v>
      </c>
    </row>
    <row r="96" spans="2:6" outlineLevel="1">
      <c r="B96" s="1444"/>
      <c r="C96" s="1008"/>
      <c r="D96" s="252" t="s">
        <v>220</v>
      </c>
      <c r="E96" s="1009"/>
      <c r="F96" s="1010"/>
    </row>
    <row r="97" spans="2:6" ht="27.95" customHeight="1">
      <c r="B97" s="1445" t="s">
        <v>1241</v>
      </c>
      <c r="C97" s="1446"/>
      <c r="D97" s="1446"/>
      <c r="E97" s="1446"/>
      <c r="F97" s="1446"/>
    </row>
    <row r="98" spans="2:6" ht="140.25">
      <c r="B98" s="1442">
        <v>7</v>
      </c>
      <c r="C98" s="1005" t="s">
        <v>1242</v>
      </c>
      <c r="D98" s="251" t="s">
        <v>941</v>
      </c>
      <c r="E98" s="1006" t="s">
        <v>1243</v>
      </c>
      <c r="F98" s="1007" t="s">
        <v>1244</v>
      </c>
    </row>
    <row r="99" spans="2:6" outlineLevel="1">
      <c r="B99" s="1443"/>
      <c r="C99" s="1008"/>
      <c r="D99" s="252" t="s">
        <v>942</v>
      </c>
      <c r="E99" s="1009"/>
      <c r="F99" s="1010" t="s">
        <v>77</v>
      </c>
    </row>
    <row r="100" spans="2:6" ht="48" outlineLevel="1">
      <c r="B100" s="1443"/>
      <c r="C100" s="1008"/>
      <c r="D100" s="252" t="s">
        <v>943</v>
      </c>
      <c r="E100" s="1009"/>
      <c r="F100" s="1010" t="s">
        <v>77</v>
      </c>
    </row>
    <row r="101" spans="2:6" ht="36" outlineLevel="1">
      <c r="B101" s="1443"/>
      <c r="C101" s="1008"/>
      <c r="D101" s="252" t="s">
        <v>944</v>
      </c>
      <c r="E101" s="1009"/>
      <c r="F101" s="1010" t="s">
        <v>77</v>
      </c>
    </row>
    <row r="102" spans="2:6" ht="24" outlineLevel="1">
      <c r="B102" s="1443"/>
      <c r="C102" s="1008"/>
      <c r="D102" s="252" t="s">
        <v>945</v>
      </c>
      <c r="E102" s="1009"/>
      <c r="F102" s="1010" t="s">
        <v>77</v>
      </c>
    </row>
    <row r="103" spans="2:6" ht="72" outlineLevel="1">
      <c r="B103" s="1443"/>
      <c r="C103" s="1008"/>
      <c r="D103" s="252" t="s">
        <v>1183</v>
      </c>
      <c r="E103" s="1009"/>
      <c r="F103" s="1010" t="s">
        <v>77</v>
      </c>
    </row>
    <row r="104" spans="2:6" ht="24" outlineLevel="1">
      <c r="B104" s="1443"/>
      <c r="C104" s="1008"/>
      <c r="D104" s="252" t="s">
        <v>1245</v>
      </c>
      <c r="E104" s="1009"/>
      <c r="F104" s="1010" t="s">
        <v>1246</v>
      </c>
    </row>
    <row r="105" spans="2:6" ht="24" outlineLevel="1">
      <c r="B105" s="1443"/>
      <c r="C105" s="1008"/>
      <c r="D105" s="252" t="s">
        <v>1247</v>
      </c>
      <c r="E105" s="1009"/>
      <c r="F105" s="1010" t="s">
        <v>1248</v>
      </c>
    </row>
    <row r="106" spans="2:6" ht="36" outlineLevel="1">
      <c r="B106" s="1443"/>
      <c r="C106" s="1008"/>
      <c r="D106" s="252" t="s">
        <v>1249</v>
      </c>
      <c r="E106" s="1009"/>
      <c r="F106" s="1010" t="s">
        <v>1250</v>
      </c>
    </row>
    <row r="107" spans="2:6" ht="24" outlineLevel="1">
      <c r="B107" s="1443"/>
      <c r="C107" s="1008"/>
      <c r="D107" s="252" t="s">
        <v>1251</v>
      </c>
      <c r="E107" s="1009"/>
      <c r="F107" s="1010" t="s">
        <v>1252</v>
      </c>
    </row>
    <row r="108" spans="2:6" outlineLevel="1">
      <c r="B108" s="1443"/>
      <c r="C108" s="1008"/>
      <c r="D108" s="252" t="s">
        <v>1253</v>
      </c>
      <c r="E108" s="1009"/>
      <c r="F108" s="1010" t="s">
        <v>1254</v>
      </c>
    </row>
    <row r="109" spans="2:6" ht="24" outlineLevel="1">
      <c r="B109" s="1443"/>
      <c r="C109" s="1008"/>
      <c r="D109" s="252" t="s">
        <v>1255</v>
      </c>
      <c r="E109" s="1009"/>
      <c r="F109" s="1010" t="s">
        <v>1256</v>
      </c>
    </row>
    <row r="110" spans="2:6" outlineLevel="1">
      <c r="B110" s="1444"/>
      <c r="C110" s="1008"/>
      <c r="D110" s="252" t="s">
        <v>220</v>
      </c>
      <c r="E110" s="1009"/>
      <c r="F110" s="1010"/>
    </row>
    <row r="111" spans="2:6" ht="27.95" customHeight="1">
      <c r="B111" s="1445" t="s">
        <v>946</v>
      </c>
      <c r="C111" s="1446"/>
      <c r="D111" s="1446"/>
      <c r="E111" s="1446"/>
      <c r="F111" s="1446"/>
    </row>
    <row r="112" spans="2:6" ht="114.75">
      <c r="B112" s="1442">
        <v>8</v>
      </c>
      <c r="C112" s="1005" t="s">
        <v>947</v>
      </c>
      <c r="D112" s="251" t="s">
        <v>948</v>
      </c>
      <c r="E112" s="1006" t="s">
        <v>1257</v>
      </c>
      <c r="F112" s="1007" t="s">
        <v>1258</v>
      </c>
    </row>
    <row r="113" spans="2:6" outlineLevel="1">
      <c r="B113" s="1443"/>
      <c r="C113" s="1008"/>
      <c r="D113" s="252" t="s">
        <v>949</v>
      </c>
      <c r="E113" s="1009"/>
      <c r="F113" s="1010" t="s">
        <v>77</v>
      </c>
    </row>
    <row r="114" spans="2:6" ht="48" outlineLevel="1">
      <c r="B114" s="1443"/>
      <c r="C114" s="1008"/>
      <c r="D114" s="252" t="s">
        <v>950</v>
      </c>
      <c r="E114" s="1009"/>
      <c r="F114" s="1010" t="s">
        <v>77</v>
      </c>
    </row>
    <row r="115" spans="2:6" ht="36" outlineLevel="1">
      <c r="B115" s="1443"/>
      <c r="C115" s="1008"/>
      <c r="D115" s="252" t="s">
        <v>951</v>
      </c>
      <c r="E115" s="1009"/>
      <c r="F115" s="1010" t="s">
        <v>77</v>
      </c>
    </row>
    <row r="116" spans="2:6" ht="72" outlineLevel="1">
      <c r="B116" s="1443"/>
      <c r="C116" s="1008"/>
      <c r="D116" s="252" t="s">
        <v>1183</v>
      </c>
      <c r="E116" s="1009"/>
      <c r="F116" s="1010" t="s">
        <v>77</v>
      </c>
    </row>
    <row r="117" spans="2:6" outlineLevel="1">
      <c r="B117" s="1443"/>
      <c r="C117" s="1008"/>
      <c r="D117" s="252" t="s">
        <v>1259</v>
      </c>
      <c r="E117" s="1009"/>
      <c r="F117" s="1010" t="s">
        <v>1260</v>
      </c>
    </row>
    <row r="118" spans="2:6" ht="24" outlineLevel="1">
      <c r="B118" s="1443"/>
      <c r="C118" s="1008"/>
      <c r="D118" s="252" t="s">
        <v>1261</v>
      </c>
      <c r="E118" s="1009"/>
      <c r="F118" s="1010" t="s">
        <v>1260</v>
      </c>
    </row>
    <row r="119" spans="2:6" outlineLevel="1">
      <c r="B119" s="1443"/>
      <c r="C119" s="1008"/>
      <c r="D119" s="252" t="s">
        <v>1262</v>
      </c>
      <c r="E119" s="1009"/>
      <c r="F119" s="1010" t="s">
        <v>1263</v>
      </c>
    </row>
    <row r="120" spans="2:6" ht="24" outlineLevel="1">
      <c r="B120" s="1443"/>
      <c r="C120" s="1008"/>
      <c r="D120" s="252" t="s">
        <v>1264</v>
      </c>
      <c r="E120" s="1009"/>
      <c r="F120" s="1010" t="s">
        <v>1265</v>
      </c>
    </row>
    <row r="121" spans="2:6" ht="48" outlineLevel="1">
      <c r="B121" s="1443"/>
      <c r="C121" s="1008"/>
      <c r="D121" s="252" t="s">
        <v>1266</v>
      </c>
      <c r="E121" s="1009"/>
      <c r="F121" s="1010" t="s">
        <v>1267</v>
      </c>
    </row>
    <row r="122" spans="2:6" ht="48" outlineLevel="1">
      <c r="B122" s="1443"/>
      <c r="C122" s="1008"/>
      <c r="D122" s="252" t="s">
        <v>1268</v>
      </c>
      <c r="E122" s="1009"/>
      <c r="F122" s="1010" t="s">
        <v>1260</v>
      </c>
    </row>
    <row r="123" spans="2:6" ht="48" outlineLevel="1">
      <c r="B123" s="1443"/>
      <c r="C123" s="1008"/>
      <c r="D123" s="252" t="s">
        <v>1269</v>
      </c>
      <c r="E123" s="1009"/>
      <c r="F123" s="1010" t="s">
        <v>1260</v>
      </c>
    </row>
    <row r="124" spans="2:6" ht="48" outlineLevel="1">
      <c r="B124" s="1443"/>
      <c r="C124" s="1008"/>
      <c r="D124" s="252" t="s">
        <v>1270</v>
      </c>
      <c r="E124" s="1009"/>
      <c r="F124" s="1010" t="s">
        <v>1271</v>
      </c>
    </row>
    <row r="125" spans="2:6" ht="60" outlineLevel="1">
      <c r="B125" s="1443"/>
      <c r="C125" s="1008"/>
      <c r="D125" s="252" t="s">
        <v>1272</v>
      </c>
      <c r="E125" s="1009"/>
      <c r="F125" s="1010" t="s">
        <v>1260</v>
      </c>
    </row>
    <row r="126" spans="2:6" ht="48" outlineLevel="1">
      <c r="B126" s="1443"/>
      <c r="C126" s="1008"/>
      <c r="D126" s="252" t="s">
        <v>1273</v>
      </c>
      <c r="E126" s="1009"/>
      <c r="F126" s="1010" t="s">
        <v>1274</v>
      </c>
    </row>
    <row r="127" spans="2:6" ht="24" outlineLevel="1">
      <c r="B127" s="1443"/>
      <c r="C127" s="1008"/>
      <c r="D127" s="252" t="s">
        <v>1275</v>
      </c>
      <c r="E127" s="1009"/>
      <c r="F127" s="1010" t="s">
        <v>1271</v>
      </c>
    </row>
    <row r="128" spans="2:6" ht="24" outlineLevel="1">
      <c r="B128" s="1443"/>
      <c r="C128" s="1008"/>
      <c r="D128" s="252" t="s">
        <v>1276</v>
      </c>
      <c r="E128" s="1009"/>
      <c r="F128" s="1010" t="s">
        <v>1267</v>
      </c>
    </row>
    <row r="129" spans="2:6" ht="24" outlineLevel="1">
      <c r="B129" s="1443"/>
      <c r="C129" s="1008"/>
      <c r="D129" s="252" t="s">
        <v>1277</v>
      </c>
      <c r="E129" s="1009"/>
      <c r="F129" s="1010" t="s">
        <v>1278</v>
      </c>
    </row>
    <row r="130" spans="2:6" ht="36" outlineLevel="1">
      <c r="B130" s="1443"/>
      <c r="C130" s="1008"/>
      <c r="D130" s="252" t="s">
        <v>1279</v>
      </c>
      <c r="E130" s="1009"/>
      <c r="F130" s="1010" t="s">
        <v>1280</v>
      </c>
    </row>
    <row r="131" spans="2:6" ht="84" outlineLevel="1">
      <c r="B131" s="1443"/>
      <c r="C131" s="1008"/>
      <c r="D131" s="252" t="s">
        <v>1281</v>
      </c>
      <c r="E131" s="1009"/>
      <c r="F131" s="1010" t="s">
        <v>1260</v>
      </c>
    </row>
    <row r="132" spans="2:6" outlineLevel="1">
      <c r="B132" s="1443"/>
      <c r="C132" s="1008"/>
      <c r="D132" s="252" t="s">
        <v>1282</v>
      </c>
      <c r="E132" s="1009"/>
      <c r="F132" s="1010" t="s">
        <v>1283</v>
      </c>
    </row>
    <row r="133" spans="2:6" outlineLevel="1">
      <c r="B133" s="1444"/>
      <c r="C133" s="1008"/>
      <c r="D133" s="252" t="s">
        <v>220</v>
      </c>
      <c r="E133" s="1009"/>
      <c r="F133" s="1010"/>
    </row>
    <row r="134" spans="2:6" ht="42" customHeight="1">
      <c r="B134" s="1445" t="s">
        <v>1284</v>
      </c>
      <c r="C134" s="1446"/>
      <c r="D134" s="1446"/>
      <c r="E134" s="1446"/>
      <c r="F134" s="1446"/>
    </row>
    <row r="135" spans="2:6" ht="42" customHeight="1">
      <c r="B135" s="1445" t="s">
        <v>1285</v>
      </c>
      <c r="C135" s="1446"/>
      <c r="D135" s="1446"/>
      <c r="E135" s="1446"/>
      <c r="F135" s="1446"/>
    </row>
    <row r="136" spans="2:6" ht="76.5">
      <c r="B136" s="1442">
        <v>9</v>
      </c>
      <c r="C136" s="1005" t="s">
        <v>1286</v>
      </c>
      <c r="D136" s="251" t="s">
        <v>1287</v>
      </c>
      <c r="E136" s="1006" t="s">
        <v>1288</v>
      </c>
      <c r="F136" s="1007" t="s">
        <v>1289</v>
      </c>
    </row>
    <row r="137" spans="2:6" ht="36" outlineLevel="1">
      <c r="B137" s="1443"/>
      <c r="C137" s="1008"/>
      <c r="D137" s="252" t="s">
        <v>1290</v>
      </c>
      <c r="E137" s="1009"/>
      <c r="F137" s="1010" t="s">
        <v>77</v>
      </c>
    </row>
    <row r="138" spans="2:6" ht="36" outlineLevel="1">
      <c r="B138" s="1443"/>
      <c r="C138" s="1008"/>
      <c r="D138" s="252" t="s">
        <v>1291</v>
      </c>
      <c r="E138" s="1009"/>
      <c r="F138" s="1010" t="s">
        <v>77</v>
      </c>
    </row>
    <row r="139" spans="2:6" ht="60" outlineLevel="1">
      <c r="B139" s="1443"/>
      <c r="C139" s="1008"/>
      <c r="D139" s="252" t="s">
        <v>1292</v>
      </c>
      <c r="E139" s="1009"/>
      <c r="F139" s="1010" t="s">
        <v>77</v>
      </c>
    </row>
    <row r="140" spans="2:6" ht="72" outlineLevel="1">
      <c r="B140" s="1443"/>
      <c r="C140" s="1008"/>
      <c r="D140" s="252" t="s">
        <v>1293</v>
      </c>
      <c r="E140" s="1009"/>
      <c r="F140" s="1010" t="s">
        <v>77</v>
      </c>
    </row>
    <row r="141" spans="2:6" outlineLevel="1">
      <c r="B141" s="1443"/>
      <c r="C141" s="1008"/>
      <c r="D141" s="252" t="s">
        <v>219</v>
      </c>
      <c r="E141" s="1009"/>
      <c r="F141" s="1010" t="s">
        <v>77</v>
      </c>
    </row>
    <row r="142" spans="2:6" ht="72" outlineLevel="1">
      <c r="B142" s="1443"/>
      <c r="C142" s="1008"/>
      <c r="D142" s="252" t="s">
        <v>1183</v>
      </c>
      <c r="E142" s="1009"/>
      <c r="F142" s="1010" t="s">
        <v>77</v>
      </c>
    </row>
    <row r="143" spans="2:6" outlineLevel="1">
      <c r="B143" s="1443"/>
      <c r="C143" s="1008"/>
      <c r="D143" s="252" t="s">
        <v>1294</v>
      </c>
      <c r="E143" s="1009"/>
      <c r="F143" s="1010" t="s">
        <v>1295</v>
      </c>
    </row>
    <row r="144" spans="2:6" outlineLevel="1">
      <c r="B144" s="1443"/>
      <c r="C144" s="1008"/>
      <c r="D144" s="252" t="s">
        <v>1296</v>
      </c>
      <c r="E144" s="1009"/>
      <c r="F144" s="1010" t="s">
        <v>1297</v>
      </c>
    </row>
    <row r="145" spans="2:6" outlineLevel="1">
      <c r="B145" s="1443"/>
      <c r="C145" s="1008"/>
      <c r="D145" s="252" t="s">
        <v>1298</v>
      </c>
      <c r="E145" s="1009"/>
      <c r="F145" s="1010" t="s">
        <v>1299</v>
      </c>
    </row>
    <row r="146" spans="2:6" ht="24" outlineLevel="1">
      <c r="B146" s="1443"/>
      <c r="C146" s="1008"/>
      <c r="D146" s="252" t="s">
        <v>1300</v>
      </c>
      <c r="E146" s="1009"/>
      <c r="F146" s="1010" t="s">
        <v>1301</v>
      </c>
    </row>
    <row r="147" spans="2:6" outlineLevel="1">
      <c r="B147" s="1443"/>
      <c r="C147" s="1008"/>
      <c r="D147" s="252" t="s">
        <v>1302</v>
      </c>
      <c r="E147" s="1009"/>
      <c r="F147" s="1010" t="s">
        <v>1303</v>
      </c>
    </row>
    <row r="148" spans="2:6" outlineLevel="1">
      <c r="B148" s="1443"/>
      <c r="C148" s="1008"/>
      <c r="D148" s="252" t="s">
        <v>1304</v>
      </c>
      <c r="E148" s="1009"/>
      <c r="F148" s="1010" t="s">
        <v>1297</v>
      </c>
    </row>
    <row r="149" spans="2:6" outlineLevel="1">
      <c r="B149" s="1443"/>
      <c r="C149" s="1008"/>
      <c r="D149" s="252" t="s">
        <v>1305</v>
      </c>
      <c r="E149" s="1009"/>
      <c r="F149" s="1010" t="s">
        <v>1306</v>
      </c>
    </row>
    <row r="150" spans="2:6" outlineLevel="1">
      <c r="B150" s="1443"/>
      <c r="C150" s="1008"/>
      <c r="D150" s="252" t="s">
        <v>1307</v>
      </c>
      <c r="E150" s="1009"/>
      <c r="F150" s="1010" t="s">
        <v>1297</v>
      </c>
    </row>
    <row r="151" spans="2:6" outlineLevel="1">
      <c r="B151" s="1444"/>
      <c r="C151" s="1008"/>
      <c r="D151" s="252" t="s">
        <v>220</v>
      </c>
      <c r="E151" s="1009"/>
      <c r="F151" s="1010"/>
    </row>
    <row r="152" spans="2:6" ht="21" customHeight="1">
      <c r="B152" s="1445" t="s">
        <v>952</v>
      </c>
      <c r="C152" s="1446"/>
      <c r="D152" s="1446"/>
      <c r="E152" s="1446"/>
      <c r="F152" s="1446"/>
    </row>
    <row r="153" spans="2:6" ht="21" customHeight="1">
      <c r="B153" s="1445" t="s">
        <v>850</v>
      </c>
      <c r="C153" s="1446"/>
      <c r="D153" s="1446"/>
      <c r="E153" s="1446"/>
      <c r="F153" s="1446"/>
    </row>
    <row r="154" spans="2:6" ht="76.5">
      <c r="B154" s="1442">
        <v>10</v>
      </c>
      <c r="C154" s="1005" t="s">
        <v>819</v>
      </c>
      <c r="D154" s="251" t="s">
        <v>235</v>
      </c>
      <c r="E154" s="1006" t="s">
        <v>1308</v>
      </c>
      <c r="F154" s="1007" t="s">
        <v>1309</v>
      </c>
    </row>
    <row r="155" spans="2:6" ht="36" outlineLevel="1">
      <c r="B155" s="1443"/>
      <c r="C155" s="1008"/>
      <c r="D155" s="252" t="s">
        <v>224</v>
      </c>
      <c r="E155" s="1009"/>
      <c r="F155" s="1010" t="s">
        <v>77</v>
      </c>
    </row>
    <row r="156" spans="2:6" ht="96" outlineLevel="1">
      <c r="B156" s="1443"/>
      <c r="C156" s="1008"/>
      <c r="D156" s="252" t="s">
        <v>866</v>
      </c>
      <c r="E156" s="1009"/>
      <c r="F156" s="1010" t="s">
        <v>77</v>
      </c>
    </row>
    <row r="157" spans="2:6" outlineLevel="1">
      <c r="B157" s="1443"/>
      <c r="C157" s="1008"/>
      <c r="D157" s="252" t="s">
        <v>226</v>
      </c>
      <c r="E157" s="1009"/>
      <c r="F157" s="1010" t="s">
        <v>77</v>
      </c>
    </row>
    <row r="158" spans="2:6" ht="60" outlineLevel="1">
      <c r="B158" s="1443"/>
      <c r="C158" s="1008"/>
      <c r="D158" s="252" t="s">
        <v>239</v>
      </c>
      <c r="E158" s="1009"/>
      <c r="F158" s="1010" t="s">
        <v>77</v>
      </c>
    </row>
    <row r="159" spans="2:6" ht="72" outlineLevel="1">
      <c r="B159" s="1443"/>
      <c r="C159" s="1008"/>
      <c r="D159" s="252" t="s">
        <v>1183</v>
      </c>
      <c r="E159" s="1009"/>
      <c r="F159" s="1010" t="s">
        <v>77</v>
      </c>
    </row>
    <row r="160" spans="2:6" outlineLevel="1">
      <c r="B160" s="1443"/>
      <c r="C160" s="1008"/>
      <c r="D160" s="252" t="s">
        <v>1259</v>
      </c>
      <c r="E160" s="1009"/>
      <c r="F160" s="1010" t="s">
        <v>1310</v>
      </c>
    </row>
    <row r="161" spans="2:6" ht="24" outlineLevel="1">
      <c r="B161" s="1443"/>
      <c r="C161" s="1008"/>
      <c r="D161" s="252" t="s">
        <v>1261</v>
      </c>
      <c r="E161" s="1009"/>
      <c r="F161" s="1010" t="s">
        <v>1310</v>
      </c>
    </row>
    <row r="162" spans="2:6" outlineLevel="1">
      <c r="B162" s="1443"/>
      <c r="C162" s="1008"/>
      <c r="D162" s="252" t="s">
        <v>1311</v>
      </c>
      <c r="E162" s="1009"/>
      <c r="F162" s="1010" t="s">
        <v>1312</v>
      </c>
    </row>
    <row r="163" spans="2:6" ht="24" outlineLevel="1">
      <c r="B163" s="1443"/>
      <c r="C163" s="1008"/>
      <c r="D163" s="252" t="s">
        <v>1313</v>
      </c>
      <c r="E163" s="1009"/>
      <c r="F163" s="1010" t="s">
        <v>1314</v>
      </c>
    </row>
    <row r="164" spans="2:6" ht="24" outlineLevel="1">
      <c r="B164" s="1443"/>
      <c r="C164" s="1008"/>
      <c r="D164" s="252" t="s">
        <v>1315</v>
      </c>
      <c r="E164" s="1009"/>
      <c r="F164" s="1010" t="s">
        <v>1316</v>
      </c>
    </row>
    <row r="165" spans="2:6" outlineLevel="1">
      <c r="B165" s="1443"/>
      <c r="C165" s="1008"/>
      <c r="D165" s="252" t="s">
        <v>1317</v>
      </c>
      <c r="E165" s="1009"/>
      <c r="F165" s="1010" t="s">
        <v>1318</v>
      </c>
    </row>
    <row r="166" spans="2:6" ht="24" outlineLevel="1">
      <c r="B166" s="1443"/>
      <c r="C166" s="1008"/>
      <c r="D166" s="252" t="s">
        <v>1319</v>
      </c>
      <c r="E166" s="1009"/>
      <c r="F166" s="1010" t="s">
        <v>1312</v>
      </c>
    </row>
    <row r="167" spans="2:6" outlineLevel="1">
      <c r="B167" s="1443"/>
      <c r="C167" s="1008"/>
      <c r="D167" s="252" t="s">
        <v>1320</v>
      </c>
      <c r="E167" s="1009"/>
      <c r="F167" s="1010" t="s">
        <v>1321</v>
      </c>
    </row>
    <row r="168" spans="2:6" outlineLevel="1">
      <c r="B168" s="1444"/>
      <c r="C168" s="1008"/>
      <c r="D168" s="252" t="s">
        <v>867</v>
      </c>
      <c r="E168" s="1009"/>
      <c r="F168" s="1010"/>
    </row>
    <row r="169" spans="2:6" ht="76.5">
      <c r="B169" s="1442">
        <v>11</v>
      </c>
      <c r="C169" s="1005" t="s">
        <v>820</v>
      </c>
      <c r="D169" s="251" t="s">
        <v>235</v>
      </c>
      <c r="E169" s="1006" t="s">
        <v>1308</v>
      </c>
      <c r="F169" s="1007" t="s">
        <v>1309</v>
      </c>
    </row>
    <row r="170" spans="2:6" ht="36" outlineLevel="1">
      <c r="B170" s="1443"/>
      <c r="C170" s="1008"/>
      <c r="D170" s="252" t="s">
        <v>224</v>
      </c>
      <c r="E170" s="1009"/>
      <c r="F170" s="1010" t="s">
        <v>77</v>
      </c>
    </row>
    <row r="171" spans="2:6" ht="96" outlineLevel="1">
      <c r="B171" s="1443"/>
      <c r="C171" s="1008"/>
      <c r="D171" s="252" t="s">
        <v>866</v>
      </c>
      <c r="E171" s="1009"/>
      <c r="F171" s="1010" t="s">
        <v>77</v>
      </c>
    </row>
    <row r="172" spans="2:6" outlineLevel="1">
      <c r="B172" s="1443"/>
      <c r="C172" s="1008"/>
      <c r="D172" s="252" t="s">
        <v>226</v>
      </c>
      <c r="E172" s="1009"/>
      <c r="F172" s="1010" t="s">
        <v>77</v>
      </c>
    </row>
    <row r="173" spans="2:6" ht="60" outlineLevel="1">
      <c r="B173" s="1443"/>
      <c r="C173" s="1008"/>
      <c r="D173" s="252" t="s">
        <v>239</v>
      </c>
      <c r="E173" s="1009"/>
      <c r="F173" s="1010" t="s">
        <v>77</v>
      </c>
    </row>
    <row r="174" spans="2:6" ht="72" outlineLevel="1">
      <c r="B174" s="1443"/>
      <c r="C174" s="1008"/>
      <c r="D174" s="252" t="s">
        <v>1183</v>
      </c>
      <c r="E174" s="1009"/>
      <c r="F174" s="1010" t="s">
        <v>77</v>
      </c>
    </row>
    <row r="175" spans="2:6" outlineLevel="1">
      <c r="B175" s="1443"/>
      <c r="C175" s="1008"/>
      <c r="D175" s="252" t="s">
        <v>1259</v>
      </c>
      <c r="E175" s="1009"/>
      <c r="F175" s="1010" t="s">
        <v>1310</v>
      </c>
    </row>
    <row r="176" spans="2:6" ht="24" outlineLevel="1">
      <c r="B176" s="1443"/>
      <c r="C176" s="1008"/>
      <c r="D176" s="252" t="s">
        <v>1261</v>
      </c>
      <c r="E176" s="1009"/>
      <c r="F176" s="1010" t="s">
        <v>1310</v>
      </c>
    </row>
    <row r="177" spans="2:6" outlineLevel="1">
      <c r="B177" s="1443"/>
      <c r="C177" s="1008"/>
      <c r="D177" s="252" t="s">
        <v>1311</v>
      </c>
      <c r="E177" s="1009"/>
      <c r="F177" s="1010" t="s">
        <v>1312</v>
      </c>
    </row>
    <row r="178" spans="2:6" ht="24" outlineLevel="1">
      <c r="B178" s="1443"/>
      <c r="C178" s="1008"/>
      <c r="D178" s="252" t="s">
        <v>1313</v>
      </c>
      <c r="E178" s="1009"/>
      <c r="F178" s="1010" t="s">
        <v>1314</v>
      </c>
    </row>
    <row r="179" spans="2:6" ht="24" outlineLevel="1">
      <c r="B179" s="1443"/>
      <c r="C179" s="1008"/>
      <c r="D179" s="252" t="s">
        <v>1315</v>
      </c>
      <c r="E179" s="1009"/>
      <c r="F179" s="1010" t="s">
        <v>1316</v>
      </c>
    </row>
    <row r="180" spans="2:6" outlineLevel="1">
      <c r="B180" s="1443"/>
      <c r="C180" s="1008"/>
      <c r="D180" s="252" t="s">
        <v>1317</v>
      </c>
      <c r="E180" s="1009"/>
      <c r="F180" s="1010" t="s">
        <v>1318</v>
      </c>
    </row>
    <row r="181" spans="2:6" ht="24" outlineLevel="1">
      <c r="B181" s="1443"/>
      <c r="C181" s="1008"/>
      <c r="D181" s="252" t="s">
        <v>1319</v>
      </c>
      <c r="E181" s="1009"/>
      <c r="F181" s="1010" t="s">
        <v>1312</v>
      </c>
    </row>
    <row r="182" spans="2:6" outlineLevel="1">
      <c r="B182" s="1443"/>
      <c r="C182" s="1008"/>
      <c r="D182" s="252" t="s">
        <v>1320</v>
      </c>
      <c r="E182" s="1009"/>
      <c r="F182" s="1010" t="s">
        <v>1321</v>
      </c>
    </row>
    <row r="183" spans="2:6" outlineLevel="1">
      <c r="B183" s="1444"/>
      <c r="C183" s="1008"/>
      <c r="D183" s="252" t="s">
        <v>867</v>
      </c>
      <c r="E183" s="1009"/>
      <c r="F183" s="1010"/>
    </row>
    <row r="184" spans="2:6" ht="21" customHeight="1">
      <c r="B184" s="1445" t="s">
        <v>953</v>
      </c>
      <c r="C184" s="1446"/>
      <c r="D184" s="1446"/>
      <c r="E184" s="1446"/>
      <c r="F184" s="1446"/>
    </row>
    <row r="185" spans="2:6" ht="21" customHeight="1">
      <c r="B185" s="1445" t="s">
        <v>850</v>
      </c>
      <c r="C185" s="1446"/>
      <c r="D185" s="1446"/>
      <c r="E185" s="1446"/>
      <c r="F185" s="1446"/>
    </row>
    <row r="186" spans="2:6" ht="76.5">
      <c r="B186" s="1442">
        <v>12</v>
      </c>
      <c r="C186" s="1005" t="s">
        <v>819</v>
      </c>
      <c r="D186" s="251" t="s">
        <v>235</v>
      </c>
      <c r="E186" s="1006" t="s">
        <v>1308</v>
      </c>
      <c r="F186" s="1007" t="s">
        <v>1309</v>
      </c>
    </row>
    <row r="187" spans="2:6" ht="36" outlineLevel="1">
      <c r="B187" s="1443"/>
      <c r="C187" s="1008"/>
      <c r="D187" s="252" t="s">
        <v>224</v>
      </c>
      <c r="E187" s="1009"/>
      <c r="F187" s="1010" t="s">
        <v>77</v>
      </c>
    </row>
    <row r="188" spans="2:6" ht="96" outlineLevel="1">
      <c r="B188" s="1443"/>
      <c r="C188" s="1008"/>
      <c r="D188" s="252" t="s">
        <v>866</v>
      </c>
      <c r="E188" s="1009"/>
      <c r="F188" s="1010" t="s">
        <v>77</v>
      </c>
    </row>
    <row r="189" spans="2:6" outlineLevel="1">
      <c r="B189" s="1443"/>
      <c r="C189" s="1008"/>
      <c r="D189" s="252" t="s">
        <v>226</v>
      </c>
      <c r="E189" s="1009"/>
      <c r="F189" s="1010" t="s">
        <v>77</v>
      </c>
    </row>
    <row r="190" spans="2:6" ht="60" outlineLevel="1">
      <c r="B190" s="1443"/>
      <c r="C190" s="1008"/>
      <c r="D190" s="252" t="s">
        <v>239</v>
      </c>
      <c r="E190" s="1009"/>
      <c r="F190" s="1010" t="s">
        <v>77</v>
      </c>
    </row>
    <row r="191" spans="2:6" ht="72" outlineLevel="1">
      <c r="B191" s="1443"/>
      <c r="C191" s="1008"/>
      <c r="D191" s="252" t="s">
        <v>1183</v>
      </c>
      <c r="E191" s="1009"/>
      <c r="F191" s="1010" t="s">
        <v>77</v>
      </c>
    </row>
    <row r="192" spans="2:6" outlineLevel="1">
      <c r="B192" s="1443"/>
      <c r="C192" s="1008"/>
      <c r="D192" s="252" t="s">
        <v>1259</v>
      </c>
      <c r="E192" s="1009"/>
      <c r="F192" s="1010" t="s">
        <v>1310</v>
      </c>
    </row>
    <row r="193" spans="2:6" ht="24" outlineLevel="1">
      <c r="B193" s="1443"/>
      <c r="C193" s="1008"/>
      <c r="D193" s="252" t="s">
        <v>1261</v>
      </c>
      <c r="E193" s="1009"/>
      <c r="F193" s="1010" t="s">
        <v>1310</v>
      </c>
    </row>
    <row r="194" spans="2:6" outlineLevel="1">
      <c r="B194" s="1443"/>
      <c r="C194" s="1008"/>
      <c r="D194" s="252" t="s">
        <v>1311</v>
      </c>
      <c r="E194" s="1009"/>
      <c r="F194" s="1010" t="s">
        <v>1312</v>
      </c>
    </row>
    <row r="195" spans="2:6" ht="24" outlineLevel="1">
      <c r="B195" s="1443"/>
      <c r="C195" s="1008"/>
      <c r="D195" s="252" t="s">
        <v>1313</v>
      </c>
      <c r="E195" s="1009"/>
      <c r="F195" s="1010" t="s">
        <v>1314</v>
      </c>
    </row>
    <row r="196" spans="2:6" ht="24" outlineLevel="1">
      <c r="B196" s="1443"/>
      <c r="C196" s="1008"/>
      <c r="D196" s="252" t="s">
        <v>1315</v>
      </c>
      <c r="E196" s="1009"/>
      <c r="F196" s="1010" t="s">
        <v>1316</v>
      </c>
    </row>
    <row r="197" spans="2:6" outlineLevel="1">
      <c r="B197" s="1443"/>
      <c r="C197" s="1008"/>
      <c r="D197" s="252" t="s">
        <v>1317</v>
      </c>
      <c r="E197" s="1009"/>
      <c r="F197" s="1010" t="s">
        <v>1318</v>
      </c>
    </row>
    <row r="198" spans="2:6" ht="24" outlineLevel="1">
      <c r="B198" s="1443"/>
      <c r="C198" s="1008"/>
      <c r="D198" s="252" t="s">
        <v>1319</v>
      </c>
      <c r="E198" s="1009"/>
      <c r="F198" s="1010" t="s">
        <v>1312</v>
      </c>
    </row>
    <row r="199" spans="2:6" outlineLevel="1">
      <c r="B199" s="1443"/>
      <c r="C199" s="1008"/>
      <c r="D199" s="252" t="s">
        <v>1320</v>
      </c>
      <c r="E199" s="1009"/>
      <c r="F199" s="1010" t="s">
        <v>1321</v>
      </c>
    </row>
    <row r="200" spans="2:6" outlineLevel="1">
      <c r="B200" s="1444"/>
      <c r="C200" s="1008"/>
      <c r="D200" s="252" t="s">
        <v>867</v>
      </c>
      <c r="E200" s="1009"/>
      <c r="F200" s="1010"/>
    </row>
    <row r="201" spans="2:6" ht="76.5">
      <c r="B201" s="1442">
        <v>13</v>
      </c>
      <c r="C201" s="1005" t="s">
        <v>820</v>
      </c>
      <c r="D201" s="251" t="s">
        <v>235</v>
      </c>
      <c r="E201" s="1006" t="s">
        <v>1308</v>
      </c>
      <c r="F201" s="1007" t="s">
        <v>1309</v>
      </c>
    </row>
    <row r="202" spans="2:6" ht="36" outlineLevel="1">
      <c r="B202" s="1443"/>
      <c r="C202" s="1008"/>
      <c r="D202" s="252" t="s">
        <v>224</v>
      </c>
      <c r="E202" s="1009"/>
      <c r="F202" s="1010" t="s">
        <v>77</v>
      </c>
    </row>
    <row r="203" spans="2:6" ht="96" outlineLevel="1">
      <c r="B203" s="1443"/>
      <c r="C203" s="1008"/>
      <c r="D203" s="252" t="s">
        <v>866</v>
      </c>
      <c r="E203" s="1009"/>
      <c r="F203" s="1010" t="s">
        <v>77</v>
      </c>
    </row>
    <row r="204" spans="2:6" outlineLevel="1">
      <c r="B204" s="1443"/>
      <c r="C204" s="1008"/>
      <c r="D204" s="252" t="s">
        <v>226</v>
      </c>
      <c r="E204" s="1009"/>
      <c r="F204" s="1010" t="s">
        <v>77</v>
      </c>
    </row>
    <row r="205" spans="2:6" ht="60" outlineLevel="1">
      <c r="B205" s="1443"/>
      <c r="C205" s="1008"/>
      <c r="D205" s="252" t="s">
        <v>239</v>
      </c>
      <c r="E205" s="1009"/>
      <c r="F205" s="1010" t="s">
        <v>77</v>
      </c>
    </row>
    <row r="206" spans="2:6" ht="72" outlineLevel="1">
      <c r="B206" s="1443"/>
      <c r="C206" s="1008"/>
      <c r="D206" s="252" t="s">
        <v>1183</v>
      </c>
      <c r="E206" s="1009"/>
      <c r="F206" s="1010" t="s">
        <v>77</v>
      </c>
    </row>
    <row r="207" spans="2:6" outlineLevel="1">
      <c r="B207" s="1443"/>
      <c r="C207" s="1008"/>
      <c r="D207" s="252" t="s">
        <v>1259</v>
      </c>
      <c r="E207" s="1009"/>
      <c r="F207" s="1010" t="s">
        <v>1310</v>
      </c>
    </row>
    <row r="208" spans="2:6" ht="24" outlineLevel="1">
      <c r="B208" s="1443"/>
      <c r="C208" s="1008"/>
      <c r="D208" s="252" t="s">
        <v>1261</v>
      </c>
      <c r="E208" s="1009"/>
      <c r="F208" s="1010" t="s">
        <v>1310</v>
      </c>
    </row>
    <row r="209" spans="2:6" outlineLevel="1">
      <c r="B209" s="1443"/>
      <c r="C209" s="1008"/>
      <c r="D209" s="252" t="s">
        <v>1311</v>
      </c>
      <c r="E209" s="1009"/>
      <c r="F209" s="1010" t="s">
        <v>1312</v>
      </c>
    </row>
    <row r="210" spans="2:6" ht="24" outlineLevel="1">
      <c r="B210" s="1443"/>
      <c r="C210" s="1008"/>
      <c r="D210" s="252" t="s">
        <v>1313</v>
      </c>
      <c r="E210" s="1009"/>
      <c r="F210" s="1010" t="s">
        <v>1314</v>
      </c>
    </row>
    <row r="211" spans="2:6" ht="24" outlineLevel="1">
      <c r="B211" s="1443"/>
      <c r="C211" s="1008"/>
      <c r="D211" s="252" t="s">
        <v>1315</v>
      </c>
      <c r="E211" s="1009"/>
      <c r="F211" s="1010" t="s">
        <v>1316</v>
      </c>
    </row>
    <row r="212" spans="2:6" outlineLevel="1">
      <c r="B212" s="1443"/>
      <c r="C212" s="1008"/>
      <c r="D212" s="252" t="s">
        <v>1317</v>
      </c>
      <c r="E212" s="1009"/>
      <c r="F212" s="1010" t="s">
        <v>1318</v>
      </c>
    </row>
    <row r="213" spans="2:6" ht="24" outlineLevel="1">
      <c r="B213" s="1443"/>
      <c r="C213" s="1008"/>
      <c r="D213" s="252" t="s">
        <v>1319</v>
      </c>
      <c r="E213" s="1009"/>
      <c r="F213" s="1010" t="s">
        <v>1312</v>
      </c>
    </row>
    <row r="214" spans="2:6" outlineLevel="1">
      <c r="B214" s="1443"/>
      <c r="C214" s="1008"/>
      <c r="D214" s="252" t="s">
        <v>1320</v>
      </c>
      <c r="E214" s="1009"/>
      <c r="F214" s="1010" t="s">
        <v>1321</v>
      </c>
    </row>
    <row r="215" spans="2:6" outlineLevel="1">
      <c r="B215" s="1444"/>
      <c r="C215" s="1008"/>
      <c r="D215" s="252" t="s">
        <v>867</v>
      </c>
      <c r="E215" s="1009"/>
      <c r="F215" s="1010"/>
    </row>
    <row r="216" spans="2:6" ht="21" customHeight="1">
      <c r="B216" s="1445" t="s">
        <v>954</v>
      </c>
      <c r="C216" s="1446"/>
      <c r="D216" s="1446"/>
      <c r="E216" s="1446"/>
      <c r="F216" s="1446"/>
    </row>
    <row r="217" spans="2:6" ht="76.5">
      <c r="B217" s="1442">
        <v>14</v>
      </c>
      <c r="C217" s="1005" t="s">
        <v>234</v>
      </c>
      <c r="D217" s="251" t="s">
        <v>235</v>
      </c>
      <c r="E217" s="1006" t="s">
        <v>1322</v>
      </c>
      <c r="F217" s="1007" t="s">
        <v>1323</v>
      </c>
    </row>
    <row r="218" spans="2:6" ht="96" outlineLevel="1">
      <c r="B218" s="1443"/>
      <c r="C218" s="1008"/>
      <c r="D218" s="252" t="s">
        <v>225</v>
      </c>
      <c r="E218" s="1009"/>
      <c r="F218" s="1010" t="s">
        <v>77</v>
      </c>
    </row>
    <row r="219" spans="2:6" ht="84" outlineLevel="1">
      <c r="B219" s="1443"/>
      <c r="C219" s="1008"/>
      <c r="D219" s="252" t="s">
        <v>236</v>
      </c>
      <c r="E219" s="1009"/>
      <c r="F219" s="1010" t="s">
        <v>77</v>
      </c>
    </row>
    <row r="220" spans="2:6" ht="24" outlineLevel="1">
      <c r="B220" s="1443"/>
      <c r="C220" s="1008"/>
      <c r="D220" s="252" t="s">
        <v>237</v>
      </c>
      <c r="E220" s="1009"/>
      <c r="F220" s="1010" t="s">
        <v>77</v>
      </c>
    </row>
    <row r="221" spans="2:6" ht="48" outlineLevel="1">
      <c r="B221" s="1443"/>
      <c r="C221" s="1008"/>
      <c r="D221" s="252" t="s">
        <v>238</v>
      </c>
      <c r="E221" s="1009"/>
      <c r="F221" s="1010" t="s">
        <v>77</v>
      </c>
    </row>
    <row r="222" spans="2:6" ht="60" outlineLevel="1">
      <c r="B222" s="1443"/>
      <c r="C222" s="1008"/>
      <c r="D222" s="252" t="s">
        <v>239</v>
      </c>
      <c r="E222" s="1009"/>
      <c r="F222" s="1010" t="s">
        <v>77</v>
      </c>
    </row>
    <row r="223" spans="2:6" outlineLevel="1">
      <c r="B223" s="1443"/>
      <c r="C223" s="1008"/>
      <c r="D223" s="252" t="s">
        <v>226</v>
      </c>
      <c r="E223" s="1009"/>
      <c r="F223" s="1010" t="s">
        <v>77</v>
      </c>
    </row>
    <row r="224" spans="2:6" ht="72" outlineLevel="1">
      <c r="B224" s="1443"/>
      <c r="C224" s="1008"/>
      <c r="D224" s="252" t="s">
        <v>1183</v>
      </c>
      <c r="E224" s="1009"/>
      <c r="F224" s="1010" t="s">
        <v>77</v>
      </c>
    </row>
    <row r="225" spans="2:6" outlineLevel="1">
      <c r="B225" s="1443"/>
      <c r="C225" s="1008"/>
      <c r="D225" s="252" t="s">
        <v>1259</v>
      </c>
      <c r="E225" s="1009"/>
      <c r="F225" s="1010" t="s">
        <v>1324</v>
      </c>
    </row>
    <row r="226" spans="2:6" ht="24" outlineLevel="1">
      <c r="B226" s="1443"/>
      <c r="C226" s="1008"/>
      <c r="D226" s="252" t="s">
        <v>1261</v>
      </c>
      <c r="E226" s="1009"/>
      <c r="F226" s="1010" t="s">
        <v>1324</v>
      </c>
    </row>
    <row r="227" spans="2:6" ht="24" outlineLevel="1">
      <c r="B227" s="1443"/>
      <c r="C227" s="1008"/>
      <c r="D227" s="252" t="s">
        <v>1325</v>
      </c>
      <c r="E227" s="1009"/>
      <c r="F227" s="1010" t="s">
        <v>1326</v>
      </c>
    </row>
    <row r="228" spans="2:6" ht="24" outlineLevel="1">
      <c r="B228" s="1443"/>
      <c r="C228" s="1008"/>
      <c r="D228" s="252" t="s">
        <v>1315</v>
      </c>
      <c r="E228" s="1009"/>
      <c r="F228" s="1010" t="s">
        <v>1327</v>
      </c>
    </row>
    <row r="229" spans="2:6" outlineLevel="1">
      <c r="B229" s="1443"/>
      <c r="C229" s="1008"/>
      <c r="D229" s="252" t="s">
        <v>1317</v>
      </c>
      <c r="E229" s="1009"/>
      <c r="F229" s="1010" t="s">
        <v>1328</v>
      </c>
    </row>
    <row r="230" spans="2:6" ht="24" outlineLevel="1">
      <c r="B230" s="1443"/>
      <c r="C230" s="1008"/>
      <c r="D230" s="252" t="s">
        <v>1319</v>
      </c>
      <c r="E230" s="1009"/>
      <c r="F230" s="1010" t="s">
        <v>1329</v>
      </c>
    </row>
    <row r="231" spans="2:6" outlineLevel="1">
      <c r="B231" s="1443"/>
      <c r="C231" s="1008"/>
      <c r="D231" s="252" t="s">
        <v>1330</v>
      </c>
      <c r="E231" s="1009"/>
      <c r="F231" s="1010" t="s">
        <v>1331</v>
      </c>
    </row>
    <row r="232" spans="2:6" outlineLevel="1">
      <c r="B232" s="1444"/>
      <c r="C232" s="1008"/>
      <c r="D232" s="252" t="s">
        <v>240</v>
      </c>
      <c r="E232" s="1009"/>
      <c r="F232" s="1010"/>
    </row>
    <row r="233" spans="2:6" ht="76.5">
      <c r="B233" s="1442">
        <v>15</v>
      </c>
      <c r="C233" s="1005" t="s">
        <v>241</v>
      </c>
      <c r="D233" s="251" t="s">
        <v>235</v>
      </c>
      <c r="E233" s="1006" t="s">
        <v>1322</v>
      </c>
      <c r="F233" s="1007" t="s">
        <v>1323</v>
      </c>
    </row>
    <row r="234" spans="2:6" ht="96" outlineLevel="1">
      <c r="B234" s="1443"/>
      <c r="C234" s="1008"/>
      <c r="D234" s="252" t="s">
        <v>225</v>
      </c>
      <c r="E234" s="1009"/>
      <c r="F234" s="1010" t="s">
        <v>77</v>
      </c>
    </row>
    <row r="235" spans="2:6" ht="84" outlineLevel="1">
      <c r="B235" s="1443"/>
      <c r="C235" s="1008"/>
      <c r="D235" s="252" t="s">
        <v>236</v>
      </c>
      <c r="E235" s="1009"/>
      <c r="F235" s="1010" t="s">
        <v>77</v>
      </c>
    </row>
    <row r="236" spans="2:6" ht="24" outlineLevel="1">
      <c r="B236" s="1443"/>
      <c r="C236" s="1008"/>
      <c r="D236" s="252" t="s">
        <v>237</v>
      </c>
      <c r="E236" s="1009"/>
      <c r="F236" s="1010" t="s">
        <v>77</v>
      </c>
    </row>
    <row r="237" spans="2:6" ht="48" outlineLevel="1">
      <c r="B237" s="1443"/>
      <c r="C237" s="1008"/>
      <c r="D237" s="252" t="s">
        <v>238</v>
      </c>
      <c r="E237" s="1009"/>
      <c r="F237" s="1010" t="s">
        <v>77</v>
      </c>
    </row>
    <row r="238" spans="2:6" ht="60" outlineLevel="1">
      <c r="B238" s="1443"/>
      <c r="C238" s="1008"/>
      <c r="D238" s="252" t="s">
        <v>239</v>
      </c>
      <c r="E238" s="1009"/>
      <c r="F238" s="1010" t="s">
        <v>77</v>
      </c>
    </row>
    <row r="239" spans="2:6" outlineLevel="1">
      <c r="B239" s="1443"/>
      <c r="C239" s="1008"/>
      <c r="D239" s="252" t="s">
        <v>226</v>
      </c>
      <c r="E239" s="1009"/>
      <c r="F239" s="1010" t="s">
        <v>77</v>
      </c>
    </row>
    <row r="240" spans="2:6" ht="72" outlineLevel="1">
      <c r="B240" s="1443"/>
      <c r="C240" s="1008"/>
      <c r="D240" s="252" t="s">
        <v>1183</v>
      </c>
      <c r="E240" s="1009"/>
      <c r="F240" s="1010" t="s">
        <v>77</v>
      </c>
    </row>
    <row r="241" spans="2:6" outlineLevel="1">
      <c r="B241" s="1443"/>
      <c r="C241" s="1008"/>
      <c r="D241" s="252" t="s">
        <v>1259</v>
      </c>
      <c r="E241" s="1009"/>
      <c r="F241" s="1010" t="s">
        <v>1324</v>
      </c>
    </row>
    <row r="242" spans="2:6" ht="24" outlineLevel="1">
      <c r="B242" s="1443"/>
      <c r="C242" s="1008"/>
      <c r="D242" s="252" t="s">
        <v>1261</v>
      </c>
      <c r="E242" s="1009"/>
      <c r="F242" s="1010" t="s">
        <v>1324</v>
      </c>
    </row>
    <row r="243" spans="2:6" ht="24" outlineLevel="1">
      <c r="B243" s="1443"/>
      <c r="C243" s="1008"/>
      <c r="D243" s="252" t="s">
        <v>1325</v>
      </c>
      <c r="E243" s="1009"/>
      <c r="F243" s="1010" t="s">
        <v>1326</v>
      </c>
    </row>
    <row r="244" spans="2:6" ht="24" outlineLevel="1">
      <c r="B244" s="1443"/>
      <c r="C244" s="1008"/>
      <c r="D244" s="252" t="s">
        <v>1315</v>
      </c>
      <c r="E244" s="1009"/>
      <c r="F244" s="1010" t="s">
        <v>1327</v>
      </c>
    </row>
    <row r="245" spans="2:6" outlineLevel="1">
      <c r="B245" s="1443"/>
      <c r="C245" s="1008"/>
      <c r="D245" s="252" t="s">
        <v>1317</v>
      </c>
      <c r="E245" s="1009"/>
      <c r="F245" s="1010" t="s">
        <v>1328</v>
      </c>
    </row>
    <row r="246" spans="2:6" ht="24" outlineLevel="1">
      <c r="B246" s="1443"/>
      <c r="C246" s="1008"/>
      <c r="D246" s="252" t="s">
        <v>1319</v>
      </c>
      <c r="E246" s="1009"/>
      <c r="F246" s="1010" t="s">
        <v>1329</v>
      </c>
    </row>
    <row r="247" spans="2:6" outlineLevel="1">
      <c r="B247" s="1443"/>
      <c r="C247" s="1008"/>
      <c r="D247" s="252" t="s">
        <v>1330</v>
      </c>
      <c r="E247" s="1009"/>
      <c r="F247" s="1010" t="s">
        <v>1331</v>
      </c>
    </row>
    <row r="248" spans="2:6" outlineLevel="1">
      <c r="B248" s="1444"/>
      <c r="C248" s="1008"/>
      <c r="D248" s="252" t="s">
        <v>240</v>
      </c>
      <c r="E248" s="1009"/>
      <c r="F248" s="1010"/>
    </row>
    <row r="249" spans="2:6" ht="76.5">
      <c r="B249" s="1442">
        <v>16</v>
      </c>
      <c r="C249" s="1005" t="s">
        <v>242</v>
      </c>
      <c r="D249" s="251" t="s">
        <v>235</v>
      </c>
      <c r="E249" s="1006" t="s">
        <v>1322</v>
      </c>
      <c r="F249" s="1007" t="s">
        <v>1323</v>
      </c>
    </row>
    <row r="250" spans="2:6" ht="96" outlineLevel="1">
      <c r="B250" s="1443"/>
      <c r="C250" s="1008"/>
      <c r="D250" s="252" t="s">
        <v>225</v>
      </c>
      <c r="E250" s="1009"/>
      <c r="F250" s="1010" t="s">
        <v>77</v>
      </c>
    </row>
    <row r="251" spans="2:6" ht="84" outlineLevel="1">
      <c r="B251" s="1443"/>
      <c r="C251" s="1008"/>
      <c r="D251" s="252" t="s">
        <v>236</v>
      </c>
      <c r="E251" s="1009"/>
      <c r="F251" s="1010" t="s">
        <v>77</v>
      </c>
    </row>
    <row r="252" spans="2:6" ht="24" outlineLevel="1">
      <c r="B252" s="1443"/>
      <c r="C252" s="1008"/>
      <c r="D252" s="252" t="s">
        <v>237</v>
      </c>
      <c r="E252" s="1009"/>
      <c r="F252" s="1010" t="s">
        <v>77</v>
      </c>
    </row>
    <row r="253" spans="2:6" ht="48" outlineLevel="1">
      <c r="B253" s="1443"/>
      <c r="C253" s="1008"/>
      <c r="D253" s="252" t="s">
        <v>238</v>
      </c>
      <c r="E253" s="1009"/>
      <c r="F253" s="1010" t="s">
        <v>77</v>
      </c>
    </row>
    <row r="254" spans="2:6" ht="60" outlineLevel="1">
      <c r="B254" s="1443"/>
      <c r="C254" s="1008"/>
      <c r="D254" s="252" t="s">
        <v>239</v>
      </c>
      <c r="E254" s="1009"/>
      <c r="F254" s="1010" t="s">
        <v>77</v>
      </c>
    </row>
    <row r="255" spans="2:6" outlineLevel="1">
      <c r="B255" s="1443"/>
      <c r="C255" s="1008"/>
      <c r="D255" s="252" t="s">
        <v>226</v>
      </c>
      <c r="E255" s="1009"/>
      <c r="F255" s="1010" t="s">
        <v>77</v>
      </c>
    </row>
    <row r="256" spans="2:6" ht="72" outlineLevel="1">
      <c r="B256" s="1443"/>
      <c r="C256" s="1008"/>
      <c r="D256" s="252" t="s">
        <v>1183</v>
      </c>
      <c r="E256" s="1009"/>
      <c r="F256" s="1010" t="s">
        <v>77</v>
      </c>
    </row>
    <row r="257" spans="2:6" outlineLevel="1">
      <c r="B257" s="1443"/>
      <c r="C257" s="1008"/>
      <c r="D257" s="252" t="s">
        <v>1259</v>
      </c>
      <c r="E257" s="1009"/>
      <c r="F257" s="1010" t="s">
        <v>1324</v>
      </c>
    </row>
    <row r="258" spans="2:6" ht="24" outlineLevel="1">
      <c r="B258" s="1443"/>
      <c r="C258" s="1008"/>
      <c r="D258" s="252" t="s">
        <v>1261</v>
      </c>
      <c r="E258" s="1009"/>
      <c r="F258" s="1010" t="s">
        <v>1324</v>
      </c>
    </row>
    <row r="259" spans="2:6" ht="24" outlineLevel="1">
      <c r="B259" s="1443"/>
      <c r="C259" s="1008"/>
      <c r="D259" s="252" t="s">
        <v>1325</v>
      </c>
      <c r="E259" s="1009"/>
      <c r="F259" s="1010" t="s">
        <v>1326</v>
      </c>
    </row>
    <row r="260" spans="2:6" ht="24" outlineLevel="1">
      <c r="B260" s="1443"/>
      <c r="C260" s="1008"/>
      <c r="D260" s="252" t="s">
        <v>1315</v>
      </c>
      <c r="E260" s="1009"/>
      <c r="F260" s="1010" t="s">
        <v>1327</v>
      </c>
    </row>
    <row r="261" spans="2:6" outlineLevel="1">
      <c r="B261" s="1443"/>
      <c r="C261" s="1008"/>
      <c r="D261" s="252" t="s">
        <v>1317</v>
      </c>
      <c r="E261" s="1009"/>
      <c r="F261" s="1010" t="s">
        <v>1328</v>
      </c>
    </row>
    <row r="262" spans="2:6" ht="24" outlineLevel="1">
      <c r="B262" s="1443"/>
      <c r="C262" s="1008"/>
      <c r="D262" s="252" t="s">
        <v>1319</v>
      </c>
      <c r="E262" s="1009"/>
      <c r="F262" s="1010" t="s">
        <v>1329</v>
      </c>
    </row>
    <row r="263" spans="2:6" outlineLevel="1">
      <c r="B263" s="1443"/>
      <c r="C263" s="1008"/>
      <c r="D263" s="252" t="s">
        <v>1330</v>
      </c>
      <c r="E263" s="1009"/>
      <c r="F263" s="1010" t="s">
        <v>1331</v>
      </c>
    </row>
    <row r="264" spans="2:6" outlineLevel="1">
      <c r="B264" s="1444"/>
      <c r="C264" s="1008"/>
      <c r="D264" s="252" t="s">
        <v>240</v>
      </c>
      <c r="E264" s="1009"/>
      <c r="F264" s="1010"/>
    </row>
    <row r="265" spans="2:6" ht="76.5">
      <c r="B265" s="1442">
        <v>17</v>
      </c>
      <c r="C265" s="1005" t="s">
        <v>243</v>
      </c>
      <c r="D265" s="251" t="s">
        <v>235</v>
      </c>
      <c r="E265" s="1006" t="s">
        <v>1322</v>
      </c>
      <c r="F265" s="1007" t="s">
        <v>1323</v>
      </c>
    </row>
    <row r="266" spans="2:6" ht="96" outlineLevel="1">
      <c r="B266" s="1443"/>
      <c r="C266" s="1008"/>
      <c r="D266" s="252" t="s">
        <v>225</v>
      </c>
      <c r="E266" s="1009"/>
      <c r="F266" s="1010" t="s">
        <v>77</v>
      </c>
    </row>
    <row r="267" spans="2:6" ht="84" outlineLevel="1">
      <c r="B267" s="1443"/>
      <c r="C267" s="1008"/>
      <c r="D267" s="252" t="s">
        <v>236</v>
      </c>
      <c r="E267" s="1009"/>
      <c r="F267" s="1010" t="s">
        <v>77</v>
      </c>
    </row>
    <row r="268" spans="2:6" ht="24" outlineLevel="1">
      <c r="B268" s="1443"/>
      <c r="C268" s="1008"/>
      <c r="D268" s="252" t="s">
        <v>237</v>
      </c>
      <c r="E268" s="1009"/>
      <c r="F268" s="1010" t="s">
        <v>77</v>
      </c>
    </row>
    <row r="269" spans="2:6" ht="48" outlineLevel="1">
      <c r="B269" s="1443"/>
      <c r="C269" s="1008"/>
      <c r="D269" s="252" t="s">
        <v>238</v>
      </c>
      <c r="E269" s="1009"/>
      <c r="F269" s="1010" t="s">
        <v>77</v>
      </c>
    </row>
    <row r="270" spans="2:6" ht="60" outlineLevel="1">
      <c r="B270" s="1443"/>
      <c r="C270" s="1008"/>
      <c r="D270" s="252" t="s">
        <v>239</v>
      </c>
      <c r="E270" s="1009"/>
      <c r="F270" s="1010" t="s">
        <v>77</v>
      </c>
    </row>
    <row r="271" spans="2:6" outlineLevel="1">
      <c r="B271" s="1443"/>
      <c r="C271" s="1008"/>
      <c r="D271" s="252" t="s">
        <v>226</v>
      </c>
      <c r="E271" s="1009"/>
      <c r="F271" s="1010" t="s">
        <v>77</v>
      </c>
    </row>
    <row r="272" spans="2:6" ht="72" outlineLevel="1">
      <c r="B272" s="1443"/>
      <c r="C272" s="1008"/>
      <c r="D272" s="252" t="s">
        <v>1183</v>
      </c>
      <c r="E272" s="1009"/>
      <c r="F272" s="1010" t="s">
        <v>77</v>
      </c>
    </row>
    <row r="273" spans="2:6" outlineLevel="1">
      <c r="B273" s="1443"/>
      <c r="C273" s="1008"/>
      <c r="D273" s="252" t="s">
        <v>1259</v>
      </c>
      <c r="E273" s="1009"/>
      <c r="F273" s="1010" t="s">
        <v>1324</v>
      </c>
    </row>
    <row r="274" spans="2:6" ht="24" outlineLevel="1">
      <c r="B274" s="1443"/>
      <c r="C274" s="1008"/>
      <c r="D274" s="252" t="s">
        <v>1261</v>
      </c>
      <c r="E274" s="1009"/>
      <c r="F274" s="1010" t="s">
        <v>1324</v>
      </c>
    </row>
    <row r="275" spans="2:6" ht="24" outlineLevel="1">
      <c r="B275" s="1443"/>
      <c r="C275" s="1008"/>
      <c r="D275" s="252" t="s">
        <v>1325</v>
      </c>
      <c r="E275" s="1009"/>
      <c r="F275" s="1010" t="s">
        <v>1326</v>
      </c>
    </row>
    <row r="276" spans="2:6" ht="24" outlineLevel="1">
      <c r="B276" s="1443"/>
      <c r="C276" s="1008"/>
      <c r="D276" s="252" t="s">
        <v>1315</v>
      </c>
      <c r="E276" s="1009"/>
      <c r="F276" s="1010" t="s">
        <v>1327</v>
      </c>
    </row>
    <row r="277" spans="2:6" outlineLevel="1">
      <c r="B277" s="1443"/>
      <c r="C277" s="1008"/>
      <c r="D277" s="252" t="s">
        <v>1317</v>
      </c>
      <c r="E277" s="1009"/>
      <c r="F277" s="1010" t="s">
        <v>1328</v>
      </c>
    </row>
    <row r="278" spans="2:6" ht="24" outlineLevel="1">
      <c r="B278" s="1443"/>
      <c r="C278" s="1008"/>
      <c r="D278" s="252" t="s">
        <v>1319</v>
      </c>
      <c r="E278" s="1009"/>
      <c r="F278" s="1010" t="s">
        <v>1329</v>
      </c>
    </row>
    <row r="279" spans="2:6" outlineLevel="1">
      <c r="B279" s="1443"/>
      <c r="C279" s="1008"/>
      <c r="D279" s="252" t="s">
        <v>1330</v>
      </c>
      <c r="E279" s="1009"/>
      <c r="F279" s="1010" t="s">
        <v>1331</v>
      </c>
    </row>
    <row r="280" spans="2:6" outlineLevel="1">
      <c r="B280" s="1444"/>
      <c r="C280" s="1008"/>
      <c r="D280" s="252" t="s">
        <v>240</v>
      </c>
      <c r="E280" s="1009"/>
      <c r="F280" s="1010"/>
    </row>
    <row r="281" spans="2:6" ht="76.5">
      <c r="B281" s="1442">
        <v>18</v>
      </c>
      <c r="C281" s="1005" t="s">
        <v>244</v>
      </c>
      <c r="D281" s="251" t="s">
        <v>235</v>
      </c>
      <c r="E281" s="1006" t="s">
        <v>1322</v>
      </c>
      <c r="F281" s="1007" t="s">
        <v>1323</v>
      </c>
    </row>
    <row r="282" spans="2:6" ht="96" outlineLevel="1">
      <c r="B282" s="1443"/>
      <c r="C282" s="1008"/>
      <c r="D282" s="252" t="s">
        <v>225</v>
      </c>
      <c r="E282" s="1009"/>
      <c r="F282" s="1010" t="s">
        <v>77</v>
      </c>
    </row>
    <row r="283" spans="2:6" ht="84" outlineLevel="1">
      <c r="B283" s="1443"/>
      <c r="C283" s="1008"/>
      <c r="D283" s="252" t="s">
        <v>236</v>
      </c>
      <c r="E283" s="1009"/>
      <c r="F283" s="1010" t="s">
        <v>77</v>
      </c>
    </row>
    <row r="284" spans="2:6" ht="24" outlineLevel="1">
      <c r="B284" s="1443"/>
      <c r="C284" s="1008"/>
      <c r="D284" s="252" t="s">
        <v>237</v>
      </c>
      <c r="E284" s="1009"/>
      <c r="F284" s="1010" t="s">
        <v>77</v>
      </c>
    </row>
    <row r="285" spans="2:6" ht="48" outlineLevel="1">
      <c r="B285" s="1443"/>
      <c r="C285" s="1008"/>
      <c r="D285" s="252" t="s">
        <v>238</v>
      </c>
      <c r="E285" s="1009"/>
      <c r="F285" s="1010" t="s">
        <v>77</v>
      </c>
    </row>
    <row r="286" spans="2:6" ht="60" outlineLevel="1">
      <c r="B286" s="1443"/>
      <c r="C286" s="1008"/>
      <c r="D286" s="252" t="s">
        <v>239</v>
      </c>
      <c r="E286" s="1009"/>
      <c r="F286" s="1010" t="s">
        <v>77</v>
      </c>
    </row>
    <row r="287" spans="2:6" outlineLevel="1">
      <c r="B287" s="1443"/>
      <c r="C287" s="1008"/>
      <c r="D287" s="252" t="s">
        <v>226</v>
      </c>
      <c r="E287" s="1009"/>
      <c r="F287" s="1010" t="s">
        <v>77</v>
      </c>
    </row>
    <row r="288" spans="2:6" ht="72" outlineLevel="1">
      <c r="B288" s="1443"/>
      <c r="C288" s="1008"/>
      <c r="D288" s="252" t="s">
        <v>1183</v>
      </c>
      <c r="E288" s="1009"/>
      <c r="F288" s="1010" t="s">
        <v>77</v>
      </c>
    </row>
    <row r="289" spans="2:6" outlineLevel="1">
      <c r="B289" s="1443"/>
      <c r="C289" s="1008"/>
      <c r="D289" s="252" t="s">
        <v>1259</v>
      </c>
      <c r="E289" s="1009"/>
      <c r="F289" s="1010" t="s">
        <v>1324</v>
      </c>
    </row>
    <row r="290" spans="2:6" ht="24" outlineLevel="1">
      <c r="B290" s="1443"/>
      <c r="C290" s="1008"/>
      <c r="D290" s="252" t="s">
        <v>1261</v>
      </c>
      <c r="E290" s="1009"/>
      <c r="F290" s="1010" t="s">
        <v>1324</v>
      </c>
    </row>
    <row r="291" spans="2:6" ht="24" outlineLevel="1">
      <c r="B291" s="1443"/>
      <c r="C291" s="1008"/>
      <c r="D291" s="252" t="s">
        <v>1325</v>
      </c>
      <c r="E291" s="1009"/>
      <c r="F291" s="1010" t="s">
        <v>1326</v>
      </c>
    </row>
    <row r="292" spans="2:6" ht="24" outlineLevel="1">
      <c r="B292" s="1443"/>
      <c r="C292" s="1008"/>
      <c r="D292" s="252" t="s">
        <v>1315</v>
      </c>
      <c r="E292" s="1009"/>
      <c r="F292" s="1010" t="s">
        <v>1327</v>
      </c>
    </row>
    <row r="293" spans="2:6" outlineLevel="1">
      <c r="B293" s="1443"/>
      <c r="C293" s="1008"/>
      <c r="D293" s="252" t="s">
        <v>1317</v>
      </c>
      <c r="E293" s="1009"/>
      <c r="F293" s="1010" t="s">
        <v>1328</v>
      </c>
    </row>
    <row r="294" spans="2:6" ht="24" outlineLevel="1">
      <c r="B294" s="1443"/>
      <c r="C294" s="1008"/>
      <c r="D294" s="252" t="s">
        <v>1319</v>
      </c>
      <c r="E294" s="1009"/>
      <c r="F294" s="1010" t="s">
        <v>1329</v>
      </c>
    </row>
    <row r="295" spans="2:6" outlineLevel="1">
      <c r="B295" s="1443"/>
      <c r="C295" s="1008"/>
      <c r="D295" s="252" t="s">
        <v>1330</v>
      </c>
      <c r="E295" s="1009"/>
      <c r="F295" s="1010" t="s">
        <v>1331</v>
      </c>
    </row>
    <row r="296" spans="2:6" outlineLevel="1">
      <c r="B296" s="1444"/>
      <c r="C296" s="1008"/>
      <c r="D296" s="252" t="s">
        <v>240</v>
      </c>
      <c r="E296" s="1009"/>
      <c r="F296" s="1010"/>
    </row>
    <row r="297" spans="2:6" ht="76.5">
      <c r="B297" s="1442">
        <v>19</v>
      </c>
      <c r="C297" s="1005" t="s">
        <v>245</v>
      </c>
      <c r="D297" s="251" t="s">
        <v>235</v>
      </c>
      <c r="E297" s="1006" t="s">
        <v>1322</v>
      </c>
      <c r="F297" s="1007" t="s">
        <v>1323</v>
      </c>
    </row>
    <row r="298" spans="2:6" ht="96" outlineLevel="1">
      <c r="B298" s="1443"/>
      <c r="C298" s="1008"/>
      <c r="D298" s="252" t="s">
        <v>225</v>
      </c>
      <c r="E298" s="1009"/>
      <c r="F298" s="1010" t="s">
        <v>77</v>
      </c>
    </row>
    <row r="299" spans="2:6" ht="84" outlineLevel="1">
      <c r="B299" s="1443"/>
      <c r="C299" s="1008"/>
      <c r="D299" s="252" t="s">
        <v>236</v>
      </c>
      <c r="E299" s="1009"/>
      <c r="F299" s="1010" t="s">
        <v>77</v>
      </c>
    </row>
    <row r="300" spans="2:6" ht="24" outlineLevel="1">
      <c r="B300" s="1443"/>
      <c r="C300" s="1008"/>
      <c r="D300" s="252" t="s">
        <v>237</v>
      </c>
      <c r="E300" s="1009"/>
      <c r="F300" s="1010" t="s">
        <v>77</v>
      </c>
    </row>
    <row r="301" spans="2:6" ht="48" outlineLevel="1">
      <c r="B301" s="1443"/>
      <c r="C301" s="1008"/>
      <c r="D301" s="252" t="s">
        <v>238</v>
      </c>
      <c r="E301" s="1009"/>
      <c r="F301" s="1010" t="s">
        <v>77</v>
      </c>
    </row>
    <row r="302" spans="2:6" ht="60" outlineLevel="1">
      <c r="B302" s="1443"/>
      <c r="C302" s="1008"/>
      <c r="D302" s="252" t="s">
        <v>239</v>
      </c>
      <c r="E302" s="1009"/>
      <c r="F302" s="1010" t="s">
        <v>77</v>
      </c>
    </row>
    <row r="303" spans="2:6" outlineLevel="1">
      <c r="B303" s="1443"/>
      <c r="C303" s="1008"/>
      <c r="D303" s="252" t="s">
        <v>226</v>
      </c>
      <c r="E303" s="1009"/>
      <c r="F303" s="1010" t="s">
        <v>77</v>
      </c>
    </row>
    <row r="304" spans="2:6" ht="72" outlineLevel="1">
      <c r="B304" s="1443"/>
      <c r="C304" s="1008"/>
      <c r="D304" s="252" t="s">
        <v>1183</v>
      </c>
      <c r="E304" s="1009"/>
      <c r="F304" s="1010" t="s">
        <v>77</v>
      </c>
    </row>
    <row r="305" spans="2:6" outlineLevel="1">
      <c r="B305" s="1443"/>
      <c r="C305" s="1008"/>
      <c r="D305" s="252" t="s">
        <v>1259</v>
      </c>
      <c r="E305" s="1009"/>
      <c r="F305" s="1010" t="s">
        <v>1324</v>
      </c>
    </row>
    <row r="306" spans="2:6" ht="24" outlineLevel="1">
      <c r="B306" s="1443"/>
      <c r="C306" s="1008"/>
      <c r="D306" s="252" t="s">
        <v>1261</v>
      </c>
      <c r="E306" s="1009"/>
      <c r="F306" s="1010" t="s">
        <v>1324</v>
      </c>
    </row>
    <row r="307" spans="2:6" ht="24" outlineLevel="1">
      <c r="B307" s="1443"/>
      <c r="C307" s="1008"/>
      <c r="D307" s="252" t="s">
        <v>1325</v>
      </c>
      <c r="E307" s="1009"/>
      <c r="F307" s="1010" t="s">
        <v>1326</v>
      </c>
    </row>
    <row r="308" spans="2:6" ht="24" outlineLevel="1">
      <c r="B308" s="1443"/>
      <c r="C308" s="1008"/>
      <c r="D308" s="252" t="s">
        <v>1315</v>
      </c>
      <c r="E308" s="1009"/>
      <c r="F308" s="1010" t="s">
        <v>1327</v>
      </c>
    </row>
    <row r="309" spans="2:6" outlineLevel="1">
      <c r="B309" s="1443"/>
      <c r="C309" s="1008"/>
      <c r="D309" s="252" t="s">
        <v>1317</v>
      </c>
      <c r="E309" s="1009"/>
      <c r="F309" s="1010" t="s">
        <v>1328</v>
      </c>
    </row>
    <row r="310" spans="2:6" ht="24" outlineLevel="1">
      <c r="B310" s="1443"/>
      <c r="C310" s="1008"/>
      <c r="D310" s="252" t="s">
        <v>1319</v>
      </c>
      <c r="E310" s="1009"/>
      <c r="F310" s="1010" t="s">
        <v>1329</v>
      </c>
    </row>
    <row r="311" spans="2:6" outlineLevel="1">
      <c r="B311" s="1443"/>
      <c r="C311" s="1008"/>
      <c r="D311" s="252" t="s">
        <v>1330</v>
      </c>
      <c r="E311" s="1009"/>
      <c r="F311" s="1010" t="s">
        <v>1331</v>
      </c>
    </row>
    <row r="312" spans="2:6" outlineLevel="1">
      <c r="B312" s="1444"/>
      <c r="C312" s="1008"/>
      <c r="D312" s="252" t="s">
        <v>240</v>
      </c>
      <c r="E312" s="1009"/>
      <c r="F312" s="1010"/>
    </row>
    <row r="313" spans="2:6" ht="76.5">
      <c r="B313" s="1442">
        <v>20</v>
      </c>
      <c r="C313" s="1005" t="s">
        <v>246</v>
      </c>
      <c r="D313" s="251" t="s">
        <v>235</v>
      </c>
      <c r="E313" s="1006" t="s">
        <v>1322</v>
      </c>
      <c r="F313" s="1007" t="s">
        <v>1323</v>
      </c>
    </row>
    <row r="314" spans="2:6" ht="96" outlineLevel="1">
      <c r="B314" s="1443"/>
      <c r="C314" s="1008"/>
      <c r="D314" s="252" t="s">
        <v>225</v>
      </c>
      <c r="E314" s="1009"/>
      <c r="F314" s="1010" t="s">
        <v>77</v>
      </c>
    </row>
    <row r="315" spans="2:6" ht="84" outlineLevel="1">
      <c r="B315" s="1443"/>
      <c r="C315" s="1008"/>
      <c r="D315" s="252" t="s">
        <v>236</v>
      </c>
      <c r="E315" s="1009"/>
      <c r="F315" s="1010" t="s">
        <v>77</v>
      </c>
    </row>
    <row r="316" spans="2:6" ht="24" outlineLevel="1">
      <c r="B316" s="1443"/>
      <c r="C316" s="1008"/>
      <c r="D316" s="252" t="s">
        <v>237</v>
      </c>
      <c r="E316" s="1009"/>
      <c r="F316" s="1010" t="s">
        <v>77</v>
      </c>
    </row>
    <row r="317" spans="2:6" ht="48" outlineLevel="1">
      <c r="B317" s="1443"/>
      <c r="C317" s="1008"/>
      <c r="D317" s="252" t="s">
        <v>238</v>
      </c>
      <c r="E317" s="1009"/>
      <c r="F317" s="1010" t="s">
        <v>77</v>
      </c>
    </row>
    <row r="318" spans="2:6" ht="60" outlineLevel="1">
      <c r="B318" s="1443"/>
      <c r="C318" s="1008"/>
      <c r="D318" s="252" t="s">
        <v>239</v>
      </c>
      <c r="E318" s="1009"/>
      <c r="F318" s="1010" t="s">
        <v>77</v>
      </c>
    </row>
    <row r="319" spans="2:6" outlineLevel="1">
      <c r="B319" s="1443"/>
      <c r="C319" s="1008"/>
      <c r="D319" s="252" t="s">
        <v>226</v>
      </c>
      <c r="E319" s="1009"/>
      <c r="F319" s="1010" t="s">
        <v>77</v>
      </c>
    </row>
    <row r="320" spans="2:6" ht="72" outlineLevel="1">
      <c r="B320" s="1443"/>
      <c r="C320" s="1008"/>
      <c r="D320" s="252" t="s">
        <v>1183</v>
      </c>
      <c r="E320" s="1009"/>
      <c r="F320" s="1010" t="s">
        <v>77</v>
      </c>
    </row>
    <row r="321" spans="2:6" outlineLevel="1">
      <c r="B321" s="1443"/>
      <c r="C321" s="1008"/>
      <c r="D321" s="252" t="s">
        <v>1259</v>
      </c>
      <c r="E321" s="1009"/>
      <c r="F321" s="1010" t="s">
        <v>1324</v>
      </c>
    </row>
    <row r="322" spans="2:6" ht="24" outlineLevel="1">
      <c r="B322" s="1443"/>
      <c r="C322" s="1008"/>
      <c r="D322" s="252" t="s">
        <v>1261</v>
      </c>
      <c r="E322" s="1009"/>
      <c r="F322" s="1010" t="s">
        <v>1324</v>
      </c>
    </row>
    <row r="323" spans="2:6" ht="24" outlineLevel="1">
      <c r="B323" s="1443"/>
      <c r="C323" s="1008"/>
      <c r="D323" s="252" t="s">
        <v>1325</v>
      </c>
      <c r="E323" s="1009"/>
      <c r="F323" s="1010" t="s">
        <v>1326</v>
      </c>
    </row>
    <row r="324" spans="2:6" ht="24" outlineLevel="1">
      <c r="B324" s="1443"/>
      <c r="C324" s="1008"/>
      <c r="D324" s="252" t="s">
        <v>1315</v>
      </c>
      <c r="E324" s="1009"/>
      <c r="F324" s="1010" t="s">
        <v>1327</v>
      </c>
    </row>
    <row r="325" spans="2:6" outlineLevel="1">
      <c r="B325" s="1443"/>
      <c r="C325" s="1008"/>
      <c r="D325" s="252" t="s">
        <v>1317</v>
      </c>
      <c r="E325" s="1009"/>
      <c r="F325" s="1010" t="s">
        <v>1328</v>
      </c>
    </row>
    <row r="326" spans="2:6" ht="24" outlineLevel="1">
      <c r="B326" s="1443"/>
      <c r="C326" s="1008"/>
      <c r="D326" s="252" t="s">
        <v>1319</v>
      </c>
      <c r="E326" s="1009"/>
      <c r="F326" s="1010" t="s">
        <v>1329</v>
      </c>
    </row>
    <row r="327" spans="2:6" outlineLevel="1">
      <c r="B327" s="1443"/>
      <c r="C327" s="1008"/>
      <c r="D327" s="252" t="s">
        <v>1330</v>
      </c>
      <c r="E327" s="1009"/>
      <c r="F327" s="1010" t="s">
        <v>1331</v>
      </c>
    </row>
    <row r="328" spans="2:6" outlineLevel="1">
      <c r="B328" s="1444"/>
      <c r="C328" s="1008"/>
      <c r="D328" s="252" t="s">
        <v>240</v>
      </c>
      <c r="E328" s="1009"/>
      <c r="F328" s="1010"/>
    </row>
    <row r="329" spans="2:6" ht="76.5">
      <c r="B329" s="1442">
        <v>21</v>
      </c>
      <c r="C329" s="1005" t="s">
        <v>247</v>
      </c>
      <c r="D329" s="251" t="s">
        <v>235</v>
      </c>
      <c r="E329" s="1006" t="s">
        <v>1322</v>
      </c>
      <c r="F329" s="1007" t="s">
        <v>1323</v>
      </c>
    </row>
    <row r="330" spans="2:6" ht="96" outlineLevel="1">
      <c r="B330" s="1443"/>
      <c r="C330" s="1008"/>
      <c r="D330" s="252" t="s">
        <v>225</v>
      </c>
      <c r="E330" s="1009"/>
      <c r="F330" s="1010" t="s">
        <v>77</v>
      </c>
    </row>
    <row r="331" spans="2:6" ht="84" outlineLevel="1">
      <c r="B331" s="1443"/>
      <c r="C331" s="1008"/>
      <c r="D331" s="252" t="s">
        <v>236</v>
      </c>
      <c r="E331" s="1009"/>
      <c r="F331" s="1010" t="s">
        <v>77</v>
      </c>
    </row>
    <row r="332" spans="2:6" ht="24" outlineLevel="1">
      <c r="B332" s="1443"/>
      <c r="C332" s="1008"/>
      <c r="D332" s="252" t="s">
        <v>237</v>
      </c>
      <c r="E332" s="1009"/>
      <c r="F332" s="1010" t="s">
        <v>77</v>
      </c>
    </row>
    <row r="333" spans="2:6" ht="48" outlineLevel="1">
      <c r="B333" s="1443"/>
      <c r="C333" s="1008"/>
      <c r="D333" s="252" t="s">
        <v>238</v>
      </c>
      <c r="E333" s="1009"/>
      <c r="F333" s="1010" t="s">
        <v>77</v>
      </c>
    </row>
    <row r="334" spans="2:6" ht="60" outlineLevel="1">
      <c r="B334" s="1443"/>
      <c r="C334" s="1008"/>
      <c r="D334" s="252" t="s">
        <v>239</v>
      </c>
      <c r="E334" s="1009"/>
      <c r="F334" s="1010" t="s">
        <v>77</v>
      </c>
    </row>
    <row r="335" spans="2:6" outlineLevel="1">
      <c r="B335" s="1443"/>
      <c r="C335" s="1008"/>
      <c r="D335" s="252" t="s">
        <v>226</v>
      </c>
      <c r="E335" s="1009"/>
      <c r="F335" s="1010" t="s">
        <v>77</v>
      </c>
    </row>
    <row r="336" spans="2:6" ht="72" outlineLevel="1">
      <c r="B336" s="1443"/>
      <c r="C336" s="1008"/>
      <c r="D336" s="252" t="s">
        <v>1183</v>
      </c>
      <c r="E336" s="1009"/>
      <c r="F336" s="1010" t="s">
        <v>77</v>
      </c>
    </row>
    <row r="337" spans="2:6" outlineLevel="1">
      <c r="B337" s="1443"/>
      <c r="C337" s="1008"/>
      <c r="D337" s="252" t="s">
        <v>1259</v>
      </c>
      <c r="E337" s="1009"/>
      <c r="F337" s="1010" t="s">
        <v>1324</v>
      </c>
    </row>
    <row r="338" spans="2:6" ht="24" outlineLevel="1">
      <c r="B338" s="1443"/>
      <c r="C338" s="1008"/>
      <c r="D338" s="252" t="s">
        <v>1261</v>
      </c>
      <c r="E338" s="1009"/>
      <c r="F338" s="1010" t="s">
        <v>1324</v>
      </c>
    </row>
    <row r="339" spans="2:6" ht="24" outlineLevel="1">
      <c r="B339" s="1443"/>
      <c r="C339" s="1008"/>
      <c r="D339" s="252" t="s">
        <v>1325</v>
      </c>
      <c r="E339" s="1009"/>
      <c r="F339" s="1010" t="s">
        <v>1326</v>
      </c>
    </row>
    <row r="340" spans="2:6" ht="24" outlineLevel="1">
      <c r="B340" s="1443"/>
      <c r="C340" s="1008"/>
      <c r="D340" s="252" t="s">
        <v>1315</v>
      </c>
      <c r="E340" s="1009"/>
      <c r="F340" s="1010" t="s">
        <v>1327</v>
      </c>
    </row>
    <row r="341" spans="2:6" outlineLevel="1">
      <c r="B341" s="1443"/>
      <c r="C341" s="1008"/>
      <c r="D341" s="252" t="s">
        <v>1317</v>
      </c>
      <c r="E341" s="1009"/>
      <c r="F341" s="1010" t="s">
        <v>1328</v>
      </c>
    </row>
    <row r="342" spans="2:6" ht="24" outlineLevel="1">
      <c r="B342" s="1443"/>
      <c r="C342" s="1008"/>
      <c r="D342" s="252" t="s">
        <v>1319</v>
      </c>
      <c r="E342" s="1009"/>
      <c r="F342" s="1010" t="s">
        <v>1329</v>
      </c>
    </row>
    <row r="343" spans="2:6" outlineLevel="1">
      <c r="B343" s="1443"/>
      <c r="C343" s="1008"/>
      <c r="D343" s="252" t="s">
        <v>1330</v>
      </c>
      <c r="E343" s="1009"/>
      <c r="F343" s="1010" t="s">
        <v>1331</v>
      </c>
    </row>
    <row r="344" spans="2:6" outlineLevel="1">
      <c r="B344" s="1444"/>
      <c r="C344" s="1008"/>
      <c r="D344" s="252" t="s">
        <v>240</v>
      </c>
      <c r="E344" s="1009"/>
      <c r="F344" s="1010"/>
    </row>
    <row r="345" spans="2:6" ht="76.5">
      <c r="B345" s="1442">
        <v>22</v>
      </c>
      <c r="C345" s="1005" t="s">
        <v>248</v>
      </c>
      <c r="D345" s="251" t="s">
        <v>235</v>
      </c>
      <c r="E345" s="1006" t="s">
        <v>1322</v>
      </c>
      <c r="F345" s="1007" t="s">
        <v>1323</v>
      </c>
    </row>
    <row r="346" spans="2:6" ht="96" outlineLevel="1">
      <c r="B346" s="1443"/>
      <c r="C346" s="1008"/>
      <c r="D346" s="252" t="s">
        <v>225</v>
      </c>
      <c r="E346" s="1009"/>
      <c r="F346" s="1010" t="s">
        <v>77</v>
      </c>
    </row>
    <row r="347" spans="2:6" ht="84" outlineLevel="1">
      <c r="B347" s="1443"/>
      <c r="C347" s="1008"/>
      <c r="D347" s="252" t="s">
        <v>236</v>
      </c>
      <c r="E347" s="1009"/>
      <c r="F347" s="1010" t="s">
        <v>77</v>
      </c>
    </row>
    <row r="348" spans="2:6" ht="24" outlineLevel="1">
      <c r="B348" s="1443"/>
      <c r="C348" s="1008"/>
      <c r="D348" s="252" t="s">
        <v>237</v>
      </c>
      <c r="E348" s="1009"/>
      <c r="F348" s="1010" t="s">
        <v>77</v>
      </c>
    </row>
    <row r="349" spans="2:6" ht="48" outlineLevel="1">
      <c r="B349" s="1443"/>
      <c r="C349" s="1008"/>
      <c r="D349" s="252" t="s">
        <v>238</v>
      </c>
      <c r="E349" s="1009"/>
      <c r="F349" s="1010" t="s">
        <v>77</v>
      </c>
    </row>
    <row r="350" spans="2:6" ht="60" outlineLevel="1">
      <c r="B350" s="1443"/>
      <c r="C350" s="1008"/>
      <c r="D350" s="252" t="s">
        <v>239</v>
      </c>
      <c r="E350" s="1009"/>
      <c r="F350" s="1010" t="s">
        <v>77</v>
      </c>
    </row>
    <row r="351" spans="2:6" outlineLevel="1">
      <c r="B351" s="1443"/>
      <c r="C351" s="1008"/>
      <c r="D351" s="252" t="s">
        <v>226</v>
      </c>
      <c r="E351" s="1009"/>
      <c r="F351" s="1010" t="s">
        <v>77</v>
      </c>
    </row>
    <row r="352" spans="2:6" ht="72" outlineLevel="1">
      <c r="B352" s="1443"/>
      <c r="C352" s="1008"/>
      <c r="D352" s="252" t="s">
        <v>1183</v>
      </c>
      <c r="E352" s="1009"/>
      <c r="F352" s="1010" t="s">
        <v>77</v>
      </c>
    </row>
    <row r="353" spans="2:6" outlineLevel="1">
      <c r="B353" s="1443"/>
      <c r="C353" s="1008"/>
      <c r="D353" s="252" t="s">
        <v>1259</v>
      </c>
      <c r="E353" s="1009"/>
      <c r="F353" s="1010" t="s">
        <v>1324</v>
      </c>
    </row>
    <row r="354" spans="2:6" ht="24" outlineLevel="1">
      <c r="B354" s="1443"/>
      <c r="C354" s="1008"/>
      <c r="D354" s="252" t="s">
        <v>1261</v>
      </c>
      <c r="E354" s="1009"/>
      <c r="F354" s="1010" t="s">
        <v>1324</v>
      </c>
    </row>
    <row r="355" spans="2:6" ht="24" outlineLevel="1">
      <c r="B355" s="1443"/>
      <c r="C355" s="1008"/>
      <c r="D355" s="252" t="s">
        <v>1325</v>
      </c>
      <c r="E355" s="1009"/>
      <c r="F355" s="1010" t="s">
        <v>1326</v>
      </c>
    </row>
    <row r="356" spans="2:6" ht="24" outlineLevel="1">
      <c r="B356" s="1443"/>
      <c r="C356" s="1008"/>
      <c r="D356" s="252" t="s">
        <v>1315</v>
      </c>
      <c r="E356" s="1009"/>
      <c r="F356" s="1010" t="s">
        <v>1327</v>
      </c>
    </row>
    <row r="357" spans="2:6" outlineLevel="1">
      <c r="B357" s="1443"/>
      <c r="C357" s="1008"/>
      <c r="D357" s="252" t="s">
        <v>1317</v>
      </c>
      <c r="E357" s="1009"/>
      <c r="F357" s="1010" t="s">
        <v>1328</v>
      </c>
    </row>
    <row r="358" spans="2:6" ht="24" outlineLevel="1">
      <c r="B358" s="1443"/>
      <c r="C358" s="1008"/>
      <c r="D358" s="252" t="s">
        <v>1319</v>
      </c>
      <c r="E358" s="1009"/>
      <c r="F358" s="1010" t="s">
        <v>1329</v>
      </c>
    </row>
    <row r="359" spans="2:6" outlineLevel="1">
      <c r="B359" s="1443"/>
      <c r="C359" s="1008"/>
      <c r="D359" s="252" t="s">
        <v>1330</v>
      </c>
      <c r="E359" s="1009"/>
      <c r="F359" s="1010" t="s">
        <v>1331</v>
      </c>
    </row>
    <row r="360" spans="2:6" outlineLevel="1">
      <c r="B360" s="1444"/>
      <c r="C360" s="1008"/>
      <c r="D360" s="252" t="s">
        <v>240</v>
      </c>
      <c r="E360" s="1009"/>
      <c r="F360" s="1010"/>
    </row>
    <row r="361" spans="2:6" ht="76.5">
      <c r="B361" s="1442">
        <v>23</v>
      </c>
      <c r="C361" s="1005" t="s">
        <v>249</v>
      </c>
      <c r="D361" s="251" t="s">
        <v>235</v>
      </c>
      <c r="E361" s="1006" t="s">
        <v>1322</v>
      </c>
      <c r="F361" s="1007" t="s">
        <v>1323</v>
      </c>
    </row>
    <row r="362" spans="2:6" ht="96" outlineLevel="1">
      <c r="B362" s="1443"/>
      <c r="C362" s="1008"/>
      <c r="D362" s="252" t="s">
        <v>225</v>
      </c>
      <c r="E362" s="1009"/>
      <c r="F362" s="1010" t="s">
        <v>77</v>
      </c>
    </row>
    <row r="363" spans="2:6" ht="84" outlineLevel="1">
      <c r="B363" s="1443"/>
      <c r="C363" s="1008"/>
      <c r="D363" s="252" t="s">
        <v>236</v>
      </c>
      <c r="E363" s="1009"/>
      <c r="F363" s="1010" t="s">
        <v>77</v>
      </c>
    </row>
    <row r="364" spans="2:6" ht="24" outlineLevel="1">
      <c r="B364" s="1443"/>
      <c r="C364" s="1008"/>
      <c r="D364" s="252" t="s">
        <v>237</v>
      </c>
      <c r="E364" s="1009"/>
      <c r="F364" s="1010" t="s">
        <v>77</v>
      </c>
    </row>
    <row r="365" spans="2:6" ht="48" outlineLevel="1">
      <c r="B365" s="1443"/>
      <c r="C365" s="1008"/>
      <c r="D365" s="252" t="s">
        <v>238</v>
      </c>
      <c r="E365" s="1009"/>
      <c r="F365" s="1010" t="s">
        <v>77</v>
      </c>
    </row>
    <row r="366" spans="2:6" ht="60" outlineLevel="1">
      <c r="B366" s="1443"/>
      <c r="C366" s="1008"/>
      <c r="D366" s="252" t="s">
        <v>239</v>
      </c>
      <c r="E366" s="1009"/>
      <c r="F366" s="1010" t="s">
        <v>77</v>
      </c>
    </row>
    <row r="367" spans="2:6" outlineLevel="1">
      <c r="B367" s="1443"/>
      <c r="C367" s="1008"/>
      <c r="D367" s="252" t="s">
        <v>226</v>
      </c>
      <c r="E367" s="1009"/>
      <c r="F367" s="1010" t="s">
        <v>77</v>
      </c>
    </row>
    <row r="368" spans="2:6" ht="72" outlineLevel="1">
      <c r="B368" s="1443"/>
      <c r="C368" s="1008"/>
      <c r="D368" s="252" t="s">
        <v>1183</v>
      </c>
      <c r="E368" s="1009"/>
      <c r="F368" s="1010" t="s">
        <v>77</v>
      </c>
    </row>
    <row r="369" spans="2:6" outlineLevel="1">
      <c r="B369" s="1443"/>
      <c r="C369" s="1008"/>
      <c r="D369" s="252" t="s">
        <v>1259</v>
      </c>
      <c r="E369" s="1009"/>
      <c r="F369" s="1010" t="s">
        <v>1324</v>
      </c>
    </row>
    <row r="370" spans="2:6" ht="24" outlineLevel="1">
      <c r="B370" s="1443"/>
      <c r="C370" s="1008"/>
      <c r="D370" s="252" t="s">
        <v>1261</v>
      </c>
      <c r="E370" s="1009"/>
      <c r="F370" s="1010" t="s">
        <v>1324</v>
      </c>
    </row>
    <row r="371" spans="2:6" ht="24" outlineLevel="1">
      <c r="B371" s="1443"/>
      <c r="C371" s="1008"/>
      <c r="D371" s="252" t="s">
        <v>1325</v>
      </c>
      <c r="E371" s="1009"/>
      <c r="F371" s="1010" t="s">
        <v>1326</v>
      </c>
    </row>
    <row r="372" spans="2:6" ht="24" outlineLevel="1">
      <c r="B372" s="1443"/>
      <c r="C372" s="1008"/>
      <c r="D372" s="252" t="s">
        <v>1315</v>
      </c>
      <c r="E372" s="1009"/>
      <c r="F372" s="1010" t="s">
        <v>1327</v>
      </c>
    </row>
    <row r="373" spans="2:6" outlineLevel="1">
      <c r="B373" s="1443"/>
      <c r="C373" s="1008"/>
      <c r="D373" s="252" t="s">
        <v>1317</v>
      </c>
      <c r="E373" s="1009"/>
      <c r="F373" s="1010" t="s">
        <v>1328</v>
      </c>
    </row>
    <row r="374" spans="2:6" ht="24" outlineLevel="1">
      <c r="B374" s="1443"/>
      <c r="C374" s="1008"/>
      <c r="D374" s="252" t="s">
        <v>1319</v>
      </c>
      <c r="E374" s="1009"/>
      <c r="F374" s="1010" t="s">
        <v>1329</v>
      </c>
    </row>
    <row r="375" spans="2:6" outlineLevel="1">
      <c r="B375" s="1443"/>
      <c r="C375" s="1008"/>
      <c r="D375" s="252" t="s">
        <v>1330</v>
      </c>
      <c r="E375" s="1009"/>
      <c r="F375" s="1010" t="s">
        <v>1331</v>
      </c>
    </row>
    <row r="376" spans="2:6" outlineLevel="1">
      <c r="B376" s="1444"/>
      <c r="C376" s="1008"/>
      <c r="D376" s="252" t="s">
        <v>240</v>
      </c>
      <c r="E376" s="1009"/>
      <c r="F376" s="1010"/>
    </row>
    <row r="377" spans="2:6" ht="76.5">
      <c r="B377" s="1442">
        <v>24</v>
      </c>
      <c r="C377" s="1005" t="s">
        <v>250</v>
      </c>
      <c r="D377" s="251" t="s">
        <v>235</v>
      </c>
      <c r="E377" s="1006" t="s">
        <v>1322</v>
      </c>
      <c r="F377" s="1007" t="s">
        <v>1323</v>
      </c>
    </row>
    <row r="378" spans="2:6" ht="96" outlineLevel="1">
      <c r="B378" s="1443"/>
      <c r="C378" s="1008"/>
      <c r="D378" s="252" t="s">
        <v>225</v>
      </c>
      <c r="E378" s="1009"/>
      <c r="F378" s="1010" t="s">
        <v>77</v>
      </c>
    </row>
    <row r="379" spans="2:6" ht="84" outlineLevel="1">
      <c r="B379" s="1443"/>
      <c r="C379" s="1008"/>
      <c r="D379" s="252" t="s">
        <v>236</v>
      </c>
      <c r="E379" s="1009"/>
      <c r="F379" s="1010" t="s">
        <v>77</v>
      </c>
    </row>
    <row r="380" spans="2:6" ht="24" outlineLevel="1">
      <c r="B380" s="1443"/>
      <c r="C380" s="1008"/>
      <c r="D380" s="252" t="s">
        <v>237</v>
      </c>
      <c r="E380" s="1009"/>
      <c r="F380" s="1010" t="s">
        <v>77</v>
      </c>
    </row>
    <row r="381" spans="2:6" ht="48" outlineLevel="1">
      <c r="B381" s="1443"/>
      <c r="C381" s="1008"/>
      <c r="D381" s="252" t="s">
        <v>238</v>
      </c>
      <c r="E381" s="1009"/>
      <c r="F381" s="1010" t="s">
        <v>77</v>
      </c>
    </row>
    <row r="382" spans="2:6" ht="60" outlineLevel="1">
      <c r="B382" s="1443"/>
      <c r="C382" s="1008"/>
      <c r="D382" s="252" t="s">
        <v>239</v>
      </c>
      <c r="E382" s="1009"/>
      <c r="F382" s="1010" t="s">
        <v>77</v>
      </c>
    </row>
    <row r="383" spans="2:6" outlineLevel="1">
      <c r="B383" s="1443"/>
      <c r="C383" s="1008"/>
      <c r="D383" s="252" t="s">
        <v>226</v>
      </c>
      <c r="E383" s="1009"/>
      <c r="F383" s="1010" t="s">
        <v>77</v>
      </c>
    </row>
    <row r="384" spans="2:6" ht="72" outlineLevel="1">
      <c r="B384" s="1443"/>
      <c r="C384" s="1008"/>
      <c r="D384" s="252" t="s">
        <v>1183</v>
      </c>
      <c r="E384" s="1009"/>
      <c r="F384" s="1010" t="s">
        <v>77</v>
      </c>
    </row>
    <row r="385" spans="2:6" outlineLevel="1">
      <c r="B385" s="1443"/>
      <c r="C385" s="1008"/>
      <c r="D385" s="252" t="s">
        <v>1259</v>
      </c>
      <c r="E385" s="1009"/>
      <c r="F385" s="1010" t="s">
        <v>1324</v>
      </c>
    </row>
    <row r="386" spans="2:6" ht="24" outlineLevel="1">
      <c r="B386" s="1443"/>
      <c r="C386" s="1008"/>
      <c r="D386" s="252" t="s">
        <v>1261</v>
      </c>
      <c r="E386" s="1009"/>
      <c r="F386" s="1010" t="s">
        <v>1324</v>
      </c>
    </row>
    <row r="387" spans="2:6" ht="24" outlineLevel="1">
      <c r="B387" s="1443"/>
      <c r="C387" s="1008"/>
      <c r="D387" s="252" t="s">
        <v>1325</v>
      </c>
      <c r="E387" s="1009"/>
      <c r="F387" s="1010" t="s">
        <v>1326</v>
      </c>
    </row>
    <row r="388" spans="2:6" ht="24" outlineLevel="1">
      <c r="B388" s="1443"/>
      <c r="C388" s="1008"/>
      <c r="D388" s="252" t="s">
        <v>1315</v>
      </c>
      <c r="E388" s="1009"/>
      <c r="F388" s="1010" t="s">
        <v>1327</v>
      </c>
    </row>
    <row r="389" spans="2:6" outlineLevel="1">
      <c r="B389" s="1443"/>
      <c r="C389" s="1008"/>
      <c r="D389" s="252" t="s">
        <v>1317</v>
      </c>
      <c r="E389" s="1009"/>
      <c r="F389" s="1010" t="s">
        <v>1328</v>
      </c>
    </row>
    <row r="390" spans="2:6" ht="24" outlineLevel="1">
      <c r="B390" s="1443"/>
      <c r="C390" s="1008"/>
      <c r="D390" s="252" t="s">
        <v>1319</v>
      </c>
      <c r="E390" s="1009"/>
      <c r="F390" s="1010" t="s">
        <v>1329</v>
      </c>
    </row>
    <row r="391" spans="2:6" outlineLevel="1">
      <c r="B391" s="1443"/>
      <c r="C391" s="1008"/>
      <c r="D391" s="252" t="s">
        <v>1330</v>
      </c>
      <c r="E391" s="1009"/>
      <c r="F391" s="1010" t="s">
        <v>1331</v>
      </c>
    </row>
    <row r="392" spans="2:6" outlineLevel="1">
      <c r="B392" s="1444"/>
      <c r="C392" s="1008"/>
      <c r="D392" s="252" t="s">
        <v>240</v>
      </c>
      <c r="E392" s="1009"/>
      <c r="F392" s="1010"/>
    </row>
    <row r="393" spans="2:6" ht="76.5">
      <c r="B393" s="1442">
        <v>25</v>
      </c>
      <c r="C393" s="1005" t="s">
        <v>251</v>
      </c>
      <c r="D393" s="251" t="s">
        <v>235</v>
      </c>
      <c r="E393" s="1006" t="s">
        <v>1322</v>
      </c>
      <c r="F393" s="1007" t="s">
        <v>1323</v>
      </c>
    </row>
    <row r="394" spans="2:6" ht="96" outlineLevel="1">
      <c r="B394" s="1443"/>
      <c r="C394" s="1008"/>
      <c r="D394" s="252" t="s">
        <v>225</v>
      </c>
      <c r="E394" s="1009"/>
      <c r="F394" s="1010" t="s">
        <v>77</v>
      </c>
    </row>
    <row r="395" spans="2:6" ht="84" outlineLevel="1">
      <c r="B395" s="1443"/>
      <c r="C395" s="1008"/>
      <c r="D395" s="252" t="s">
        <v>236</v>
      </c>
      <c r="E395" s="1009"/>
      <c r="F395" s="1010" t="s">
        <v>77</v>
      </c>
    </row>
    <row r="396" spans="2:6" ht="24" outlineLevel="1">
      <c r="B396" s="1443"/>
      <c r="C396" s="1008"/>
      <c r="D396" s="252" t="s">
        <v>237</v>
      </c>
      <c r="E396" s="1009"/>
      <c r="F396" s="1010" t="s">
        <v>77</v>
      </c>
    </row>
    <row r="397" spans="2:6" ht="48" outlineLevel="1">
      <c r="B397" s="1443"/>
      <c r="C397" s="1008"/>
      <c r="D397" s="252" t="s">
        <v>238</v>
      </c>
      <c r="E397" s="1009"/>
      <c r="F397" s="1010" t="s">
        <v>77</v>
      </c>
    </row>
    <row r="398" spans="2:6" ht="60" outlineLevel="1">
      <c r="B398" s="1443"/>
      <c r="C398" s="1008"/>
      <c r="D398" s="252" t="s">
        <v>239</v>
      </c>
      <c r="E398" s="1009"/>
      <c r="F398" s="1010" t="s">
        <v>77</v>
      </c>
    </row>
    <row r="399" spans="2:6" outlineLevel="1">
      <c r="B399" s="1443"/>
      <c r="C399" s="1008"/>
      <c r="D399" s="252" t="s">
        <v>226</v>
      </c>
      <c r="E399" s="1009"/>
      <c r="F399" s="1010" t="s">
        <v>77</v>
      </c>
    </row>
    <row r="400" spans="2:6" ht="72" outlineLevel="1">
      <c r="B400" s="1443"/>
      <c r="C400" s="1008"/>
      <c r="D400" s="252" t="s">
        <v>1183</v>
      </c>
      <c r="E400" s="1009"/>
      <c r="F400" s="1010" t="s">
        <v>77</v>
      </c>
    </row>
    <row r="401" spans="2:6" outlineLevel="1">
      <c r="B401" s="1443"/>
      <c r="C401" s="1008"/>
      <c r="D401" s="252" t="s">
        <v>1259</v>
      </c>
      <c r="E401" s="1009"/>
      <c r="F401" s="1010" t="s">
        <v>1324</v>
      </c>
    </row>
    <row r="402" spans="2:6" ht="24" outlineLevel="1">
      <c r="B402" s="1443"/>
      <c r="C402" s="1008"/>
      <c r="D402" s="252" t="s">
        <v>1261</v>
      </c>
      <c r="E402" s="1009"/>
      <c r="F402" s="1010" t="s">
        <v>1324</v>
      </c>
    </row>
    <row r="403" spans="2:6" ht="24" outlineLevel="1">
      <c r="B403" s="1443"/>
      <c r="C403" s="1008"/>
      <c r="D403" s="252" t="s">
        <v>1325</v>
      </c>
      <c r="E403" s="1009"/>
      <c r="F403" s="1010" t="s">
        <v>1326</v>
      </c>
    </row>
    <row r="404" spans="2:6" ht="24" outlineLevel="1">
      <c r="B404" s="1443"/>
      <c r="C404" s="1008"/>
      <c r="D404" s="252" t="s">
        <v>1315</v>
      </c>
      <c r="E404" s="1009"/>
      <c r="F404" s="1010" t="s">
        <v>1327</v>
      </c>
    </row>
    <row r="405" spans="2:6" outlineLevel="1">
      <c r="B405" s="1443"/>
      <c r="C405" s="1008"/>
      <c r="D405" s="252" t="s">
        <v>1317</v>
      </c>
      <c r="E405" s="1009"/>
      <c r="F405" s="1010" t="s">
        <v>1328</v>
      </c>
    </row>
    <row r="406" spans="2:6" ht="24" outlineLevel="1">
      <c r="B406" s="1443"/>
      <c r="C406" s="1008"/>
      <c r="D406" s="252" t="s">
        <v>1319</v>
      </c>
      <c r="E406" s="1009"/>
      <c r="F406" s="1010" t="s">
        <v>1329</v>
      </c>
    </row>
    <row r="407" spans="2:6" outlineLevel="1">
      <c r="B407" s="1443"/>
      <c r="C407" s="1008"/>
      <c r="D407" s="252" t="s">
        <v>1330</v>
      </c>
      <c r="E407" s="1009"/>
      <c r="F407" s="1010" t="s">
        <v>1331</v>
      </c>
    </row>
    <row r="408" spans="2:6" outlineLevel="1">
      <c r="B408" s="1444"/>
      <c r="C408" s="1008"/>
      <c r="D408" s="252" t="s">
        <v>240</v>
      </c>
      <c r="E408" s="1009"/>
      <c r="F408" s="1010"/>
    </row>
    <row r="409" spans="2:6" ht="76.5">
      <c r="B409" s="1442">
        <v>26</v>
      </c>
      <c r="C409" s="1005" t="s">
        <v>252</v>
      </c>
      <c r="D409" s="251" t="s">
        <v>235</v>
      </c>
      <c r="E409" s="1006" t="s">
        <v>1322</v>
      </c>
      <c r="F409" s="1007" t="s">
        <v>1323</v>
      </c>
    </row>
    <row r="410" spans="2:6" ht="96" outlineLevel="1">
      <c r="B410" s="1443"/>
      <c r="C410" s="1008"/>
      <c r="D410" s="252" t="s">
        <v>225</v>
      </c>
      <c r="E410" s="1009"/>
      <c r="F410" s="1010" t="s">
        <v>77</v>
      </c>
    </row>
    <row r="411" spans="2:6" ht="84" outlineLevel="1">
      <c r="B411" s="1443"/>
      <c r="C411" s="1008"/>
      <c r="D411" s="252" t="s">
        <v>236</v>
      </c>
      <c r="E411" s="1009"/>
      <c r="F411" s="1010" t="s">
        <v>77</v>
      </c>
    </row>
    <row r="412" spans="2:6" ht="24" outlineLevel="1">
      <c r="B412" s="1443"/>
      <c r="C412" s="1008"/>
      <c r="D412" s="252" t="s">
        <v>237</v>
      </c>
      <c r="E412" s="1009"/>
      <c r="F412" s="1010" t="s">
        <v>77</v>
      </c>
    </row>
    <row r="413" spans="2:6" ht="48" outlineLevel="1">
      <c r="B413" s="1443"/>
      <c r="C413" s="1008"/>
      <c r="D413" s="252" t="s">
        <v>238</v>
      </c>
      <c r="E413" s="1009"/>
      <c r="F413" s="1010" t="s">
        <v>77</v>
      </c>
    </row>
    <row r="414" spans="2:6" ht="60" outlineLevel="1">
      <c r="B414" s="1443"/>
      <c r="C414" s="1008"/>
      <c r="D414" s="252" t="s">
        <v>239</v>
      </c>
      <c r="E414" s="1009"/>
      <c r="F414" s="1010" t="s">
        <v>77</v>
      </c>
    </row>
    <row r="415" spans="2:6" outlineLevel="1">
      <c r="B415" s="1443"/>
      <c r="C415" s="1008"/>
      <c r="D415" s="252" t="s">
        <v>226</v>
      </c>
      <c r="E415" s="1009"/>
      <c r="F415" s="1010" t="s">
        <v>77</v>
      </c>
    </row>
    <row r="416" spans="2:6" ht="72" outlineLevel="1">
      <c r="B416" s="1443"/>
      <c r="C416" s="1008"/>
      <c r="D416" s="252" t="s">
        <v>1183</v>
      </c>
      <c r="E416" s="1009"/>
      <c r="F416" s="1010" t="s">
        <v>77</v>
      </c>
    </row>
    <row r="417" spans="2:6" outlineLevel="1">
      <c r="B417" s="1443"/>
      <c r="C417" s="1008"/>
      <c r="D417" s="252" t="s">
        <v>1259</v>
      </c>
      <c r="E417" s="1009"/>
      <c r="F417" s="1010" t="s">
        <v>1324</v>
      </c>
    </row>
    <row r="418" spans="2:6" ht="24" outlineLevel="1">
      <c r="B418" s="1443"/>
      <c r="C418" s="1008"/>
      <c r="D418" s="252" t="s">
        <v>1261</v>
      </c>
      <c r="E418" s="1009"/>
      <c r="F418" s="1010" t="s">
        <v>1324</v>
      </c>
    </row>
    <row r="419" spans="2:6" ht="24" outlineLevel="1">
      <c r="B419" s="1443"/>
      <c r="C419" s="1008"/>
      <c r="D419" s="252" t="s">
        <v>1325</v>
      </c>
      <c r="E419" s="1009"/>
      <c r="F419" s="1010" t="s">
        <v>1326</v>
      </c>
    </row>
    <row r="420" spans="2:6" ht="24" outlineLevel="1">
      <c r="B420" s="1443"/>
      <c r="C420" s="1008"/>
      <c r="D420" s="252" t="s">
        <v>1315</v>
      </c>
      <c r="E420" s="1009"/>
      <c r="F420" s="1010" t="s">
        <v>1327</v>
      </c>
    </row>
    <row r="421" spans="2:6" outlineLevel="1">
      <c r="B421" s="1443"/>
      <c r="C421" s="1008"/>
      <c r="D421" s="252" t="s">
        <v>1317</v>
      </c>
      <c r="E421" s="1009"/>
      <c r="F421" s="1010" t="s">
        <v>1328</v>
      </c>
    </row>
    <row r="422" spans="2:6" ht="24" outlineLevel="1">
      <c r="B422" s="1443"/>
      <c r="C422" s="1008"/>
      <c r="D422" s="252" t="s">
        <v>1319</v>
      </c>
      <c r="E422" s="1009"/>
      <c r="F422" s="1010" t="s">
        <v>1329</v>
      </c>
    </row>
    <row r="423" spans="2:6" outlineLevel="1">
      <c r="B423" s="1443"/>
      <c r="C423" s="1008"/>
      <c r="D423" s="252" t="s">
        <v>1330</v>
      </c>
      <c r="E423" s="1009"/>
      <c r="F423" s="1010" t="s">
        <v>1331</v>
      </c>
    </row>
    <row r="424" spans="2:6" outlineLevel="1">
      <c r="B424" s="1444"/>
      <c r="C424" s="1008"/>
      <c r="D424" s="252" t="s">
        <v>240</v>
      </c>
      <c r="E424" s="1009"/>
      <c r="F424" s="1010"/>
    </row>
    <row r="425" spans="2:6" ht="76.5">
      <c r="B425" s="1442">
        <v>27</v>
      </c>
      <c r="C425" s="1005" t="s">
        <v>253</v>
      </c>
      <c r="D425" s="251" t="s">
        <v>235</v>
      </c>
      <c r="E425" s="1006" t="s">
        <v>1322</v>
      </c>
      <c r="F425" s="1007" t="s">
        <v>1323</v>
      </c>
    </row>
    <row r="426" spans="2:6" ht="96" outlineLevel="1">
      <c r="B426" s="1443"/>
      <c r="C426" s="1008"/>
      <c r="D426" s="252" t="s">
        <v>225</v>
      </c>
      <c r="E426" s="1009"/>
      <c r="F426" s="1010" t="s">
        <v>77</v>
      </c>
    </row>
    <row r="427" spans="2:6" ht="84" outlineLevel="1">
      <c r="B427" s="1443"/>
      <c r="C427" s="1008"/>
      <c r="D427" s="252" t="s">
        <v>236</v>
      </c>
      <c r="E427" s="1009"/>
      <c r="F427" s="1010" t="s">
        <v>77</v>
      </c>
    </row>
    <row r="428" spans="2:6" ht="24" outlineLevel="1">
      <c r="B428" s="1443"/>
      <c r="C428" s="1008"/>
      <c r="D428" s="252" t="s">
        <v>237</v>
      </c>
      <c r="E428" s="1009"/>
      <c r="F428" s="1010" t="s">
        <v>77</v>
      </c>
    </row>
    <row r="429" spans="2:6" ht="48" outlineLevel="1">
      <c r="B429" s="1443"/>
      <c r="C429" s="1008"/>
      <c r="D429" s="252" t="s">
        <v>238</v>
      </c>
      <c r="E429" s="1009"/>
      <c r="F429" s="1010" t="s">
        <v>77</v>
      </c>
    </row>
    <row r="430" spans="2:6" ht="60" outlineLevel="1">
      <c r="B430" s="1443"/>
      <c r="C430" s="1008"/>
      <c r="D430" s="252" t="s">
        <v>239</v>
      </c>
      <c r="E430" s="1009"/>
      <c r="F430" s="1010" t="s">
        <v>77</v>
      </c>
    </row>
    <row r="431" spans="2:6" outlineLevel="1">
      <c r="B431" s="1443"/>
      <c r="C431" s="1008"/>
      <c r="D431" s="252" t="s">
        <v>226</v>
      </c>
      <c r="E431" s="1009"/>
      <c r="F431" s="1010" t="s">
        <v>77</v>
      </c>
    </row>
    <row r="432" spans="2:6" ht="72" outlineLevel="1">
      <c r="B432" s="1443"/>
      <c r="C432" s="1008"/>
      <c r="D432" s="252" t="s">
        <v>1183</v>
      </c>
      <c r="E432" s="1009"/>
      <c r="F432" s="1010" t="s">
        <v>77</v>
      </c>
    </row>
    <row r="433" spans="2:6" outlineLevel="1">
      <c r="B433" s="1443"/>
      <c r="C433" s="1008"/>
      <c r="D433" s="252" t="s">
        <v>1259</v>
      </c>
      <c r="E433" s="1009"/>
      <c r="F433" s="1010" t="s">
        <v>1324</v>
      </c>
    </row>
    <row r="434" spans="2:6" ht="24" outlineLevel="1">
      <c r="B434" s="1443"/>
      <c r="C434" s="1008"/>
      <c r="D434" s="252" t="s">
        <v>1261</v>
      </c>
      <c r="E434" s="1009"/>
      <c r="F434" s="1010" t="s">
        <v>1324</v>
      </c>
    </row>
    <row r="435" spans="2:6" ht="24" outlineLevel="1">
      <c r="B435" s="1443"/>
      <c r="C435" s="1008"/>
      <c r="D435" s="252" t="s">
        <v>1325</v>
      </c>
      <c r="E435" s="1009"/>
      <c r="F435" s="1010" t="s">
        <v>1326</v>
      </c>
    </row>
    <row r="436" spans="2:6" ht="24" outlineLevel="1">
      <c r="B436" s="1443"/>
      <c r="C436" s="1008"/>
      <c r="D436" s="252" t="s">
        <v>1315</v>
      </c>
      <c r="E436" s="1009"/>
      <c r="F436" s="1010" t="s">
        <v>1327</v>
      </c>
    </row>
    <row r="437" spans="2:6" outlineLevel="1">
      <c r="B437" s="1443"/>
      <c r="C437" s="1008"/>
      <c r="D437" s="252" t="s">
        <v>1317</v>
      </c>
      <c r="E437" s="1009"/>
      <c r="F437" s="1010" t="s">
        <v>1328</v>
      </c>
    </row>
    <row r="438" spans="2:6" ht="24" outlineLevel="1">
      <c r="B438" s="1443"/>
      <c r="C438" s="1008"/>
      <c r="D438" s="252" t="s">
        <v>1319</v>
      </c>
      <c r="E438" s="1009"/>
      <c r="F438" s="1010" t="s">
        <v>1329</v>
      </c>
    </row>
    <row r="439" spans="2:6" outlineLevel="1">
      <c r="B439" s="1443"/>
      <c r="C439" s="1008"/>
      <c r="D439" s="252" t="s">
        <v>1330</v>
      </c>
      <c r="E439" s="1009"/>
      <c r="F439" s="1010" t="s">
        <v>1331</v>
      </c>
    </row>
    <row r="440" spans="2:6" outlineLevel="1">
      <c r="B440" s="1444"/>
      <c r="C440" s="1008"/>
      <c r="D440" s="252" t="s">
        <v>240</v>
      </c>
      <c r="E440" s="1009"/>
      <c r="F440" s="1010"/>
    </row>
    <row r="441" spans="2:6" ht="76.5">
      <c r="B441" s="1442">
        <v>28</v>
      </c>
      <c r="C441" s="1005" t="s">
        <v>254</v>
      </c>
      <c r="D441" s="251" t="s">
        <v>235</v>
      </c>
      <c r="E441" s="1006" t="s">
        <v>1322</v>
      </c>
      <c r="F441" s="1007" t="s">
        <v>1323</v>
      </c>
    </row>
    <row r="442" spans="2:6" ht="96" outlineLevel="1">
      <c r="B442" s="1443"/>
      <c r="C442" s="1008"/>
      <c r="D442" s="252" t="s">
        <v>225</v>
      </c>
      <c r="E442" s="1009"/>
      <c r="F442" s="1010" t="s">
        <v>77</v>
      </c>
    </row>
    <row r="443" spans="2:6" ht="84" outlineLevel="1">
      <c r="B443" s="1443"/>
      <c r="C443" s="1008"/>
      <c r="D443" s="252" t="s">
        <v>236</v>
      </c>
      <c r="E443" s="1009"/>
      <c r="F443" s="1010" t="s">
        <v>77</v>
      </c>
    </row>
    <row r="444" spans="2:6" ht="24" outlineLevel="1">
      <c r="B444" s="1443"/>
      <c r="C444" s="1008"/>
      <c r="D444" s="252" t="s">
        <v>237</v>
      </c>
      <c r="E444" s="1009"/>
      <c r="F444" s="1010" t="s">
        <v>77</v>
      </c>
    </row>
    <row r="445" spans="2:6" ht="48" outlineLevel="1">
      <c r="B445" s="1443"/>
      <c r="C445" s="1008"/>
      <c r="D445" s="252" t="s">
        <v>238</v>
      </c>
      <c r="E445" s="1009"/>
      <c r="F445" s="1010" t="s">
        <v>77</v>
      </c>
    </row>
    <row r="446" spans="2:6" ht="60" outlineLevel="1">
      <c r="B446" s="1443"/>
      <c r="C446" s="1008"/>
      <c r="D446" s="252" t="s">
        <v>239</v>
      </c>
      <c r="E446" s="1009"/>
      <c r="F446" s="1010" t="s">
        <v>77</v>
      </c>
    </row>
    <row r="447" spans="2:6" outlineLevel="1">
      <c r="B447" s="1443"/>
      <c r="C447" s="1008"/>
      <c r="D447" s="252" t="s">
        <v>226</v>
      </c>
      <c r="E447" s="1009"/>
      <c r="F447" s="1010" t="s">
        <v>77</v>
      </c>
    </row>
    <row r="448" spans="2:6" ht="72" outlineLevel="1">
      <c r="B448" s="1443"/>
      <c r="C448" s="1008"/>
      <c r="D448" s="252" t="s">
        <v>1183</v>
      </c>
      <c r="E448" s="1009"/>
      <c r="F448" s="1010" t="s">
        <v>77</v>
      </c>
    </row>
    <row r="449" spans="2:6" outlineLevel="1">
      <c r="B449" s="1443"/>
      <c r="C449" s="1008"/>
      <c r="D449" s="252" t="s">
        <v>1259</v>
      </c>
      <c r="E449" s="1009"/>
      <c r="F449" s="1010" t="s">
        <v>1324</v>
      </c>
    </row>
    <row r="450" spans="2:6" ht="24" outlineLevel="1">
      <c r="B450" s="1443"/>
      <c r="C450" s="1008"/>
      <c r="D450" s="252" t="s">
        <v>1261</v>
      </c>
      <c r="E450" s="1009"/>
      <c r="F450" s="1010" t="s">
        <v>1324</v>
      </c>
    </row>
    <row r="451" spans="2:6" ht="24" outlineLevel="1">
      <c r="B451" s="1443"/>
      <c r="C451" s="1008"/>
      <c r="D451" s="252" t="s">
        <v>1325</v>
      </c>
      <c r="E451" s="1009"/>
      <c r="F451" s="1010" t="s">
        <v>1326</v>
      </c>
    </row>
    <row r="452" spans="2:6" ht="24" outlineLevel="1">
      <c r="B452" s="1443"/>
      <c r="C452" s="1008"/>
      <c r="D452" s="252" t="s">
        <v>1315</v>
      </c>
      <c r="E452" s="1009"/>
      <c r="F452" s="1010" t="s">
        <v>1327</v>
      </c>
    </row>
    <row r="453" spans="2:6" outlineLevel="1">
      <c r="B453" s="1443"/>
      <c r="C453" s="1008"/>
      <c r="D453" s="252" t="s">
        <v>1317</v>
      </c>
      <c r="E453" s="1009"/>
      <c r="F453" s="1010" t="s">
        <v>1328</v>
      </c>
    </row>
    <row r="454" spans="2:6" ht="24" outlineLevel="1">
      <c r="B454" s="1443"/>
      <c r="C454" s="1008"/>
      <c r="D454" s="252" t="s">
        <v>1319</v>
      </c>
      <c r="E454" s="1009"/>
      <c r="F454" s="1010" t="s">
        <v>1329</v>
      </c>
    </row>
    <row r="455" spans="2:6" outlineLevel="1">
      <c r="B455" s="1443"/>
      <c r="C455" s="1008"/>
      <c r="D455" s="252" t="s">
        <v>1330</v>
      </c>
      <c r="E455" s="1009"/>
      <c r="F455" s="1010" t="s">
        <v>1331</v>
      </c>
    </row>
    <row r="456" spans="2:6" outlineLevel="1">
      <c r="B456" s="1444"/>
      <c r="C456" s="1008"/>
      <c r="D456" s="252" t="s">
        <v>240</v>
      </c>
      <c r="E456" s="1009"/>
      <c r="F456" s="1010"/>
    </row>
    <row r="457" spans="2:6" ht="76.5">
      <c r="B457" s="1442">
        <v>29</v>
      </c>
      <c r="C457" s="1005" t="s">
        <v>255</v>
      </c>
      <c r="D457" s="251" t="s">
        <v>235</v>
      </c>
      <c r="E457" s="1006" t="s">
        <v>1322</v>
      </c>
      <c r="F457" s="1007" t="s">
        <v>1323</v>
      </c>
    </row>
    <row r="458" spans="2:6" ht="96" outlineLevel="1">
      <c r="B458" s="1443"/>
      <c r="C458" s="1008"/>
      <c r="D458" s="252" t="s">
        <v>225</v>
      </c>
      <c r="E458" s="1009"/>
      <c r="F458" s="1010" t="s">
        <v>77</v>
      </c>
    </row>
    <row r="459" spans="2:6" ht="84" outlineLevel="1">
      <c r="B459" s="1443"/>
      <c r="C459" s="1008"/>
      <c r="D459" s="252" t="s">
        <v>236</v>
      </c>
      <c r="E459" s="1009"/>
      <c r="F459" s="1010" t="s">
        <v>77</v>
      </c>
    </row>
    <row r="460" spans="2:6" ht="24" outlineLevel="1">
      <c r="B460" s="1443"/>
      <c r="C460" s="1008"/>
      <c r="D460" s="252" t="s">
        <v>237</v>
      </c>
      <c r="E460" s="1009"/>
      <c r="F460" s="1010" t="s">
        <v>77</v>
      </c>
    </row>
    <row r="461" spans="2:6" ht="48" outlineLevel="1">
      <c r="B461" s="1443"/>
      <c r="C461" s="1008"/>
      <c r="D461" s="252" t="s">
        <v>238</v>
      </c>
      <c r="E461" s="1009"/>
      <c r="F461" s="1010" t="s">
        <v>77</v>
      </c>
    </row>
    <row r="462" spans="2:6" ht="60" outlineLevel="1">
      <c r="B462" s="1443"/>
      <c r="C462" s="1008"/>
      <c r="D462" s="252" t="s">
        <v>239</v>
      </c>
      <c r="E462" s="1009"/>
      <c r="F462" s="1010" t="s">
        <v>77</v>
      </c>
    </row>
    <row r="463" spans="2:6" outlineLevel="1">
      <c r="B463" s="1443"/>
      <c r="C463" s="1008"/>
      <c r="D463" s="252" t="s">
        <v>226</v>
      </c>
      <c r="E463" s="1009"/>
      <c r="F463" s="1010" t="s">
        <v>77</v>
      </c>
    </row>
    <row r="464" spans="2:6" ht="72" outlineLevel="1">
      <c r="B464" s="1443"/>
      <c r="C464" s="1008"/>
      <c r="D464" s="252" t="s">
        <v>1183</v>
      </c>
      <c r="E464" s="1009"/>
      <c r="F464" s="1010" t="s">
        <v>77</v>
      </c>
    </row>
    <row r="465" spans="2:6" outlineLevel="1">
      <c r="B465" s="1443"/>
      <c r="C465" s="1008"/>
      <c r="D465" s="252" t="s">
        <v>1259</v>
      </c>
      <c r="E465" s="1009"/>
      <c r="F465" s="1010" t="s">
        <v>1324</v>
      </c>
    </row>
    <row r="466" spans="2:6" ht="24" outlineLevel="1">
      <c r="B466" s="1443"/>
      <c r="C466" s="1008"/>
      <c r="D466" s="252" t="s">
        <v>1261</v>
      </c>
      <c r="E466" s="1009"/>
      <c r="F466" s="1010" t="s">
        <v>1324</v>
      </c>
    </row>
    <row r="467" spans="2:6" ht="24" outlineLevel="1">
      <c r="B467" s="1443"/>
      <c r="C467" s="1008"/>
      <c r="D467" s="252" t="s">
        <v>1325</v>
      </c>
      <c r="E467" s="1009"/>
      <c r="F467" s="1010" t="s">
        <v>1326</v>
      </c>
    </row>
    <row r="468" spans="2:6" ht="24" outlineLevel="1">
      <c r="B468" s="1443"/>
      <c r="C468" s="1008"/>
      <c r="D468" s="252" t="s">
        <v>1315</v>
      </c>
      <c r="E468" s="1009"/>
      <c r="F468" s="1010" t="s">
        <v>1327</v>
      </c>
    </row>
    <row r="469" spans="2:6" outlineLevel="1">
      <c r="B469" s="1443"/>
      <c r="C469" s="1008"/>
      <c r="D469" s="252" t="s">
        <v>1317</v>
      </c>
      <c r="E469" s="1009"/>
      <c r="F469" s="1010" t="s">
        <v>1328</v>
      </c>
    </row>
    <row r="470" spans="2:6" ht="24" outlineLevel="1">
      <c r="B470" s="1443"/>
      <c r="C470" s="1008"/>
      <c r="D470" s="252" t="s">
        <v>1319</v>
      </c>
      <c r="E470" s="1009"/>
      <c r="F470" s="1010" t="s">
        <v>1329</v>
      </c>
    </row>
    <row r="471" spans="2:6" outlineLevel="1">
      <c r="B471" s="1443"/>
      <c r="C471" s="1008"/>
      <c r="D471" s="252" t="s">
        <v>1330</v>
      </c>
      <c r="E471" s="1009"/>
      <c r="F471" s="1010" t="s">
        <v>1331</v>
      </c>
    </row>
    <row r="472" spans="2:6" outlineLevel="1">
      <c r="B472" s="1444"/>
      <c r="C472" s="1008"/>
      <c r="D472" s="252" t="s">
        <v>240</v>
      </c>
      <c r="E472" s="1009"/>
      <c r="F472" s="1010"/>
    </row>
    <row r="473" spans="2:6" ht="76.5">
      <c r="B473" s="1442">
        <v>30</v>
      </c>
      <c r="C473" s="1005" t="s">
        <v>256</v>
      </c>
      <c r="D473" s="251" t="s">
        <v>235</v>
      </c>
      <c r="E473" s="1006" t="s">
        <v>1322</v>
      </c>
      <c r="F473" s="1007" t="s">
        <v>1323</v>
      </c>
    </row>
    <row r="474" spans="2:6" ht="96" outlineLevel="1">
      <c r="B474" s="1443"/>
      <c r="C474" s="1008"/>
      <c r="D474" s="252" t="s">
        <v>225</v>
      </c>
      <c r="E474" s="1009"/>
      <c r="F474" s="1010" t="s">
        <v>77</v>
      </c>
    </row>
    <row r="475" spans="2:6" ht="84" outlineLevel="1">
      <c r="B475" s="1443"/>
      <c r="C475" s="1008"/>
      <c r="D475" s="252" t="s">
        <v>236</v>
      </c>
      <c r="E475" s="1009"/>
      <c r="F475" s="1010" t="s">
        <v>77</v>
      </c>
    </row>
    <row r="476" spans="2:6" ht="24" outlineLevel="1">
      <c r="B476" s="1443"/>
      <c r="C476" s="1008"/>
      <c r="D476" s="252" t="s">
        <v>237</v>
      </c>
      <c r="E476" s="1009"/>
      <c r="F476" s="1010" t="s">
        <v>77</v>
      </c>
    </row>
    <row r="477" spans="2:6" ht="48" outlineLevel="1">
      <c r="B477" s="1443"/>
      <c r="C477" s="1008"/>
      <c r="D477" s="252" t="s">
        <v>238</v>
      </c>
      <c r="E477" s="1009"/>
      <c r="F477" s="1010" t="s">
        <v>77</v>
      </c>
    </row>
    <row r="478" spans="2:6" ht="60" outlineLevel="1">
      <c r="B478" s="1443"/>
      <c r="C478" s="1008"/>
      <c r="D478" s="252" t="s">
        <v>239</v>
      </c>
      <c r="E478" s="1009"/>
      <c r="F478" s="1010" t="s">
        <v>77</v>
      </c>
    </row>
    <row r="479" spans="2:6" outlineLevel="1">
      <c r="B479" s="1443"/>
      <c r="C479" s="1008"/>
      <c r="D479" s="252" t="s">
        <v>226</v>
      </c>
      <c r="E479" s="1009"/>
      <c r="F479" s="1010" t="s">
        <v>77</v>
      </c>
    </row>
    <row r="480" spans="2:6" ht="72" outlineLevel="1">
      <c r="B480" s="1443"/>
      <c r="C480" s="1008"/>
      <c r="D480" s="252" t="s">
        <v>1183</v>
      </c>
      <c r="E480" s="1009"/>
      <c r="F480" s="1010" t="s">
        <v>77</v>
      </c>
    </row>
    <row r="481" spans="2:6" outlineLevel="1">
      <c r="B481" s="1443"/>
      <c r="C481" s="1008"/>
      <c r="D481" s="252" t="s">
        <v>1259</v>
      </c>
      <c r="E481" s="1009"/>
      <c r="F481" s="1010" t="s">
        <v>1324</v>
      </c>
    </row>
    <row r="482" spans="2:6" ht="24" outlineLevel="1">
      <c r="B482" s="1443"/>
      <c r="C482" s="1008"/>
      <c r="D482" s="252" t="s">
        <v>1261</v>
      </c>
      <c r="E482" s="1009"/>
      <c r="F482" s="1010" t="s">
        <v>1324</v>
      </c>
    </row>
    <row r="483" spans="2:6" ht="24" outlineLevel="1">
      <c r="B483" s="1443"/>
      <c r="C483" s="1008"/>
      <c r="D483" s="252" t="s">
        <v>1325</v>
      </c>
      <c r="E483" s="1009"/>
      <c r="F483" s="1010" t="s">
        <v>1326</v>
      </c>
    </row>
    <row r="484" spans="2:6" ht="24" outlineLevel="1">
      <c r="B484" s="1443"/>
      <c r="C484" s="1008"/>
      <c r="D484" s="252" t="s">
        <v>1315</v>
      </c>
      <c r="E484" s="1009"/>
      <c r="F484" s="1010" t="s">
        <v>1327</v>
      </c>
    </row>
    <row r="485" spans="2:6" outlineLevel="1">
      <c r="B485" s="1443"/>
      <c r="C485" s="1008"/>
      <c r="D485" s="252" t="s">
        <v>1317</v>
      </c>
      <c r="E485" s="1009"/>
      <c r="F485" s="1010" t="s">
        <v>1328</v>
      </c>
    </row>
    <row r="486" spans="2:6" ht="24" outlineLevel="1">
      <c r="B486" s="1443"/>
      <c r="C486" s="1008"/>
      <c r="D486" s="252" t="s">
        <v>1319</v>
      </c>
      <c r="E486" s="1009"/>
      <c r="F486" s="1010" t="s">
        <v>1329</v>
      </c>
    </row>
    <row r="487" spans="2:6" outlineLevel="1">
      <c r="B487" s="1443"/>
      <c r="C487" s="1008"/>
      <c r="D487" s="252" t="s">
        <v>1330</v>
      </c>
      <c r="E487" s="1009"/>
      <c r="F487" s="1010" t="s">
        <v>1331</v>
      </c>
    </row>
    <row r="488" spans="2:6" outlineLevel="1">
      <c r="B488" s="1444"/>
      <c r="C488" s="1008"/>
      <c r="D488" s="252" t="s">
        <v>240</v>
      </c>
      <c r="E488" s="1009"/>
      <c r="F488" s="1010"/>
    </row>
    <row r="489" spans="2:6" ht="76.5">
      <c r="B489" s="1442">
        <v>31</v>
      </c>
      <c r="C489" s="1005" t="s">
        <v>257</v>
      </c>
      <c r="D489" s="251" t="s">
        <v>235</v>
      </c>
      <c r="E489" s="1006" t="s">
        <v>1322</v>
      </c>
      <c r="F489" s="1007" t="s">
        <v>1323</v>
      </c>
    </row>
    <row r="490" spans="2:6" ht="96" outlineLevel="1">
      <c r="B490" s="1443"/>
      <c r="C490" s="1008"/>
      <c r="D490" s="252" t="s">
        <v>225</v>
      </c>
      <c r="E490" s="1009"/>
      <c r="F490" s="1010" t="s">
        <v>77</v>
      </c>
    </row>
    <row r="491" spans="2:6" ht="84" outlineLevel="1">
      <c r="B491" s="1443"/>
      <c r="C491" s="1008"/>
      <c r="D491" s="252" t="s">
        <v>236</v>
      </c>
      <c r="E491" s="1009"/>
      <c r="F491" s="1010" t="s">
        <v>77</v>
      </c>
    </row>
    <row r="492" spans="2:6" ht="24" outlineLevel="1">
      <c r="B492" s="1443"/>
      <c r="C492" s="1008"/>
      <c r="D492" s="252" t="s">
        <v>237</v>
      </c>
      <c r="E492" s="1009"/>
      <c r="F492" s="1010" t="s">
        <v>77</v>
      </c>
    </row>
    <row r="493" spans="2:6" ht="48" outlineLevel="1">
      <c r="B493" s="1443"/>
      <c r="C493" s="1008"/>
      <c r="D493" s="252" t="s">
        <v>238</v>
      </c>
      <c r="E493" s="1009"/>
      <c r="F493" s="1010" t="s">
        <v>77</v>
      </c>
    </row>
    <row r="494" spans="2:6" ht="60" outlineLevel="1">
      <c r="B494" s="1443"/>
      <c r="C494" s="1008"/>
      <c r="D494" s="252" t="s">
        <v>239</v>
      </c>
      <c r="E494" s="1009"/>
      <c r="F494" s="1010" t="s">
        <v>77</v>
      </c>
    </row>
    <row r="495" spans="2:6" outlineLevel="1">
      <c r="B495" s="1443"/>
      <c r="C495" s="1008"/>
      <c r="D495" s="252" t="s">
        <v>226</v>
      </c>
      <c r="E495" s="1009"/>
      <c r="F495" s="1010" t="s">
        <v>77</v>
      </c>
    </row>
    <row r="496" spans="2:6" ht="72" outlineLevel="1">
      <c r="B496" s="1443"/>
      <c r="C496" s="1008"/>
      <c r="D496" s="252" t="s">
        <v>1183</v>
      </c>
      <c r="E496" s="1009"/>
      <c r="F496" s="1010" t="s">
        <v>77</v>
      </c>
    </row>
    <row r="497" spans="2:6" outlineLevel="1">
      <c r="B497" s="1443"/>
      <c r="C497" s="1008"/>
      <c r="D497" s="252" t="s">
        <v>1259</v>
      </c>
      <c r="E497" s="1009"/>
      <c r="F497" s="1010" t="s">
        <v>1324</v>
      </c>
    </row>
    <row r="498" spans="2:6" ht="24" outlineLevel="1">
      <c r="B498" s="1443"/>
      <c r="C498" s="1008"/>
      <c r="D498" s="252" t="s">
        <v>1261</v>
      </c>
      <c r="E498" s="1009"/>
      <c r="F498" s="1010" t="s">
        <v>1324</v>
      </c>
    </row>
    <row r="499" spans="2:6" ht="24" outlineLevel="1">
      <c r="B499" s="1443"/>
      <c r="C499" s="1008"/>
      <c r="D499" s="252" t="s">
        <v>1325</v>
      </c>
      <c r="E499" s="1009"/>
      <c r="F499" s="1010" t="s">
        <v>1326</v>
      </c>
    </row>
    <row r="500" spans="2:6" ht="24" outlineLevel="1">
      <c r="B500" s="1443"/>
      <c r="C500" s="1008"/>
      <c r="D500" s="252" t="s">
        <v>1315</v>
      </c>
      <c r="E500" s="1009"/>
      <c r="F500" s="1010" t="s">
        <v>1327</v>
      </c>
    </row>
    <row r="501" spans="2:6" outlineLevel="1">
      <c r="B501" s="1443"/>
      <c r="C501" s="1008"/>
      <c r="D501" s="252" t="s">
        <v>1317</v>
      </c>
      <c r="E501" s="1009"/>
      <c r="F501" s="1010" t="s">
        <v>1328</v>
      </c>
    </row>
    <row r="502" spans="2:6" ht="24" outlineLevel="1">
      <c r="B502" s="1443"/>
      <c r="C502" s="1008"/>
      <c r="D502" s="252" t="s">
        <v>1319</v>
      </c>
      <c r="E502" s="1009"/>
      <c r="F502" s="1010" t="s">
        <v>1329</v>
      </c>
    </row>
    <row r="503" spans="2:6" outlineLevel="1">
      <c r="B503" s="1443"/>
      <c r="C503" s="1008"/>
      <c r="D503" s="252" t="s">
        <v>1330</v>
      </c>
      <c r="E503" s="1009"/>
      <c r="F503" s="1010" t="s">
        <v>1331</v>
      </c>
    </row>
    <row r="504" spans="2:6" outlineLevel="1">
      <c r="B504" s="1444"/>
      <c r="C504" s="1008"/>
      <c r="D504" s="252" t="s">
        <v>240</v>
      </c>
      <c r="E504" s="1009"/>
      <c r="F504" s="1010"/>
    </row>
    <row r="505" spans="2:6" ht="27.95" customHeight="1">
      <c r="B505" s="1445" t="s">
        <v>955</v>
      </c>
      <c r="C505" s="1446"/>
      <c r="D505" s="1446"/>
      <c r="E505" s="1446"/>
      <c r="F505" s="1446"/>
    </row>
    <row r="506" spans="2:6" ht="76.5">
      <c r="B506" s="1442">
        <v>32</v>
      </c>
      <c r="C506" s="1005" t="s">
        <v>956</v>
      </c>
      <c r="D506" s="251" t="s">
        <v>235</v>
      </c>
      <c r="E506" s="1006" t="s">
        <v>1332</v>
      </c>
      <c r="F506" s="1007" t="s">
        <v>1333</v>
      </c>
    </row>
    <row r="507" spans="2:6" ht="96" outlineLevel="1">
      <c r="B507" s="1443"/>
      <c r="C507" s="1008"/>
      <c r="D507" s="252" t="s">
        <v>225</v>
      </c>
      <c r="E507" s="1009"/>
      <c r="F507" s="1010" t="s">
        <v>77</v>
      </c>
    </row>
    <row r="508" spans="2:6" ht="84" outlineLevel="1">
      <c r="B508" s="1443"/>
      <c r="C508" s="1008"/>
      <c r="D508" s="252" t="s">
        <v>236</v>
      </c>
      <c r="E508" s="1009"/>
      <c r="F508" s="1010" t="s">
        <v>77</v>
      </c>
    </row>
    <row r="509" spans="2:6" ht="24" outlineLevel="1">
      <c r="B509" s="1443"/>
      <c r="C509" s="1008"/>
      <c r="D509" s="252" t="s">
        <v>237</v>
      </c>
      <c r="E509" s="1009"/>
      <c r="F509" s="1010" t="s">
        <v>77</v>
      </c>
    </row>
    <row r="510" spans="2:6" ht="48" outlineLevel="1">
      <c r="B510" s="1443"/>
      <c r="C510" s="1008"/>
      <c r="D510" s="252" t="s">
        <v>238</v>
      </c>
      <c r="E510" s="1009"/>
      <c r="F510" s="1010" t="s">
        <v>77</v>
      </c>
    </row>
    <row r="511" spans="2:6" ht="60" outlineLevel="1">
      <c r="B511" s="1443"/>
      <c r="C511" s="1008"/>
      <c r="D511" s="252" t="s">
        <v>239</v>
      </c>
      <c r="E511" s="1009"/>
      <c r="F511" s="1010" t="s">
        <v>77</v>
      </c>
    </row>
    <row r="512" spans="2:6" outlineLevel="1">
      <c r="B512" s="1443"/>
      <c r="C512" s="1008"/>
      <c r="D512" s="252" t="s">
        <v>226</v>
      </c>
      <c r="E512" s="1009"/>
      <c r="F512" s="1010" t="s">
        <v>77</v>
      </c>
    </row>
    <row r="513" spans="2:6" ht="72" outlineLevel="1">
      <c r="B513" s="1443"/>
      <c r="C513" s="1008"/>
      <c r="D513" s="252" t="s">
        <v>1183</v>
      </c>
      <c r="E513" s="1009"/>
      <c r="F513" s="1010" t="s">
        <v>77</v>
      </c>
    </row>
    <row r="514" spans="2:6" outlineLevel="1">
      <c r="B514" s="1443"/>
      <c r="C514" s="1008"/>
      <c r="D514" s="252" t="s">
        <v>1259</v>
      </c>
      <c r="E514" s="1009"/>
      <c r="F514" s="1010" t="s">
        <v>1334</v>
      </c>
    </row>
    <row r="515" spans="2:6" ht="24" outlineLevel="1">
      <c r="B515" s="1443"/>
      <c r="C515" s="1008"/>
      <c r="D515" s="252" t="s">
        <v>1261</v>
      </c>
      <c r="E515" s="1009"/>
      <c r="F515" s="1010" t="s">
        <v>1334</v>
      </c>
    </row>
    <row r="516" spans="2:6" ht="24" outlineLevel="1">
      <c r="B516" s="1443"/>
      <c r="C516" s="1008"/>
      <c r="D516" s="252" t="s">
        <v>1325</v>
      </c>
      <c r="E516" s="1009"/>
      <c r="F516" s="1010" t="s">
        <v>1335</v>
      </c>
    </row>
    <row r="517" spans="2:6" ht="24" outlineLevel="1">
      <c r="B517" s="1443"/>
      <c r="C517" s="1008"/>
      <c r="D517" s="252" t="s">
        <v>1315</v>
      </c>
      <c r="E517" s="1009"/>
      <c r="F517" s="1010" t="s">
        <v>1336</v>
      </c>
    </row>
    <row r="518" spans="2:6" outlineLevel="1">
      <c r="B518" s="1443"/>
      <c r="C518" s="1008"/>
      <c r="D518" s="252" t="s">
        <v>1317</v>
      </c>
      <c r="E518" s="1009"/>
      <c r="F518" s="1010" t="s">
        <v>1337</v>
      </c>
    </row>
    <row r="519" spans="2:6" ht="24" outlineLevel="1">
      <c r="B519" s="1443"/>
      <c r="C519" s="1008"/>
      <c r="D519" s="252" t="s">
        <v>1319</v>
      </c>
      <c r="E519" s="1009"/>
      <c r="F519" s="1010" t="s">
        <v>1338</v>
      </c>
    </row>
    <row r="520" spans="2:6" outlineLevel="1">
      <c r="B520" s="1443"/>
      <c r="C520" s="1008"/>
      <c r="D520" s="252" t="s">
        <v>1330</v>
      </c>
      <c r="E520" s="1009"/>
      <c r="F520" s="1010" t="s">
        <v>1339</v>
      </c>
    </row>
    <row r="521" spans="2:6" outlineLevel="1">
      <c r="B521" s="1444"/>
      <c r="C521" s="1008"/>
      <c r="D521" s="252" t="s">
        <v>240</v>
      </c>
      <c r="E521" s="1009"/>
      <c r="F521" s="1010"/>
    </row>
    <row r="522" spans="2:6" ht="76.5">
      <c r="B522" s="1442">
        <v>33</v>
      </c>
      <c r="C522" s="1005" t="s">
        <v>957</v>
      </c>
      <c r="D522" s="251" t="s">
        <v>235</v>
      </c>
      <c r="E522" s="1006" t="s">
        <v>1332</v>
      </c>
      <c r="F522" s="1007" t="s">
        <v>1333</v>
      </c>
    </row>
    <row r="523" spans="2:6" ht="96" outlineLevel="1">
      <c r="B523" s="1443"/>
      <c r="C523" s="1008"/>
      <c r="D523" s="252" t="s">
        <v>225</v>
      </c>
      <c r="E523" s="1009"/>
      <c r="F523" s="1010" t="s">
        <v>77</v>
      </c>
    </row>
    <row r="524" spans="2:6" ht="84" outlineLevel="1">
      <c r="B524" s="1443"/>
      <c r="C524" s="1008"/>
      <c r="D524" s="252" t="s">
        <v>236</v>
      </c>
      <c r="E524" s="1009"/>
      <c r="F524" s="1010" t="s">
        <v>77</v>
      </c>
    </row>
    <row r="525" spans="2:6" ht="24" outlineLevel="1">
      <c r="B525" s="1443"/>
      <c r="C525" s="1008"/>
      <c r="D525" s="252" t="s">
        <v>237</v>
      </c>
      <c r="E525" s="1009"/>
      <c r="F525" s="1010" t="s">
        <v>77</v>
      </c>
    </row>
    <row r="526" spans="2:6" ht="48" outlineLevel="1">
      <c r="B526" s="1443"/>
      <c r="C526" s="1008"/>
      <c r="D526" s="252" t="s">
        <v>238</v>
      </c>
      <c r="E526" s="1009"/>
      <c r="F526" s="1010" t="s">
        <v>77</v>
      </c>
    </row>
    <row r="527" spans="2:6" ht="60" outlineLevel="1">
      <c r="B527" s="1443"/>
      <c r="C527" s="1008"/>
      <c r="D527" s="252" t="s">
        <v>239</v>
      </c>
      <c r="E527" s="1009"/>
      <c r="F527" s="1010" t="s">
        <v>77</v>
      </c>
    </row>
    <row r="528" spans="2:6" outlineLevel="1">
      <c r="B528" s="1443"/>
      <c r="C528" s="1008"/>
      <c r="D528" s="252" t="s">
        <v>226</v>
      </c>
      <c r="E528" s="1009"/>
      <c r="F528" s="1010" t="s">
        <v>77</v>
      </c>
    </row>
    <row r="529" spans="2:6" ht="72" outlineLevel="1">
      <c r="B529" s="1443"/>
      <c r="C529" s="1008"/>
      <c r="D529" s="252" t="s">
        <v>1183</v>
      </c>
      <c r="E529" s="1009"/>
      <c r="F529" s="1010" t="s">
        <v>77</v>
      </c>
    </row>
    <row r="530" spans="2:6" outlineLevel="1">
      <c r="B530" s="1443"/>
      <c r="C530" s="1008"/>
      <c r="D530" s="252" t="s">
        <v>1259</v>
      </c>
      <c r="E530" s="1009"/>
      <c r="F530" s="1010" t="s">
        <v>1334</v>
      </c>
    </row>
    <row r="531" spans="2:6" ht="24" outlineLevel="1">
      <c r="B531" s="1443"/>
      <c r="C531" s="1008"/>
      <c r="D531" s="252" t="s">
        <v>1261</v>
      </c>
      <c r="E531" s="1009"/>
      <c r="F531" s="1010" t="s">
        <v>1334</v>
      </c>
    </row>
    <row r="532" spans="2:6" ht="24" outlineLevel="1">
      <c r="B532" s="1443"/>
      <c r="C532" s="1008"/>
      <c r="D532" s="252" t="s">
        <v>1325</v>
      </c>
      <c r="E532" s="1009"/>
      <c r="F532" s="1010" t="s">
        <v>1335</v>
      </c>
    </row>
    <row r="533" spans="2:6" ht="24" outlineLevel="1">
      <c r="B533" s="1443"/>
      <c r="C533" s="1008"/>
      <c r="D533" s="252" t="s">
        <v>1315</v>
      </c>
      <c r="E533" s="1009"/>
      <c r="F533" s="1010" t="s">
        <v>1336</v>
      </c>
    </row>
    <row r="534" spans="2:6" outlineLevel="1">
      <c r="B534" s="1443"/>
      <c r="C534" s="1008"/>
      <c r="D534" s="252" t="s">
        <v>1317</v>
      </c>
      <c r="E534" s="1009"/>
      <c r="F534" s="1010" t="s">
        <v>1337</v>
      </c>
    </row>
    <row r="535" spans="2:6" ht="24" outlineLevel="1">
      <c r="B535" s="1443"/>
      <c r="C535" s="1008"/>
      <c r="D535" s="252" t="s">
        <v>1319</v>
      </c>
      <c r="E535" s="1009"/>
      <c r="F535" s="1010" t="s">
        <v>1338</v>
      </c>
    </row>
    <row r="536" spans="2:6" outlineLevel="1">
      <c r="B536" s="1443"/>
      <c r="C536" s="1008"/>
      <c r="D536" s="252" t="s">
        <v>1330</v>
      </c>
      <c r="E536" s="1009"/>
      <c r="F536" s="1010" t="s">
        <v>1339</v>
      </c>
    </row>
    <row r="537" spans="2:6" outlineLevel="1">
      <c r="B537" s="1444"/>
      <c r="C537" s="1008"/>
      <c r="D537" s="252" t="s">
        <v>240</v>
      </c>
      <c r="E537" s="1009"/>
      <c r="F537" s="1010"/>
    </row>
    <row r="538" spans="2:6" ht="21" customHeight="1">
      <c r="B538" s="1445" t="s">
        <v>1340</v>
      </c>
      <c r="C538" s="1446"/>
      <c r="D538" s="1446"/>
      <c r="E538" s="1446"/>
      <c r="F538" s="1446"/>
    </row>
    <row r="539" spans="2:6" ht="153">
      <c r="B539" s="1442">
        <v>34</v>
      </c>
      <c r="C539" s="1005" t="s">
        <v>1341</v>
      </c>
      <c r="D539" s="251" t="s">
        <v>1342</v>
      </c>
      <c r="E539" s="1006" t="s">
        <v>1343</v>
      </c>
      <c r="F539" s="1007" t="s">
        <v>1344</v>
      </c>
    </row>
    <row r="540" spans="2:6" outlineLevel="1">
      <c r="B540" s="1443"/>
      <c r="C540" s="1008"/>
      <c r="D540" s="252" t="s">
        <v>821</v>
      </c>
      <c r="E540" s="1009"/>
      <c r="F540" s="1010" t="s">
        <v>77</v>
      </c>
    </row>
    <row r="541" spans="2:6" ht="36" outlineLevel="1">
      <c r="B541" s="1443"/>
      <c r="C541" s="1008"/>
      <c r="D541" s="252" t="s">
        <v>822</v>
      </c>
      <c r="E541" s="1009"/>
      <c r="F541" s="1010" t="s">
        <v>77</v>
      </c>
    </row>
    <row r="542" spans="2:6" ht="36" outlineLevel="1">
      <c r="B542" s="1443"/>
      <c r="C542" s="1008"/>
      <c r="D542" s="252" t="s">
        <v>823</v>
      </c>
      <c r="E542" s="1009"/>
      <c r="F542" s="1010" t="s">
        <v>77</v>
      </c>
    </row>
    <row r="543" spans="2:6" ht="60" outlineLevel="1">
      <c r="B543" s="1443"/>
      <c r="C543" s="1008"/>
      <c r="D543" s="252" t="s">
        <v>266</v>
      </c>
      <c r="E543" s="1009"/>
      <c r="F543" s="1010" t="s">
        <v>77</v>
      </c>
    </row>
    <row r="544" spans="2:6" ht="72" outlineLevel="1">
      <c r="B544" s="1443"/>
      <c r="C544" s="1008"/>
      <c r="D544" s="252" t="s">
        <v>1183</v>
      </c>
      <c r="E544" s="1009"/>
      <c r="F544" s="1010" t="s">
        <v>77</v>
      </c>
    </row>
    <row r="545" spans="2:6" outlineLevel="1">
      <c r="B545" s="1443"/>
      <c r="C545" s="1008"/>
      <c r="D545" s="252" t="s">
        <v>1259</v>
      </c>
      <c r="E545" s="1009"/>
      <c r="F545" s="1010" t="s">
        <v>1345</v>
      </c>
    </row>
    <row r="546" spans="2:6" ht="24" outlineLevel="1">
      <c r="B546" s="1443"/>
      <c r="C546" s="1008"/>
      <c r="D546" s="252" t="s">
        <v>1346</v>
      </c>
      <c r="E546" s="1009"/>
      <c r="F546" s="1010" t="s">
        <v>1347</v>
      </c>
    </row>
    <row r="547" spans="2:6" outlineLevel="1">
      <c r="B547" s="1443"/>
      <c r="C547" s="1008"/>
      <c r="D547" s="252" t="s">
        <v>1348</v>
      </c>
      <c r="E547" s="1009"/>
      <c r="F547" s="1010" t="s">
        <v>1349</v>
      </c>
    </row>
    <row r="548" spans="2:6" ht="24" outlineLevel="1">
      <c r="B548" s="1443"/>
      <c r="C548" s="1008"/>
      <c r="D548" s="252" t="s">
        <v>1350</v>
      </c>
      <c r="E548" s="1009"/>
      <c r="F548" s="1010" t="s">
        <v>1349</v>
      </c>
    </row>
    <row r="549" spans="2:6" ht="48" outlineLevel="1">
      <c r="B549" s="1443"/>
      <c r="C549" s="1008"/>
      <c r="D549" s="252" t="s">
        <v>1351</v>
      </c>
      <c r="E549" s="1009"/>
      <c r="F549" s="1010" t="s">
        <v>1352</v>
      </c>
    </row>
    <row r="550" spans="2:6" ht="60" outlineLevel="1">
      <c r="B550" s="1443"/>
      <c r="C550" s="1008"/>
      <c r="D550" s="252" t="s">
        <v>1353</v>
      </c>
      <c r="E550" s="1009"/>
      <c r="F550" s="1010" t="s">
        <v>1354</v>
      </c>
    </row>
    <row r="551" spans="2:6" ht="24" outlineLevel="1">
      <c r="B551" s="1443"/>
      <c r="C551" s="1008"/>
      <c r="D551" s="252" t="s">
        <v>1355</v>
      </c>
      <c r="E551" s="1009"/>
      <c r="F551" s="1010" t="s">
        <v>1347</v>
      </c>
    </row>
    <row r="552" spans="2:6" outlineLevel="1">
      <c r="B552" s="1443"/>
      <c r="C552" s="1008"/>
      <c r="D552" s="252" t="s">
        <v>1356</v>
      </c>
      <c r="E552" s="1009"/>
      <c r="F552" s="1010" t="s">
        <v>1357</v>
      </c>
    </row>
    <row r="553" spans="2:6" ht="24" outlineLevel="1">
      <c r="B553" s="1443"/>
      <c r="C553" s="1008"/>
      <c r="D553" s="252" t="s">
        <v>1358</v>
      </c>
      <c r="E553" s="1009"/>
      <c r="F553" s="1010" t="s">
        <v>1345</v>
      </c>
    </row>
    <row r="554" spans="2:6" outlineLevel="1">
      <c r="B554" s="1443"/>
      <c r="C554" s="1008"/>
      <c r="D554" s="252" t="s">
        <v>1253</v>
      </c>
      <c r="E554" s="1009"/>
      <c r="F554" s="1010" t="s">
        <v>1359</v>
      </c>
    </row>
    <row r="555" spans="2:6" outlineLevel="1">
      <c r="B555" s="1444"/>
      <c r="C555" s="1008"/>
      <c r="D555" s="252" t="s">
        <v>220</v>
      </c>
      <c r="E555" s="1009"/>
      <c r="F555" s="1010"/>
    </row>
    <row r="556" spans="2:6" ht="15">
      <c r="B556" s="1011"/>
      <c r="C556" s="1450" t="s">
        <v>258</v>
      </c>
      <c r="D556" s="1451"/>
      <c r="E556" s="1451"/>
      <c r="F556" s="1012"/>
    </row>
    <row r="557" spans="2:6" ht="27.95" customHeight="1">
      <c r="B557" s="1011"/>
      <c r="C557" s="1452" t="s">
        <v>259</v>
      </c>
      <c r="D557" s="1453"/>
      <c r="E557" s="1453"/>
      <c r="F557" s="1007" t="s">
        <v>1203</v>
      </c>
    </row>
    <row r="558" spans="2:6" ht="15">
      <c r="B558" s="1011"/>
      <c r="C558" s="1452" t="s">
        <v>1360</v>
      </c>
      <c r="D558" s="1453"/>
      <c r="E558" s="1453"/>
      <c r="F558" s="1007" t="s">
        <v>1203</v>
      </c>
    </row>
    <row r="559" spans="2:6" ht="27.95" customHeight="1">
      <c r="B559" s="1011"/>
      <c r="C559" s="1452" t="s">
        <v>1361</v>
      </c>
      <c r="D559" s="1453"/>
      <c r="E559" s="1453"/>
      <c r="F559" s="1007" t="s">
        <v>1289</v>
      </c>
    </row>
    <row r="560" spans="2:6" ht="15">
      <c r="B560" s="1011"/>
      <c r="C560" s="1452" t="s">
        <v>1362</v>
      </c>
      <c r="D560" s="1453"/>
      <c r="E560" s="1453"/>
      <c r="F560" s="1007" t="s">
        <v>1289</v>
      </c>
    </row>
    <row r="561" spans="2:6" ht="15">
      <c r="B561" s="1011"/>
      <c r="C561" s="1452" t="s">
        <v>260</v>
      </c>
      <c r="D561" s="1453"/>
      <c r="E561" s="1453"/>
      <c r="F561" s="1007" t="s">
        <v>1363</v>
      </c>
    </row>
    <row r="562" spans="2:6" ht="15">
      <c r="B562" s="1011"/>
      <c r="C562" s="1452" t="s">
        <v>1364</v>
      </c>
      <c r="D562" s="1453"/>
      <c r="E562" s="1453"/>
      <c r="F562" s="1007" t="s">
        <v>1363</v>
      </c>
    </row>
    <row r="563" spans="2:6" ht="15">
      <c r="B563" s="1011"/>
      <c r="C563" s="1452" t="s">
        <v>840</v>
      </c>
      <c r="D563" s="1453"/>
      <c r="E563" s="1453"/>
      <c r="F563" s="1007" t="s">
        <v>1365</v>
      </c>
    </row>
    <row r="564" spans="2:6" ht="15">
      <c r="B564" s="1011"/>
      <c r="C564" s="1452" t="s">
        <v>1366</v>
      </c>
      <c r="D564" s="1453"/>
      <c r="E564" s="1453"/>
      <c r="F564" s="1007" t="s">
        <v>1365</v>
      </c>
    </row>
    <row r="565" spans="2:6" ht="15">
      <c r="B565" s="1011"/>
      <c r="C565" s="1452" t="s">
        <v>958</v>
      </c>
      <c r="D565" s="1453"/>
      <c r="E565" s="1453"/>
      <c r="F565" s="1007" t="s">
        <v>1244</v>
      </c>
    </row>
    <row r="566" spans="2:6" ht="15">
      <c r="B566" s="1011"/>
      <c r="C566" s="1452" t="s">
        <v>1367</v>
      </c>
      <c r="D566" s="1453"/>
      <c r="E566" s="1453"/>
      <c r="F566" s="1007" t="s">
        <v>1244</v>
      </c>
    </row>
    <row r="567" spans="2:6" ht="27.95" customHeight="1">
      <c r="B567" s="1011"/>
      <c r="C567" s="1452" t="s">
        <v>261</v>
      </c>
      <c r="D567" s="1453"/>
      <c r="E567" s="1453"/>
      <c r="F567" s="1007" t="s">
        <v>1368</v>
      </c>
    </row>
    <row r="568" spans="2:6" ht="15">
      <c r="B568" s="1011"/>
      <c r="C568" s="1452" t="s">
        <v>1369</v>
      </c>
      <c r="D568" s="1453"/>
      <c r="E568" s="1453"/>
      <c r="F568" s="1007" t="s">
        <v>1368</v>
      </c>
    </row>
    <row r="569" spans="2:6" ht="27.95" customHeight="1">
      <c r="B569" s="1011"/>
      <c r="C569" s="1452" t="s">
        <v>959</v>
      </c>
      <c r="D569" s="1453"/>
      <c r="E569" s="1453"/>
      <c r="F569" s="1007" t="s">
        <v>1258</v>
      </c>
    </row>
    <row r="570" spans="2:6" ht="15">
      <c r="B570" s="1011"/>
      <c r="C570" s="1452" t="s">
        <v>1370</v>
      </c>
      <c r="D570" s="1453"/>
      <c r="E570" s="1453"/>
      <c r="F570" s="1007" t="s">
        <v>1258</v>
      </c>
    </row>
    <row r="571" spans="2:6" ht="27.95" customHeight="1">
      <c r="B571" s="1011"/>
      <c r="C571" s="1452" t="s">
        <v>824</v>
      </c>
      <c r="D571" s="1453"/>
      <c r="E571" s="1453"/>
      <c r="F571" s="1007" t="s">
        <v>1344</v>
      </c>
    </row>
    <row r="572" spans="2:6" ht="15">
      <c r="B572" s="1011"/>
      <c r="C572" s="1452" t="s">
        <v>1371</v>
      </c>
      <c r="D572" s="1453"/>
      <c r="E572" s="1453"/>
      <c r="F572" s="1007" t="s">
        <v>1344</v>
      </c>
    </row>
    <row r="573" spans="2:6" ht="15">
      <c r="B573" s="1011"/>
      <c r="C573" s="1452" t="s">
        <v>262</v>
      </c>
      <c r="D573" s="1453"/>
      <c r="E573" s="1453"/>
      <c r="F573" s="1007" t="s">
        <v>1372</v>
      </c>
    </row>
    <row r="574" spans="2:6" ht="15">
      <c r="B574" s="1011"/>
      <c r="C574" s="1450" t="s">
        <v>263</v>
      </c>
      <c r="D574" s="1451"/>
      <c r="E574" s="1451"/>
      <c r="F574" s="1012" t="s">
        <v>1372</v>
      </c>
    </row>
    <row r="575" spans="2:6" ht="21" customHeight="1">
      <c r="B575" s="1448" t="s">
        <v>841</v>
      </c>
      <c r="C575" s="1449"/>
      <c r="D575" s="1449"/>
      <c r="E575" s="1449"/>
      <c r="F575" s="1449"/>
    </row>
    <row r="576" spans="2:6" ht="21" customHeight="1">
      <c r="B576" s="1445" t="s">
        <v>960</v>
      </c>
      <c r="C576" s="1446"/>
      <c r="D576" s="1446"/>
      <c r="E576" s="1446"/>
      <c r="F576" s="1446"/>
    </row>
    <row r="577" spans="2:6" ht="63.75">
      <c r="B577" s="1442">
        <v>35</v>
      </c>
      <c r="C577" s="1005" t="s">
        <v>961</v>
      </c>
      <c r="D577" s="251" t="s">
        <v>962</v>
      </c>
      <c r="E577" s="1006" t="s">
        <v>1373</v>
      </c>
      <c r="F577" s="1007" t="s">
        <v>1374</v>
      </c>
    </row>
    <row r="578" spans="2:6" ht="60" outlineLevel="1">
      <c r="B578" s="1443"/>
      <c r="C578" s="1008"/>
      <c r="D578" s="252" t="s">
        <v>264</v>
      </c>
      <c r="E578" s="1009"/>
      <c r="F578" s="1010" t="s">
        <v>77</v>
      </c>
    </row>
    <row r="579" spans="2:6" ht="48" outlineLevel="1">
      <c r="B579" s="1443"/>
      <c r="C579" s="1008"/>
      <c r="D579" s="252" t="s">
        <v>265</v>
      </c>
      <c r="E579" s="1009"/>
      <c r="F579" s="1010" t="s">
        <v>77</v>
      </c>
    </row>
    <row r="580" spans="2:6" outlineLevel="1">
      <c r="B580" s="1443"/>
      <c r="C580" s="1008"/>
      <c r="D580" s="252" t="s">
        <v>219</v>
      </c>
      <c r="E580" s="1009"/>
      <c r="F580" s="1010" t="s">
        <v>77</v>
      </c>
    </row>
    <row r="581" spans="2:6" ht="72" outlineLevel="1">
      <c r="B581" s="1443"/>
      <c r="C581" s="1008"/>
      <c r="D581" s="252" t="s">
        <v>1183</v>
      </c>
      <c r="E581" s="1009"/>
      <c r="F581" s="1010" t="s">
        <v>77</v>
      </c>
    </row>
    <row r="582" spans="2:6" outlineLevel="1">
      <c r="B582" s="1443"/>
      <c r="C582" s="1008"/>
      <c r="D582" s="252" t="s">
        <v>1259</v>
      </c>
      <c r="E582" s="1009"/>
      <c r="F582" s="1010">
        <v>812</v>
      </c>
    </row>
    <row r="583" spans="2:6" outlineLevel="1">
      <c r="B583" s="1443"/>
      <c r="C583" s="1008"/>
      <c r="D583" s="252" t="s">
        <v>1375</v>
      </c>
      <c r="E583" s="1009"/>
      <c r="F583" s="1010">
        <v>812</v>
      </c>
    </row>
    <row r="584" spans="2:6" ht="24" outlineLevel="1">
      <c r="B584" s="1443"/>
      <c r="C584" s="1008"/>
      <c r="D584" s="252" t="s">
        <v>1376</v>
      </c>
      <c r="E584" s="1009"/>
      <c r="F584" s="1010" t="s">
        <v>1377</v>
      </c>
    </row>
    <row r="585" spans="2:6" ht="24" outlineLevel="1">
      <c r="B585" s="1443"/>
      <c r="C585" s="1008"/>
      <c r="D585" s="252" t="s">
        <v>1378</v>
      </c>
      <c r="E585" s="1009"/>
      <c r="F585" s="1010">
        <v>812</v>
      </c>
    </row>
    <row r="586" spans="2:6" ht="24" outlineLevel="1">
      <c r="B586" s="1443"/>
      <c r="C586" s="1008"/>
      <c r="D586" s="252" t="s">
        <v>1379</v>
      </c>
      <c r="E586" s="1009"/>
      <c r="F586" s="1010">
        <v>406</v>
      </c>
    </row>
    <row r="587" spans="2:6" ht="24" outlineLevel="1">
      <c r="B587" s="1443"/>
      <c r="C587" s="1008"/>
      <c r="D587" s="252" t="s">
        <v>1380</v>
      </c>
      <c r="E587" s="1009"/>
      <c r="F587" s="1010" t="s">
        <v>1381</v>
      </c>
    </row>
    <row r="588" spans="2:6" ht="24" outlineLevel="1">
      <c r="B588" s="1443"/>
      <c r="C588" s="1008"/>
      <c r="D588" s="252" t="s">
        <v>1382</v>
      </c>
      <c r="E588" s="1009"/>
      <c r="F588" s="1010" t="s">
        <v>1383</v>
      </c>
    </row>
    <row r="589" spans="2:6" outlineLevel="1">
      <c r="B589" s="1443"/>
      <c r="C589" s="1008"/>
      <c r="D589" s="252" t="s">
        <v>1253</v>
      </c>
      <c r="E589" s="1009"/>
      <c r="F589" s="1010" t="s">
        <v>1384</v>
      </c>
    </row>
    <row r="590" spans="2:6" ht="60" outlineLevel="1">
      <c r="B590" s="1443"/>
      <c r="C590" s="1008"/>
      <c r="D590" s="252" t="s">
        <v>1385</v>
      </c>
      <c r="E590" s="1009"/>
      <c r="F590" s="1010" t="s">
        <v>1386</v>
      </c>
    </row>
    <row r="591" spans="2:6" ht="60" outlineLevel="1">
      <c r="B591" s="1443"/>
      <c r="C591" s="1008"/>
      <c r="D591" s="252" t="s">
        <v>1387</v>
      </c>
      <c r="E591" s="1009"/>
      <c r="F591" s="1010" t="s">
        <v>1388</v>
      </c>
    </row>
    <row r="592" spans="2:6" ht="60" outlineLevel="1">
      <c r="B592" s="1443"/>
      <c r="C592" s="1008"/>
      <c r="D592" s="252" t="s">
        <v>1389</v>
      </c>
      <c r="E592" s="1009"/>
      <c r="F592" s="1010">
        <v>609</v>
      </c>
    </row>
    <row r="593" spans="2:6" ht="60" outlineLevel="1">
      <c r="B593" s="1443"/>
      <c r="C593" s="1008"/>
      <c r="D593" s="252" t="s">
        <v>1390</v>
      </c>
      <c r="E593" s="1009"/>
      <c r="F593" s="1010" t="s">
        <v>1391</v>
      </c>
    </row>
    <row r="594" spans="2:6" ht="60" outlineLevel="1">
      <c r="B594" s="1443"/>
      <c r="C594" s="1008"/>
      <c r="D594" s="252" t="s">
        <v>1392</v>
      </c>
      <c r="E594" s="1009"/>
      <c r="F594" s="1010" t="s">
        <v>1393</v>
      </c>
    </row>
    <row r="595" spans="2:6" ht="60" outlineLevel="1">
      <c r="B595" s="1443"/>
      <c r="C595" s="1008"/>
      <c r="D595" s="252" t="s">
        <v>1394</v>
      </c>
      <c r="E595" s="1009"/>
      <c r="F595" s="1010" t="s">
        <v>1391</v>
      </c>
    </row>
    <row r="596" spans="2:6" ht="60" outlineLevel="1">
      <c r="B596" s="1443"/>
      <c r="C596" s="1008"/>
      <c r="D596" s="252" t="s">
        <v>1395</v>
      </c>
      <c r="E596" s="1009"/>
      <c r="F596" s="1010">
        <v>609</v>
      </c>
    </row>
    <row r="597" spans="2:6" outlineLevel="1">
      <c r="B597" s="1444"/>
      <c r="C597" s="1008"/>
      <c r="D597" s="252" t="s">
        <v>220</v>
      </c>
      <c r="E597" s="1009"/>
      <c r="F597" s="1010"/>
    </row>
    <row r="598" spans="2:6" ht="27.95" customHeight="1">
      <c r="B598" s="1445" t="s">
        <v>963</v>
      </c>
      <c r="C598" s="1446"/>
      <c r="D598" s="1446"/>
      <c r="E598" s="1446"/>
      <c r="F598" s="1446"/>
    </row>
    <row r="599" spans="2:6" ht="27.95" customHeight="1">
      <c r="B599" s="1011"/>
      <c r="C599" s="1452" t="s">
        <v>964</v>
      </c>
      <c r="D599" s="1454"/>
      <c r="E599" s="1454"/>
      <c r="F599" s="1454"/>
    </row>
    <row r="600" spans="2:6" ht="21" customHeight="1">
      <c r="B600" s="1445" t="s">
        <v>1396</v>
      </c>
      <c r="C600" s="1446"/>
      <c r="D600" s="1446"/>
      <c r="E600" s="1446"/>
      <c r="F600" s="1446"/>
    </row>
    <row r="601" spans="2:6" ht="63.75">
      <c r="B601" s="1442">
        <v>36</v>
      </c>
      <c r="C601" s="1005" t="s">
        <v>1397</v>
      </c>
      <c r="D601" s="251" t="s">
        <v>962</v>
      </c>
      <c r="E601" s="1006" t="s">
        <v>1398</v>
      </c>
      <c r="F601" s="1007" t="s">
        <v>1399</v>
      </c>
    </row>
    <row r="602" spans="2:6" ht="60" outlineLevel="1">
      <c r="B602" s="1443"/>
      <c r="C602" s="1008"/>
      <c r="D602" s="252" t="s">
        <v>264</v>
      </c>
      <c r="E602" s="1009"/>
      <c r="F602" s="1010" t="s">
        <v>77</v>
      </c>
    </row>
    <row r="603" spans="2:6" ht="48" outlineLevel="1">
      <c r="B603" s="1443"/>
      <c r="C603" s="1008"/>
      <c r="D603" s="252" t="s">
        <v>265</v>
      </c>
      <c r="E603" s="1009"/>
      <c r="F603" s="1010" t="s">
        <v>77</v>
      </c>
    </row>
    <row r="604" spans="2:6" outlineLevel="1">
      <c r="B604" s="1443"/>
      <c r="C604" s="1008"/>
      <c r="D604" s="252" t="s">
        <v>219</v>
      </c>
      <c r="E604" s="1009"/>
      <c r="F604" s="1010" t="s">
        <v>77</v>
      </c>
    </row>
    <row r="605" spans="2:6" ht="72" outlineLevel="1">
      <c r="B605" s="1443"/>
      <c r="C605" s="1008"/>
      <c r="D605" s="252" t="s">
        <v>1183</v>
      </c>
      <c r="E605" s="1009"/>
      <c r="F605" s="1010" t="s">
        <v>77</v>
      </c>
    </row>
    <row r="606" spans="2:6" outlineLevel="1">
      <c r="B606" s="1443"/>
      <c r="C606" s="1008"/>
      <c r="D606" s="252" t="s">
        <v>1259</v>
      </c>
      <c r="E606" s="1009"/>
      <c r="F606" s="1010">
        <v>707</v>
      </c>
    </row>
    <row r="607" spans="2:6" outlineLevel="1">
      <c r="B607" s="1443"/>
      <c r="C607" s="1008"/>
      <c r="D607" s="252" t="s">
        <v>1375</v>
      </c>
      <c r="E607" s="1009"/>
      <c r="F607" s="1010">
        <v>707</v>
      </c>
    </row>
    <row r="608" spans="2:6" ht="24" outlineLevel="1">
      <c r="B608" s="1443"/>
      <c r="C608" s="1008"/>
      <c r="D608" s="252" t="s">
        <v>1376</v>
      </c>
      <c r="E608" s="1009"/>
      <c r="F608" s="1010" t="s">
        <v>1400</v>
      </c>
    </row>
    <row r="609" spans="2:6" ht="24" outlineLevel="1">
      <c r="B609" s="1443"/>
      <c r="C609" s="1008"/>
      <c r="D609" s="252" t="s">
        <v>1378</v>
      </c>
      <c r="E609" s="1009"/>
      <c r="F609" s="1010">
        <v>707</v>
      </c>
    </row>
    <row r="610" spans="2:6" ht="24" outlineLevel="1">
      <c r="B610" s="1443"/>
      <c r="C610" s="1008"/>
      <c r="D610" s="252" t="s">
        <v>1379</v>
      </c>
      <c r="E610" s="1009"/>
      <c r="F610" s="1010">
        <v>353</v>
      </c>
    </row>
    <row r="611" spans="2:6" ht="24" outlineLevel="1">
      <c r="B611" s="1443"/>
      <c r="C611" s="1008"/>
      <c r="D611" s="252" t="s">
        <v>1380</v>
      </c>
      <c r="E611" s="1009"/>
      <c r="F611" s="1010" t="s">
        <v>1401</v>
      </c>
    </row>
    <row r="612" spans="2:6" ht="24" outlineLevel="1">
      <c r="B612" s="1443"/>
      <c r="C612" s="1008"/>
      <c r="D612" s="252" t="s">
        <v>1382</v>
      </c>
      <c r="E612" s="1009"/>
      <c r="F612" s="1010" t="s">
        <v>1402</v>
      </c>
    </row>
    <row r="613" spans="2:6" outlineLevel="1">
      <c r="B613" s="1443"/>
      <c r="C613" s="1008"/>
      <c r="D613" s="252" t="s">
        <v>1253</v>
      </c>
      <c r="E613" s="1009"/>
      <c r="F613" s="1010" t="s">
        <v>1403</v>
      </c>
    </row>
    <row r="614" spans="2:6" ht="60" outlineLevel="1">
      <c r="B614" s="1443"/>
      <c r="C614" s="1008"/>
      <c r="D614" s="252" t="s">
        <v>1385</v>
      </c>
      <c r="E614" s="1009"/>
      <c r="F614" s="1010" t="s">
        <v>1404</v>
      </c>
    </row>
    <row r="615" spans="2:6" ht="60" outlineLevel="1">
      <c r="B615" s="1443"/>
      <c r="C615" s="1008"/>
      <c r="D615" s="252" t="s">
        <v>1387</v>
      </c>
      <c r="E615" s="1009"/>
      <c r="F615" s="1010" t="s">
        <v>1405</v>
      </c>
    </row>
    <row r="616" spans="2:6" ht="60" outlineLevel="1">
      <c r="B616" s="1443"/>
      <c r="C616" s="1008"/>
      <c r="D616" s="252" t="s">
        <v>1389</v>
      </c>
      <c r="E616" s="1009"/>
      <c r="F616" s="1010">
        <v>530</v>
      </c>
    </row>
    <row r="617" spans="2:6" ht="60" outlineLevel="1">
      <c r="B617" s="1443"/>
      <c r="C617" s="1008"/>
      <c r="D617" s="252" t="s">
        <v>1390</v>
      </c>
      <c r="E617" s="1009"/>
      <c r="F617" s="1010">
        <v>883</v>
      </c>
    </row>
    <row r="618" spans="2:6" ht="60" outlineLevel="1">
      <c r="B618" s="1443"/>
      <c r="C618" s="1008"/>
      <c r="D618" s="252" t="s">
        <v>1392</v>
      </c>
      <c r="E618" s="1009"/>
      <c r="F618" s="1010" t="s">
        <v>1406</v>
      </c>
    </row>
    <row r="619" spans="2:6" ht="60" outlineLevel="1">
      <c r="B619" s="1443"/>
      <c r="C619" s="1008"/>
      <c r="D619" s="252" t="s">
        <v>1394</v>
      </c>
      <c r="E619" s="1009"/>
      <c r="F619" s="1010">
        <v>883</v>
      </c>
    </row>
    <row r="620" spans="2:6" ht="60" outlineLevel="1">
      <c r="B620" s="1443"/>
      <c r="C620" s="1008"/>
      <c r="D620" s="252" t="s">
        <v>1395</v>
      </c>
      <c r="E620" s="1009"/>
      <c r="F620" s="1010">
        <v>530</v>
      </c>
    </row>
    <row r="621" spans="2:6" outlineLevel="1">
      <c r="B621" s="1444"/>
      <c r="C621" s="1008"/>
      <c r="D621" s="252" t="s">
        <v>220</v>
      </c>
      <c r="E621" s="1009"/>
      <c r="F621" s="1010"/>
    </row>
    <row r="622" spans="2:6" ht="27.95" customHeight="1">
      <c r="B622" s="1445" t="s">
        <v>965</v>
      </c>
      <c r="C622" s="1446"/>
      <c r="D622" s="1446"/>
      <c r="E622" s="1446"/>
      <c r="F622" s="1446"/>
    </row>
    <row r="623" spans="2:6" ht="127.5">
      <c r="B623" s="1442">
        <v>37</v>
      </c>
      <c r="C623" s="1005" t="s">
        <v>966</v>
      </c>
      <c r="D623" s="251" t="s">
        <v>967</v>
      </c>
      <c r="E623" s="1006" t="s">
        <v>1407</v>
      </c>
      <c r="F623" s="1007" t="s">
        <v>1408</v>
      </c>
    </row>
    <row r="624" spans="2:6" ht="60" outlineLevel="1">
      <c r="B624" s="1443"/>
      <c r="C624" s="1008"/>
      <c r="D624" s="252" t="s">
        <v>264</v>
      </c>
      <c r="E624" s="1009"/>
      <c r="F624" s="1010" t="s">
        <v>77</v>
      </c>
    </row>
    <row r="625" spans="2:6" ht="48" outlineLevel="1">
      <c r="B625" s="1443"/>
      <c r="C625" s="1008"/>
      <c r="D625" s="252" t="s">
        <v>265</v>
      </c>
      <c r="E625" s="1009"/>
      <c r="F625" s="1010" t="s">
        <v>77</v>
      </c>
    </row>
    <row r="626" spans="2:6" outlineLevel="1">
      <c r="B626" s="1443"/>
      <c r="C626" s="1008"/>
      <c r="D626" s="252" t="s">
        <v>219</v>
      </c>
      <c r="E626" s="1009"/>
      <c r="F626" s="1010" t="s">
        <v>77</v>
      </c>
    </row>
    <row r="627" spans="2:6" ht="72" outlineLevel="1">
      <c r="B627" s="1443"/>
      <c r="C627" s="1008"/>
      <c r="D627" s="252" t="s">
        <v>1183</v>
      </c>
      <c r="E627" s="1009"/>
      <c r="F627" s="1010" t="s">
        <v>77</v>
      </c>
    </row>
    <row r="628" spans="2:6" outlineLevel="1">
      <c r="B628" s="1443"/>
      <c r="C628" s="1008"/>
      <c r="D628" s="252" t="s">
        <v>1259</v>
      </c>
      <c r="E628" s="1009"/>
      <c r="F628" s="1010" t="s">
        <v>1409</v>
      </c>
    </row>
    <row r="629" spans="2:6" outlineLevel="1">
      <c r="B629" s="1443"/>
      <c r="C629" s="1008"/>
      <c r="D629" s="252" t="s">
        <v>1375</v>
      </c>
      <c r="E629" s="1009"/>
      <c r="F629" s="1010" t="s">
        <v>1409</v>
      </c>
    </row>
    <row r="630" spans="2:6" ht="24" outlineLevel="1">
      <c r="B630" s="1443"/>
      <c r="C630" s="1008"/>
      <c r="D630" s="252" t="s">
        <v>1376</v>
      </c>
      <c r="E630" s="1009"/>
      <c r="F630" s="1010" t="s">
        <v>1410</v>
      </c>
    </row>
    <row r="631" spans="2:6" ht="24" outlineLevel="1">
      <c r="B631" s="1443"/>
      <c r="C631" s="1008"/>
      <c r="D631" s="252" t="s">
        <v>1378</v>
      </c>
      <c r="E631" s="1009"/>
      <c r="F631" s="1010" t="s">
        <v>1409</v>
      </c>
    </row>
    <row r="632" spans="2:6" ht="24" outlineLevel="1">
      <c r="B632" s="1443"/>
      <c r="C632" s="1008"/>
      <c r="D632" s="252" t="s">
        <v>1379</v>
      </c>
      <c r="E632" s="1009"/>
      <c r="F632" s="1010">
        <v>877</v>
      </c>
    </row>
    <row r="633" spans="2:6" ht="24" outlineLevel="1">
      <c r="B633" s="1443"/>
      <c r="C633" s="1008"/>
      <c r="D633" s="252" t="s">
        <v>1380</v>
      </c>
      <c r="E633" s="1009"/>
      <c r="F633" s="1010" t="s">
        <v>1411</v>
      </c>
    </row>
    <row r="634" spans="2:6" ht="24" outlineLevel="1">
      <c r="B634" s="1443"/>
      <c r="C634" s="1008"/>
      <c r="D634" s="252" t="s">
        <v>1382</v>
      </c>
      <c r="E634" s="1009"/>
      <c r="F634" s="1010" t="s">
        <v>1412</v>
      </c>
    </row>
    <row r="635" spans="2:6" outlineLevel="1">
      <c r="B635" s="1443"/>
      <c r="C635" s="1008"/>
      <c r="D635" s="252" t="s">
        <v>1253</v>
      </c>
      <c r="E635" s="1009"/>
      <c r="F635" s="1010" t="s">
        <v>1413</v>
      </c>
    </row>
    <row r="636" spans="2:6" ht="60" outlineLevel="1">
      <c r="B636" s="1443"/>
      <c r="C636" s="1008"/>
      <c r="D636" s="252" t="s">
        <v>1385</v>
      </c>
      <c r="E636" s="1009"/>
      <c r="F636" s="1010" t="s">
        <v>1414</v>
      </c>
    </row>
    <row r="637" spans="2:6" ht="60" outlineLevel="1">
      <c r="B637" s="1443"/>
      <c r="C637" s="1008"/>
      <c r="D637" s="252" t="s">
        <v>1387</v>
      </c>
      <c r="E637" s="1009"/>
      <c r="F637" s="1010" t="s">
        <v>1415</v>
      </c>
    </row>
    <row r="638" spans="2:6" ht="60" outlineLevel="1">
      <c r="B638" s="1443"/>
      <c r="C638" s="1008"/>
      <c r="D638" s="252" t="s">
        <v>1389</v>
      </c>
      <c r="E638" s="1009"/>
      <c r="F638" s="1010" t="s">
        <v>1416</v>
      </c>
    </row>
    <row r="639" spans="2:6" ht="60" outlineLevel="1">
      <c r="B639" s="1443"/>
      <c r="C639" s="1008"/>
      <c r="D639" s="252" t="s">
        <v>1390</v>
      </c>
      <c r="E639" s="1009"/>
      <c r="F639" s="1010" t="s">
        <v>1417</v>
      </c>
    </row>
    <row r="640" spans="2:6" ht="60" outlineLevel="1">
      <c r="B640" s="1443"/>
      <c r="C640" s="1008"/>
      <c r="D640" s="252" t="s">
        <v>1392</v>
      </c>
      <c r="E640" s="1009"/>
      <c r="F640" s="1010" t="s">
        <v>1418</v>
      </c>
    </row>
    <row r="641" spans="2:6" ht="60" outlineLevel="1">
      <c r="B641" s="1443"/>
      <c r="C641" s="1008"/>
      <c r="D641" s="252" t="s">
        <v>1394</v>
      </c>
      <c r="E641" s="1009"/>
      <c r="F641" s="1010" t="s">
        <v>1417</v>
      </c>
    </row>
    <row r="642" spans="2:6" ht="60" outlineLevel="1">
      <c r="B642" s="1443"/>
      <c r="C642" s="1008"/>
      <c r="D642" s="252" t="s">
        <v>1395</v>
      </c>
      <c r="E642" s="1009"/>
      <c r="F642" s="1010" t="s">
        <v>1416</v>
      </c>
    </row>
    <row r="643" spans="2:6" outlineLevel="1">
      <c r="B643" s="1444"/>
      <c r="C643" s="1008"/>
      <c r="D643" s="252" t="s">
        <v>220</v>
      </c>
      <c r="E643" s="1009"/>
      <c r="F643" s="1010"/>
    </row>
    <row r="644" spans="2:6" ht="27.95" customHeight="1">
      <c r="B644" s="1445" t="s">
        <v>1419</v>
      </c>
      <c r="C644" s="1446"/>
      <c r="D644" s="1446"/>
      <c r="E644" s="1446"/>
      <c r="F644" s="1446"/>
    </row>
    <row r="645" spans="2:6" ht="76.5">
      <c r="B645" s="1442">
        <v>38</v>
      </c>
      <c r="C645" s="1005" t="s">
        <v>1420</v>
      </c>
      <c r="D645" s="251" t="s">
        <v>1421</v>
      </c>
      <c r="E645" s="1006" t="s">
        <v>1422</v>
      </c>
      <c r="F645" s="1007" t="s">
        <v>1423</v>
      </c>
    </row>
    <row r="646" spans="2:6" ht="48" outlineLevel="1">
      <c r="B646" s="1443"/>
      <c r="C646" s="1008"/>
      <c r="D646" s="252" t="s">
        <v>268</v>
      </c>
      <c r="E646" s="1009"/>
      <c r="F646" s="1010" t="s">
        <v>77</v>
      </c>
    </row>
    <row r="647" spans="2:6" ht="60" outlineLevel="1">
      <c r="B647" s="1443"/>
      <c r="C647" s="1008"/>
      <c r="D647" s="252" t="s">
        <v>264</v>
      </c>
      <c r="E647" s="1009"/>
      <c r="F647" s="1010" t="s">
        <v>77</v>
      </c>
    </row>
    <row r="648" spans="2:6" ht="48" outlineLevel="1">
      <c r="B648" s="1443"/>
      <c r="C648" s="1008"/>
      <c r="D648" s="252" t="s">
        <v>265</v>
      </c>
      <c r="E648" s="1009"/>
      <c r="F648" s="1010" t="s">
        <v>77</v>
      </c>
    </row>
    <row r="649" spans="2:6" outlineLevel="1">
      <c r="B649" s="1443"/>
      <c r="C649" s="1008"/>
      <c r="D649" s="252" t="s">
        <v>219</v>
      </c>
      <c r="E649" s="1009"/>
      <c r="F649" s="1010" t="s">
        <v>77</v>
      </c>
    </row>
    <row r="650" spans="2:6" ht="72" outlineLevel="1">
      <c r="B650" s="1443"/>
      <c r="C650" s="1008"/>
      <c r="D650" s="252" t="s">
        <v>1183</v>
      </c>
      <c r="E650" s="1009"/>
      <c r="F650" s="1010" t="s">
        <v>77</v>
      </c>
    </row>
    <row r="651" spans="2:6" outlineLevel="1">
      <c r="B651" s="1443"/>
      <c r="C651" s="1008"/>
      <c r="D651" s="252" t="s">
        <v>1259</v>
      </c>
      <c r="E651" s="1009"/>
      <c r="F651" s="1010" t="s">
        <v>1424</v>
      </c>
    </row>
    <row r="652" spans="2:6" outlineLevel="1">
      <c r="B652" s="1443"/>
      <c r="C652" s="1008"/>
      <c r="D652" s="252" t="s">
        <v>1375</v>
      </c>
      <c r="E652" s="1009"/>
      <c r="F652" s="1010" t="s">
        <v>1424</v>
      </c>
    </row>
    <row r="653" spans="2:6" ht="24" outlineLevel="1">
      <c r="B653" s="1443"/>
      <c r="C653" s="1008"/>
      <c r="D653" s="252" t="s">
        <v>1376</v>
      </c>
      <c r="E653" s="1009"/>
      <c r="F653" s="1010" t="s">
        <v>1425</v>
      </c>
    </row>
    <row r="654" spans="2:6" ht="24" outlineLevel="1">
      <c r="B654" s="1443"/>
      <c r="C654" s="1008"/>
      <c r="D654" s="252" t="s">
        <v>1378</v>
      </c>
      <c r="E654" s="1009"/>
      <c r="F654" s="1010" t="s">
        <v>1424</v>
      </c>
    </row>
    <row r="655" spans="2:6" ht="24" outlineLevel="1">
      <c r="B655" s="1443"/>
      <c r="C655" s="1008"/>
      <c r="D655" s="252" t="s">
        <v>1379</v>
      </c>
      <c r="E655" s="1009"/>
      <c r="F655" s="1010">
        <v>934</v>
      </c>
    </row>
    <row r="656" spans="2:6" ht="24" outlineLevel="1">
      <c r="B656" s="1443"/>
      <c r="C656" s="1008"/>
      <c r="D656" s="252" t="s">
        <v>1380</v>
      </c>
      <c r="E656" s="1009"/>
      <c r="F656" s="1010" t="s">
        <v>1426</v>
      </c>
    </row>
    <row r="657" spans="2:6" ht="24" outlineLevel="1">
      <c r="B657" s="1443"/>
      <c r="C657" s="1008"/>
      <c r="D657" s="252" t="s">
        <v>1382</v>
      </c>
      <c r="E657" s="1009"/>
      <c r="F657" s="1010" t="s">
        <v>1427</v>
      </c>
    </row>
    <row r="658" spans="2:6" outlineLevel="1">
      <c r="B658" s="1443"/>
      <c r="C658" s="1008"/>
      <c r="D658" s="252" t="s">
        <v>1253</v>
      </c>
      <c r="E658" s="1009"/>
      <c r="F658" s="1010" t="s">
        <v>1428</v>
      </c>
    </row>
    <row r="659" spans="2:6" ht="60" outlineLevel="1">
      <c r="B659" s="1443"/>
      <c r="C659" s="1008"/>
      <c r="D659" s="252" t="s">
        <v>1385</v>
      </c>
      <c r="E659" s="1009"/>
      <c r="F659" s="1010" t="s">
        <v>1429</v>
      </c>
    </row>
    <row r="660" spans="2:6" ht="60" outlineLevel="1">
      <c r="B660" s="1443"/>
      <c r="C660" s="1008"/>
      <c r="D660" s="252" t="s">
        <v>1387</v>
      </c>
      <c r="E660" s="1009"/>
      <c r="F660" s="1010" t="s">
        <v>1430</v>
      </c>
    </row>
    <row r="661" spans="2:6" ht="60" outlineLevel="1">
      <c r="B661" s="1443"/>
      <c r="C661" s="1008"/>
      <c r="D661" s="252" t="s">
        <v>1389</v>
      </c>
      <c r="E661" s="1009"/>
      <c r="F661" s="1010" t="s">
        <v>1431</v>
      </c>
    </row>
    <row r="662" spans="2:6" ht="60" outlineLevel="1">
      <c r="B662" s="1443"/>
      <c r="C662" s="1008"/>
      <c r="D662" s="252" t="s">
        <v>1390</v>
      </c>
      <c r="E662" s="1009"/>
      <c r="F662" s="1010" t="s">
        <v>1432</v>
      </c>
    </row>
    <row r="663" spans="2:6" ht="60" outlineLevel="1">
      <c r="B663" s="1443"/>
      <c r="C663" s="1008"/>
      <c r="D663" s="252" t="s">
        <v>1392</v>
      </c>
      <c r="E663" s="1009"/>
      <c r="F663" s="1010" t="s">
        <v>1433</v>
      </c>
    </row>
    <row r="664" spans="2:6" ht="60" outlineLevel="1">
      <c r="B664" s="1443"/>
      <c r="C664" s="1008"/>
      <c r="D664" s="252" t="s">
        <v>1394</v>
      </c>
      <c r="E664" s="1009"/>
      <c r="F664" s="1010" t="s">
        <v>1432</v>
      </c>
    </row>
    <row r="665" spans="2:6" ht="60" outlineLevel="1">
      <c r="B665" s="1443"/>
      <c r="C665" s="1008"/>
      <c r="D665" s="252" t="s">
        <v>1395</v>
      </c>
      <c r="E665" s="1009"/>
      <c r="F665" s="1010" t="s">
        <v>1431</v>
      </c>
    </row>
    <row r="666" spans="2:6" outlineLevel="1">
      <c r="B666" s="1444"/>
      <c r="C666" s="1008"/>
      <c r="D666" s="252" t="s">
        <v>220</v>
      </c>
      <c r="E666" s="1009"/>
      <c r="F666" s="1010"/>
    </row>
    <row r="667" spans="2:6" ht="15">
      <c r="B667" s="1011"/>
      <c r="C667" s="1450" t="s">
        <v>842</v>
      </c>
      <c r="D667" s="1451"/>
      <c r="E667" s="1451"/>
      <c r="F667" s="1012"/>
    </row>
    <row r="668" spans="2:6" ht="27.95" customHeight="1">
      <c r="B668" s="1011"/>
      <c r="C668" s="1452" t="s">
        <v>269</v>
      </c>
      <c r="D668" s="1453"/>
      <c r="E668" s="1453"/>
      <c r="F668" s="1007" t="s">
        <v>1434</v>
      </c>
    </row>
    <row r="669" spans="2:6" ht="15">
      <c r="B669" s="1011"/>
      <c r="C669" s="1452" t="s">
        <v>1435</v>
      </c>
      <c r="D669" s="1453"/>
      <c r="E669" s="1453"/>
      <c r="F669" s="1007" t="s">
        <v>1434</v>
      </c>
    </row>
    <row r="670" spans="2:6" ht="15">
      <c r="B670" s="1011"/>
      <c r="C670" s="1450" t="s">
        <v>843</v>
      </c>
      <c r="D670" s="1451"/>
      <c r="E670" s="1451"/>
      <c r="F670" s="1012" t="s">
        <v>1434</v>
      </c>
    </row>
    <row r="671" spans="2:6" ht="21" customHeight="1">
      <c r="B671" s="1448" t="s">
        <v>270</v>
      </c>
      <c r="C671" s="1449"/>
      <c r="D671" s="1449"/>
      <c r="E671" s="1449"/>
      <c r="F671" s="1449"/>
    </row>
    <row r="672" spans="2:6" ht="21" customHeight="1">
      <c r="B672" s="1445" t="s">
        <v>968</v>
      </c>
      <c r="C672" s="1446"/>
      <c r="D672" s="1446"/>
      <c r="E672" s="1446"/>
      <c r="F672" s="1446"/>
    </row>
    <row r="673" spans="2:6" ht="63.75">
      <c r="B673" s="1442">
        <v>39</v>
      </c>
      <c r="C673" s="1005" t="s">
        <v>1436</v>
      </c>
      <c r="D673" s="251" t="s">
        <v>271</v>
      </c>
      <c r="E673" s="1006" t="s">
        <v>1437</v>
      </c>
      <c r="F673" s="1007" t="s">
        <v>1438</v>
      </c>
    </row>
    <row r="674" spans="2:6" ht="36" outlineLevel="1">
      <c r="B674" s="1443"/>
      <c r="C674" s="1008"/>
      <c r="D674" s="252" t="s">
        <v>272</v>
      </c>
      <c r="E674" s="1009"/>
      <c r="F674" s="1010" t="s">
        <v>77</v>
      </c>
    </row>
    <row r="675" spans="2:6" ht="60" outlineLevel="1">
      <c r="B675" s="1443"/>
      <c r="C675" s="1008"/>
      <c r="D675" s="252" t="s">
        <v>239</v>
      </c>
      <c r="E675" s="1009"/>
      <c r="F675" s="1010" t="s">
        <v>77</v>
      </c>
    </row>
    <row r="676" spans="2:6" outlineLevel="1">
      <c r="B676" s="1443"/>
      <c r="C676" s="1008"/>
      <c r="D676" s="252" t="s">
        <v>267</v>
      </c>
      <c r="E676" s="1009"/>
      <c r="F676" s="1010" t="s">
        <v>77</v>
      </c>
    </row>
    <row r="677" spans="2:6" ht="72" outlineLevel="1">
      <c r="B677" s="1444"/>
      <c r="C677" s="1008"/>
      <c r="D677" s="252" t="s">
        <v>1177</v>
      </c>
      <c r="E677" s="1009"/>
      <c r="F677" s="1010" t="s">
        <v>77</v>
      </c>
    </row>
    <row r="678" spans="2:6" ht="21" customHeight="1">
      <c r="B678" s="1445" t="s">
        <v>1439</v>
      </c>
      <c r="C678" s="1446"/>
      <c r="D678" s="1446"/>
      <c r="E678" s="1446"/>
      <c r="F678" s="1446"/>
    </row>
    <row r="679" spans="2:6" ht="63.75">
      <c r="B679" s="1442">
        <v>40</v>
      </c>
      <c r="C679" s="1005" t="s">
        <v>1440</v>
      </c>
      <c r="D679" s="251" t="s">
        <v>271</v>
      </c>
      <c r="E679" s="1006" t="s">
        <v>1441</v>
      </c>
      <c r="F679" s="1007" t="s">
        <v>1442</v>
      </c>
    </row>
    <row r="680" spans="2:6" ht="48" outlineLevel="1">
      <c r="B680" s="1443"/>
      <c r="C680" s="1008"/>
      <c r="D680" s="252" t="s">
        <v>273</v>
      </c>
      <c r="E680" s="1009"/>
      <c r="F680" s="1010" t="s">
        <v>77</v>
      </c>
    </row>
    <row r="681" spans="2:6" ht="36" outlineLevel="1">
      <c r="B681" s="1443"/>
      <c r="C681" s="1008"/>
      <c r="D681" s="252" t="s">
        <v>272</v>
      </c>
      <c r="E681" s="1009"/>
      <c r="F681" s="1010" t="s">
        <v>77</v>
      </c>
    </row>
    <row r="682" spans="2:6" ht="60" outlineLevel="1">
      <c r="B682" s="1443"/>
      <c r="C682" s="1008"/>
      <c r="D682" s="252" t="s">
        <v>239</v>
      </c>
      <c r="E682" s="1009"/>
      <c r="F682" s="1010" t="s">
        <v>77</v>
      </c>
    </row>
    <row r="683" spans="2:6" outlineLevel="1">
      <c r="B683" s="1443"/>
      <c r="C683" s="1008"/>
      <c r="D683" s="252" t="s">
        <v>267</v>
      </c>
      <c r="E683" s="1009"/>
      <c r="F683" s="1010" t="s">
        <v>77</v>
      </c>
    </row>
    <row r="684" spans="2:6" ht="72" outlineLevel="1">
      <c r="B684" s="1444"/>
      <c r="C684" s="1008"/>
      <c r="D684" s="252" t="s">
        <v>1177</v>
      </c>
      <c r="E684" s="1009"/>
      <c r="F684" s="1010" t="s">
        <v>77</v>
      </c>
    </row>
    <row r="685" spans="2:6" ht="51">
      <c r="B685" s="1442">
        <v>41</v>
      </c>
      <c r="C685" s="1005" t="s">
        <v>1443</v>
      </c>
      <c r="D685" s="251" t="s">
        <v>1444</v>
      </c>
      <c r="E685" s="1006" t="s">
        <v>1445</v>
      </c>
      <c r="F685" s="1007" t="s">
        <v>1446</v>
      </c>
    </row>
    <row r="686" spans="2:6" ht="36" outlineLevel="1">
      <c r="B686" s="1443"/>
      <c r="C686" s="1008"/>
      <c r="D686" s="252" t="s">
        <v>280</v>
      </c>
      <c r="E686" s="1009"/>
      <c r="F686" s="1010" t="s">
        <v>77</v>
      </c>
    </row>
    <row r="687" spans="2:6" outlineLevel="1">
      <c r="B687" s="1443"/>
      <c r="C687" s="1008"/>
      <c r="D687" s="252" t="s">
        <v>267</v>
      </c>
      <c r="E687" s="1009"/>
      <c r="F687" s="1010" t="s">
        <v>77</v>
      </c>
    </row>
    <row r="688" spans="2:6" ht="60" outlineLevel="1">
      <c r="B688" s="1443"/>
      <c r="C688" s="1008"/>
      <c r="D688" s="252" t="s">
        <v>239</v>
      </c>
      <c r="E688" s="1009"/>
      <c r="F688" s="1010" t="s">
        <v>77</v>
      </c>
    </row>
    <row r="689" spans="2:6" ht="72" outlineLevel="1">
      <c r="B689" s="1444"/>
      <c r="C689" s="1008"/>
      <c r="D689" s="252" t="s">
        <v>1177</v>
      </c>
      <c r="E689" s="1009"/>
      <c r="F689" s="1010" t="s">
        <v>77</v>
      </c>
    </row>
    <row r="690" spans="2:6" ht="21" customHeight="1">
      <c r="B690" s="1445" t="s">
        <v>825</v>
      </c>
      <c r="C690" s="1446"/>
      <c r="D690" s="1446"/>
      <c r="E690" s="1446"/>
      <c r="F690" s="1446"/>
    </row>
    <row r="691" spans="2:6" ht="63.75">
      <c r="B691" s="1442">
        <v>42</v>
      </c>
      <c r="C691" s="1005" t="s">
        <v>826</v>
      </c>
      <c r="D691" s="251" t="s">
        <v>271</v>
      </c>
      <c r="E691" s="1006" t="s">
        <v>1447</v>
      </c>
      <c r="F691" s="1007" t="s">
        <v>1448</v>
      </c>
    </row>
    <row r="692" spans="2:6" ht="36" outlineLevel="1">
      <c r="B692" s="1443"/>
      <c r="C692" s="1008"/>
      <c r="D692" s="252" t="s">
        <v>272</v>
      </c>
      <c r="E692" s="1009"/>
      <c r="F692" s="1010" t="s">
        <v>77</v>
      </c>
    </row>
    <row r="693" spans="2:6" ht="60" outlineLevel="1">
      <c r="B693" s="1443"/>
      <c r="C693" s="1008"/>
      <c r="D693" s="252" t="s">
        <v>239</v>
      </c>
      <c r="E693" s="1009"/>
      <c r="F693" s="1010" t="s">
        <v>77</v>
      </c>
    </row>
    <row r="694" spans="2:6" outlineLevel="1">
      <c r="B694" s="1443"/>
      <c r="C694" s="1008"/>
      <c r="D694" s="252" t="s">
        <v>267</v>
      </c>
      <c r="E694" s="1009"/>
      <c r="F694" s="1010" t="s">
        <v>77</v>
      </c>
    </row>
    <row r="695" spans="2:6" ht="72" outlineLevel="1">
      <c r="B695" s="1444"/>
      <c r="C695" s="1008"/>
      <c r="D695" s="252" t="s">
        <v>1177</v>
      </c>
      <c r="E695" s="1009"/>
      <c r="F695" s="1010" t="s">
        <v>77</v>
      </c>
    </row>
    <row r="696" spans="2:6" ht="21" customHeight="1">
      <c r="B696" s="1445" t="s">
        <v>844</v>
      </c>
      <c r="C696" s="1446"/>
      <c r="D696" s="1446"/>
      <c r="E696" s="1446"/>
      <c r="F696" s="1446"/>
    </row>
    <row r="697" spans="2:6" ht="127.5">
      <c r="B697" s="1442">
        <v>43</v>
      </c>
      <c r="C697" s="1005" t="s">
        <v>1449</v>
      </c>
      <c r="D697" s="251" t="s">
        <v>967</v>
      </c>
      <c r="E697" s="1006" t="s">
        <v>1450</v>
      </c>
      <c r="F697" s="1007" t="s">
        <v>1451</v>
      </c>
    </row>
    <row r="698" spans="2:6" ht="60" outlineLevel="1">
      <c r="B698" s="1443"/>
      <c r="C698" s="1008"/>
      <c r="D698" s="252" t="s">
        <v>264</v>
      </c>
      <c r="E698" s="1009"/>
      <c r="F698" s="1010" t="s">
        <v>77</v>
      </c>
    </row>
    <row r="699" spans="2:6" ht="48" outlineLevel="1">
      <c r="B699" s="1443"/>
      <c r="C699" s="1008"/>
      <c r="D699" s="252" t="s">
        <v>265</v>
      </c>
      <c r="E699" s="1009"/>
      <c r="F699" s="1010" t="s">
        <v>77</v>
      </c>
    </row>
    <row r="700" spans="2:6" outlineLevel="1">
      <c r="B700" s="1443"/>
      <c r="C700" s="1008"/>
      <c r="D700" s="252" t="s">
        <v>219</v>
      </c>
      <c r="E700" s="1009"/>
      <c r="F700" s="1010" t="s">
        <v>77</v>
      </c>
    </row>
    <row r="701" spans="2:6" ht="72" outlineLevel="1">
      <c r="B701" s="1443"/>
      <c r="C701" s="1008"/>
      <c r="D701" s="252" t="s">
        <v>1183</v>
      </c>
      <c r="E701" s="1009"/>
      <c r="F701" s="1010" t="s">
        <v>77</v>
      </c>
    </row>
    <row r="702" spans="2:6" outlineLevel="1">
      <c r="B702" s="1443"/>
      <c r="C702" s="1008"/>
      <c r="D702" s="252" t="s">
        <v>1259</v>
      </c>
      <c r="E702" s="1009"/>
      <c r="F702" s="1010" t="s">
        <v>1452</v>
      </c>
    </row>
    <row r="703" spans="2:6" outlineLevel="1">
      <c r="B703" s="1443"/>
      <c r="C703" s="1008"/>
      <c r="D703" s="252" t="s">
        <v>1375</v>
      </c>
      <c r="E703" s="1009"/>
      <c r="F703" s="1010" t="s">
        <v>1452</v>
      </c>
    </row>
    <row r="704" spans="2:6" ht="24" outlineLevel="1">
      <c r="B704" s="1443"/>
      <c r="C704" s="1008"/>
      <c r="D704" s="252" t="s">
        <v>1376</v>
      </c>
      <c r="E704" s="1009"/>
      <c r="F704" s="1010" t="s">
        <v>1453</v>
      </c>
    </row>
    <row r="705" spans="2:6" ht="24" outlineLevel="1">
      <c r="B705" s="1443"/>
      <c r="C705" s="1008"/>
      <c r="D705" s="252" t="s">
        <v>1378</v>
      </c>
      <c r="E705" s="1009"/>
      <c r="F705" s="1010" t="s">
        <v>1452</v>
      </c>
    </row>
    <row r="706" spans="2:6" ht="24" outlineLevel="1">
      <c r="B706" s="1443"/>
      <c r="C706" s="1008"/>
      <c r="D706" s="252" t="s">
        <v>1379</v>
      </c>
      <c r="E706" s="1009"/>
      <c r="F706" s="1010" t="s">
        <v>1454</v>
      </c>
    </row>
    <row r="707" spans="2:6" ht="24" outlineLevel="1">
      <c r="B707" s="1443"/>
      <c r="C707" s="1008"/>
      <c r="D707" s="252" t="s">
        <v>1380</v>
      </c>
      <c r="E707" s="1009"/>
      <c r="F707" s="1010" t="s">
        <v>1455</v>
      </c>
    </row>
    <row r="708" spans="2:6" ht="24" outlineLevel="1">
      <c r="B708" s="1443"/>
      <c r="C708" s="1008"/>
      <c r="D708" s="252" t="s">
        <v>1382</v>
      </c>
      <c r="E708" s="1009"/>
      <c r="F708" s="1010" t="s">
        <v>1456</v>
      </c>
    </row>
    <row r="709" spans="2:6" outlineLevel="1">
      <c r="B709" s="1443"/>
      <c r="C709" s="1008"/>
      <c r="D709" s="252" t="s">
        <v>1253</v>
      </c>
      <c r="E709" s="1009"/>
      <c r="F709" s="1010" t="s">
        <v>1457</v>
      </c>
    </row>
    <row r="710" spans="2:6" ht="60" outlineLevel="1">
      <c r="B710" s="1443"/>
      <c r="C710" s="1008"/>
      <c r="D710" s="252" t="s">
        <v>1385</v>
      </c>
      <c r="E710" s="1009"/>
      <c r="F710" s="1010" t="s">
        <v>1458</v>
      </c>
    </row>
    <row r="711" spans="2:6" ht="60" outlineLevel="1">
      <c r="B711" s="1443"/>
      <c r="C711" s="1008"/>
      <c r="D711" s="252" t="s">
        <v>1387</v>
      </c>
      <c r="E711" s="1009"/>
      <c r="F711" s="1010" t="s">
        <v>1459</v>
      </c>
    </row>
    <row r="712" spans="2:6" ht="60" outlineLevel="1">
      <c r="B712" s="1443"/>
      <c r="C712" s="1008"/>
      <c r="D712" s="252" t="s">
        <v>1389</v>
      </c>
      <c r="E712" s="1009"/>
      <c r="F712" s="1010" t="s">
        <v>1460</v>
      </c>
    </row>
    <row r="713" spans="2:6" ht="60" outlineLevel="1">
      <c r="B713" s="1443"/>
      <c r="C713" s="1008"/>
      <c r="D713" s="252" t="s">
        <v>1390</v>
      </c>
      <c r="E713" s="1009"/>
      <c r="F713" s="1010" t="s">
        <v>1461</v>
      </c>
    </row>
    <row r="714" spans="2:6" ht="60" outlineLevel="1">
      <c r="B714" s="1443"/>
      <c r="C714" s="1008"/>
      <c r="D714" s="252" t="s">
        <v>1392</v>
      </c>
      <c r="E714" s="1009"/>
      <c r="F714" s="1010" t="s">
        <v>1462</v>
      </c>
    </row>
    <row r="715" spans="2:6" ht="60" outlineLevel="1">
      <c r="B715" s="1443"/>
      <c r="C715" s="1008"/>
      <c r="D715" s="252" t="s">
        <v>1394</v>
      </c>
      <c r="E715" s="1009"/>
      <c r="F715" s="1010" t="s">
        <v>1461</v>
      </c>
    </row>
    <row r="716" spans="2:6" ht="60" outlineLevel="1">
      <c r="B716" s="1443"/>
      <c r="C716" s="1008"/>
      <c r="D716" s="252" t="s">
        <v>1395</v>
      </c>
      <c r="E716" s="1009"/>
      <c r="F716" s="1010" t="s">
        <v>1460</v>
      </c>
    </row>
    <row r="717" spans="2:6" outlineLevel="1">
      <c r="B717" s="1444"/>
      <c r="C717" s="1008"/>
      <c r="D717" s="252" t="s">
        <v>220</v>
      </c>
      <c r="E717" s="1009"/>
      <c r="F717" s="1010"/>
    </row>
    <row r="718" spans="2:6" ht="21" customHeight="1">
      <c r="B718" s="1445" t="s">
        <v>1463</v>
      </c>
      <c r="C718" s="1446"/>
      <c r="D718" s="1446"/>
      <c r="E718" s="1446"/>
      <c r="F718" s="1446"/>
    </row>
    <row r="719" spans="2:6" ht="38.25">
      <c r="B719" s="1442">
        <v>44</v>
      </c>
      <c r="C719" s="1005" t="s">
        <v>1464</v>
      </c>
      <c r="D719" s="251" t="s">
        <v>836</v>
      </c>
      <c r="E719" s="1006" t="s">
        <v>1465</v>
      </c>
      <c r="F719" s="1007" t="s">
        <v>1466</v>
      </c>
    </row>
    <row r="720" spans="2:6" ht="36" outlineLevel="1">
      <c r="B720" s="1443"/>
      <c r="C720" s="1008"/>
      <c r="D720" s="252" t="s">
        <v>272</v>
      </c>
      <c r="E720" s="1009"/>
      <c r="F720" s="1010" t="s">
        <v>77</v>
      </c>
    </row>
    <row r="721" spans="2:6" ht="60" outlineLevel="1">
      <c r="B721" s="1443"/>
      <c r="C721" s="1008"/>
      <c r="D721" s="252" t="s">
        <v>239</v>
      </c>
      <c r="E721" s="1009"/>
      <c r="F721" s="1010" t="s">
        <v>77</v>
      </c>
    </row>
    <row r="722" spans="2:6" outlineLevel="1">
      <c r="B722" s="1443"/>
      <c r="C722" s="1008"/>
      <c r="D722" s="252" t="s">
        <v>267</v>
      </c>
      <c r="E722" s="1009"/>
      <c r="F722" s="1010" t="s">
        <v>77</v>
      </c>
    </row>
    <row r="723" spans="2:6" ht="72" outlineLevel="1">
      <c r="B723" s="1444"/>
      <c r="C723" s="1008"/>
      <c r="D723" s="252" t="s">
        <v>1177</v>
      </c>
      <c r="E723" s="1009"/>
      <c r="F723" s="1010" t="s">
        <v>77</v>
      </c>
    </row>
    <row r="724" spans="2:6" ht="27.95" customHeight="1">
      <c r="B724" s="1445" t="s">
        <v>1467</v>
      </c>
      <c r="C724" s="1446"/>
      <c r="D724" s="1446"/>
      <c r="E724" s="1446"/>
      <c r="F724" s="1446"/>
    </row>
    <row r="725" spans="2:6" ht="63.75">
      <c r="B725" s="1442">
        <v>45</v>
      </c>
      <c r="C725" s="1005" t="s">
        <v>1468</v>
      </c>
      <c r="D725" s="251" t="s">
        <v>827</v>
      </c>
      <c r="E725" s="1006" t="s">
        <v>1469</v>
      </c>
      <c r="F725" s="1007" t="s">
        <v>1470</v>
      </c>
    </row>
    <row r="726" spans="2:6" ht="36" outlineLevel="1">
      <c r="B726" s="1443"/>
      <c r="C726" s="1008"/>
      <c r="D726" s="252" t="s">
        <v>274</v>
      </c>
      <c r="E726" s="1009"/>
      <c r="F726" s="1010" t="s">
        <v>77</v>
      </c>
    </row>
    <row r="727" spans="2:6" ht="24" outlineLevel="1">
      <c r="B727" s="1443"/>
      <c r="C727" s="1008"/>
      <c r="D727" s="252" t="s">
        <v>275</v>
      </c>
      <c r="E727" s="1009"/>
      <c r="F727" s="1010" t="s">
        <v>77</v>
      </c>
    </row>
    <row r="728" spans="2:6" ht="72" outlineLevel="1">
      <c r="B728" s="1443"/>
      <c r="C728" s="1008"/>
      <c r="D728" s="252" t="s">
        <v>276</v>
      </c>
      <c r="E728" s="1009"/>
      <c r="F728" s="1010" t="s">
        <v>77</v>
      </c>
    </row>
    <row r="729" spans="2:6" ht="48" outlineLevel="1">
      <c r="B729" s="1443"/>
      <c r="C729" s="1008"/>
      <c r="D729" s="252" t="s">
        <v>277</v>
      </c>
      <c r="E729" s="1009"/>
      <c r="F729" s="1010" t="s">
        <v>77</v>
      </c>
    </row>
    <row r="730" spans="2:6" ht="24" outlineLevel="1">
      <c r="B730" s="1443"/>
      <c r="C730" s="1008"/>
      <c r="D730" s="252" t="s">
        <v>278</v>
      </c>
      <c r="E730" s="1009"/>
      <c r="F730" s="1010" t="s">
        <v>77</v>
      </c>
    </row>
    <row r="731" spans="2:6" ht="48" outlineLevel="1">
      <c r="B731" s="1443"/>
      <c r="C731" s="1008"/>
      <c r="D731" s="252" t="s">
        <v>1471</v>
      </c>
      <c r="E731" s="1009"/>
      <c r="F731" s="1010" t="s">
        <v>77</v>
      </c>
    </row>
    <row r="732" spans="2:6" ht="48" outlineLevel="1">
      <c r="B732" s="1443"/>
      <c r="C732" s="1008"/>
      <c r="D732" s="252" t="s">
        <v>1472</v>
      </c>
      <c r="E732" s="1009"/>
      <c r="F732" s="1010" t="s">
        <v>1473</v>
      </c>
    </row>
    <row r="733" spans="2:6" ht="24" outlineLevel="1">
      <c r="B733" s="1443"/>
      <c r="C733" s="1008"/>
      <c r="D733" s="252" t="s">
        <v>1474</v>
      </c>
      <c r="E733" s="1009"/>
      <c r="F733" s="1010" t="s">
        <v>1475</v>
      </c>
    </row>
    <row r="734" spans="2:6" outlineLevel="1">
      <c r="B734" s="1443"/>
      <c r="C734" s="1008"/>
      <c r="D734" s="252" t="s">
        <v>1476</v>
      </c>
      <c r="E734" s="1009"/>
      <c r="F734" s="1010" t="s">
        <v>1477</v>
      </c>
    </row>
    <row r="735" spans="2:6" outlineLevel="1">
      <c r="B735" s="1443"/>
      <c r="C735" s="1008"/>
      <c r="D735" s="252" t="s">
        <v>1478</v>
      </c>
      <c r="E735" s="1009"/>
      <c r="F735" s="1010"/>
    </row>
    <row r="736" spans="2:6" outlineLevel="1">
      <c r="B736" s="1444"/>
      <c r="C736" s="1008"/>
      <c r="D736" s="252" t="s">
        <v>220</v>
      </c>
      <c r="E736" s="1009"/>
      <c r="F736" s="1010"/>
    </row>
    <row r="737" spans="2:6" ht="63.75">
      <c r="B737" s="1442">
        <v>46</v>
      </c>
      <c r="C737" s="1005" t="s">
        <v>828</v>
      </c>
      <c r="D737" s="251" t="s">
        <v>829</v>
      </c>
      <c r="E737" s="1006" t="s">
        <v>1479</v>
      </c>
      <c r="F737" s="1007" t="s">
        <v>1480</v>
      </c>
    </row>
    <row r="738" spans="2:6" ht="36" outlineLevel="1">
      <c r="B738" s="1443"/>
      <c r="C738" s="1008"/>
      <c r="D738" s="252" t="s">
        <v>274</v>
      </c>
      <c r="E738" s="1009"/>
      <c r="F738" s="1010" t="s">
        <v>77</v>
      </c>
    </row>
    <row r="739" spans="2:6" ht="24" outlineLevel="1">
      <c r="B739" s="1443"/>
      <c r="C739" s="1008"/>
      <c r="D739" s="252" t="s">
        <v>275</v>
      </c>
      <c r="E739" s="1009"/>
      <c r="F739" s="1010" t="s">
        <v>77</v>
      </c>
    </row>
    <row r="740" spans="2:6" ht="72" outlineLevel="1">
      <c r="B740" s="1443"/>
      <c r="C740" s="1008"/>
      <c r="D740" s="252" t="s">
        <v>276</v>
      </c>
      <c r="E740" s="1009"/>
      <c r="F740" s="1010" t="s">
        <v>77</v>
      </c>
    </row>
    <row r="741" spans="2:6" ht="48" outlineLevel="1">
      <c r="B741" s="1443"/>
      <c r="C741" s="1008"/>
      <c r="D741" s="252" t="s">
        <v>277</v>
      </c>
      <c r="E741" s="1009"/>
      <c r="F741" s="1010" t="s">
        <v>77</v>
      </c>
    </row>
    <row r="742" spans="2:6" ht="24" outlineLevel="1">
      <c r="B742" s="1443"/>
      <c r="C742" s="1008"/>
      <c r="D742" s="252" t="s">
        <v>278</v>
      </c>
      <c r="E742" s="1009"/>
      <c r="F742" s="1010" t="s">
        <v>77</v>
      </c>
    </row>
    <row r="743" spans="2:6" ht="48" outlineLevel="1">
      <c r="B743" s="1443"/>
      <c r="C743" s="1008"/>
      <c r="D743" s="252" t="s">
        <v>1471</v>
      </c>
      <c r="E743" s="1009"/>
      <c r="F743" s="1010" t="s">
        <v>77</v>
      </c>
    </row>
    <row r="744" spans="2:6" ht="48" outlineLevel="1">
      <c r="B744" s="1443"/>
      <c r="C744" s="1008"/>
      <c r="D744" s="252" t="s">
        <v>1472</v>
      </c>
      <c r="E744" s="1009"/>
      <c r="F744" s="1010" t="s">
        <v>1481</v>
      </c>
    </row>
    <row r="745" spans="2:6" ht="24" outlineLevel="1">
      <c r="B745" s="1443"/>
      <c r="C745" s="1008"/>
      <c r="D745" s="252" t="s">
        <v>1474</v>
      </c>
      <c r="E745" s="1009"/>
      <c r="F745" s="1010" t="s">
        <v>1482</v>
      </c>
    </row>
    <row r="746" spans="2:6" outlineLevel="1">
      <c r="B746" s="1443"/>
      <c r="C746" s="1008"/>
      <c r="D746" s="252" t="s">
        <v>1476</v>
      </c>
      <c r="E746" s="1009"/>
      <c r="F746" s="1010">
        <v>440</v>
      </c>
    </row>
    <row r="747" spans="2:6" outlineLevel="1">
      <c r="B747" s="1443"/>
      <c r="C747" s="1008"/>
      <c r="D747" s="252" t="s">
        <v>1478</v>
      </c>
      <c r="E747" s="1009"/>
      <c r="F747" s="1010"/>
    </row>
    <row r="748" spans="2:6" outlineLevel="1">
      <c r="B748" s="1444"/>
      <c r="C748" s="1008"/>
      <c r="D748" s="252" t="s">
        <v>220</v>
      </c>
      <c r="E748" s="1009"/>
      <c r="F748" s="1010"/>
    </row>
    <row r="749" spans="2:6" ht="21" customHeight="1">
      <c r="B749" s="1445" t="s">
        <v>1483</v>
      </c>
      <c r="C749" s="1446"/>
      <c r="D749" s="1446"/>
      <c r="E749" s="1446"/>
      <c r="F749" s="1446"/>
    </row>
    <row r="750" spans="2:6" ht="51">
      <c r="B750" s="1442">
        <v>47</v>
      </c>
      <c r="C750" s="1005" t="s">
        <v>1484</v>
      </c>
      <c r="D750" s="251" t="s">
        <v>1444</v>
      </c>
      <c r="E750" s="1006" t="s">
        <v>1485</v>
      </c>
      <c r="F750" s="1007" t="s">
        <v>1486</v>
      </c>
    </row>
    <row r="751" spans="2:6" ht="36" outlineLevel="1">
      <c r="B751" s="1443"/>
      <c r="C751" s="1008"/>
      <c r="D751" s="252" t="s">
        <v>280</v>
      </c>
      <c r="E751" s="1009"/>
      <c r="F751" s="1010" t="s">
        <v>77</v>
      </c>
    </row>
    <row r="752" spans="2:6" outlineLevel="1">
      <c r="B752" s="1443"/>
      <c r="C752" s="1008"/>
      <c r="D752" s="252" t="s">
        <v>267</v>
      </c>
      <c r="E752" s="1009"/>
      <c r="F752" s="1010" t="s">
        <v>77</v>
      </c>
    </row>
    <row r="753" spans="2:6" ht="60" outlineLevel="1">
      <c r="B753" s="1443"/>
      <c r="C753" s="1008"/>
      <c r="D753" s="252" t="s">
        <v>239</v>
      </c>
      <c r="E753" s="1009"/>
      <c r="F753" s="1010" t="s">
        <v>77</v>
      </c>
    </row>
    <row r="754" spans="2:6" ht="72" outlineLevel="1">
      <c r="B754" s="1444"/>
      <c r="C754" s="1008"/>
      <c r="D754" s="252" t="s">
        <v>1177</v>
      </c>
      <c r="E754" s="1009"/>
      <c r="F754" s="1010" t="s">
        <v>77</v>
      </c>
    </row>
    <row r="755" spans="2:6" ht="21" customHeight="1">
      <c r="B755" s="1445" t="s">
        <v>970</v>
      </c>
      <c r="C755" s="1446"/>
      <c r="D755" s="1446"/>
      <c r="E755" s="1446"/>
      <c r="F755" s="1446"/>
    </row>
    <row r="756" spans="2:6" ht="114.75">
      <c r="B756" s="1442">
        <v>48</v>
      </c>
      <c r="C756" s="1005" t="s">
        <v>1487</v>
      </c>
      <c r="D756" s="251" t="s">
        <v>279</v>
      </c>
      <c r="E756" s="1006" t="s">
        <v>1488</v>
      </c>
      <c r="F756" s="1007" t="s">
        <v>1489</v>
      </c>
    </row>
    <row r="757" spans="2:6" ht="36" outlineLevel="1">
      <c r="B757" s="1443"/>
      <c r="C757" s="1008"/>
      <c r="D757" s="252" t="s">
        <v>280</v>
      </c>
      <c r="E757" s="1009"/>
      <c r="F757" s="1010" t="s">
        <v>77</v>
      </c>
    </row>
    <row r="758" spans="2:6" ht="60" outlineLevel="1">
      <c r="B758" s="1443"/>
      <c r="C758" s="1008"/>
      <c r="D758" s="252" t="s">
        <v>239</v>
      </c>
      <c r="E758" s="1009"/>
      <c r="F758" s="1010" t="s">
        <v>77</v>
      </c>
    </row>
    <row r="759" spans="2:6" outlineLevel="1">
      <c r="B759" s="1443"/>
      <c r="C759" s="1008"/>
      <c r="D759" s="252" t="s">
        <v>799</v>
      </c>
      <c r="E759" s="1009"/>
      <c r="F759" s="1010" t="s">
        <v>77</v>
      </c>
    </row>
    <row r="760" spans="2:6" ht="72" outlineLevel="1">
      <c r="B760" s="1444"/>
      <c r="C760" s="1008"/>
      <c r="D760" s="252" t="s">
        <v>1177</v>
      </c>
      <c r="E760" s="1009"/>
      <c r="F760" s="1010" t="s">
        <v>77</v>
      </c>
    </row>
    <row r="761" spans="2:6" ht="21" customHeight="1">
      <c r="B761" s="1445" t="s">
        <v>911</v>
      </c>
      <c r="C761" s="1446"/>
      <c r="D761" s="1446"/>
      <c r="E761" s="1446"/>
      <c r="F761" s="1446"/>
    </row>
    <row r="762" spans="2:6" ht="51">
      <c r="B762" s="1442">
        <v>49</v>
      </c>
      <c r="C762" s="1005" t="s">
        <v>1490</v>
      </c>
      <c r="D762" s="251" t="s">
        <v>281</v>
      </c>
      <c r="E762" s="1006" t="s">
        <v>1491</v>
      </c>
      <c r="F762" s="1007" t="s">
        <v>1492</v>
      </c>
    </row>
    <row r="763" spans="2:6" ht="36" outlineLevel="1">
      <c r="B763" s="1443"/>
      <c r="C763" s="1008"/>
      <c r="D763" s="252" t="s">
        <v>272</v>
      </c>
      <c r="E763" s="1009"/>
      <c r="F763" s="1010" t="s">
        <v>77</v>
      </c>
    </row>
    <row r="764" spans="2:6" ht="60" outlineLevel="1">
      <c r="B764" s="1443"/>
      <c r="C764" s="1008"/>
      <c r="D764" s="252" t="s">
        <v>239</v>
      </c>
      <c r="E764" s="1009"/>
      <c r="F764" s="1010" t="s">
        <v>77</v>
      </c>
    </row>
    <row r="765" spans="2:6" outlineLevel="1">
      <c r="B765" s="1443"/>
      <c r="C765" s="1008"/>
      <c r="D765" s="252" t="s">
        <v>267</v>
      </c>
      <c r="E765" s="1009"/>
      <c r="F765" s="1010" t="s">
        <v>77</v>
      </c>
    </row>
    <row r="766" spans="2:6" ht="72" outlineLevel="1">
      <c r="B766" s="1444"/>
      <c r="C766" s="1008"/>
      <c r="D766" s="252" t="s">
        <v>1177</v>
      </c>
      <c r="E766" s="1009"/>
      <c r="F766" s="1010" t="s">
        <v>77</v>
      </c>
    </row>
    <row r="767" spans="2:6" ht="21" customHeight="1">
      <c r="B767" s="1445" t="s">
        <v>913</v>
      </c>
      <c r="C767" s="1446"/>
      <c r="D767" s="1446"/>
      <c r="E767" s="1446"/>
      <c r="F767" s="1446"/>
    </row>
    <row r="768" spans="2:6" ht="114.75">
      <c r="B768" s="1442">
        <v>50</v>
      </c>
      <c r="C768" s="1005" t="s">
        <v>1493</v>
      </c>
      <c r="D768" s="251" t="s">
        <v>279</v>
      </c>
      <c r="E768" s="1006" t="s">
        <v>1494</v>
      </c>
      <c r="F768" s="1007" t="s">
        <v>1495</v>
      </c>
    </row>
    <row r="769" spans="2:6" ht="36" outlineLevel="1">
      <c r="B769" s="1443"/>
      <c r="C769" s="1008"/>
      <c r="D769" s="252" t="s">
        <v>280</v>
      </c>
      <c r="E769" s="1009"/>
      <c r="F769" s="1010" t="s">
        <v>77</v>
      </c>
    </row>
    <row r="770" spans="2:6" ht="60" outlineLevel="1">
      <c r="B770" s="1443"/>
      <c r="C770" s="1008"/>
      <c r="D770" s="252" t="s">
        <v>239</v>
      </c>
      <c r="E770" s="1009"/>
      <c r="F770" s="1010" t="s">
        <v>77</v>
      </c>
    </row>
    <row r="771" spans="2:6" outlineLevel="1">
      <c r="B771" s="1443"/>
      <c r="C771" s="1008"/>
      <c r="D771" s="252" t="s">
        <v>799</v>
      </c>
      <c r="E771" s="1009"/>
      <c r="F771" s="1010" t="s">
        <v>77</v>
      </c>
    </row>
    <row r="772" spans="2:6" ht="72" outlineLevel="1">
      <c r="B772" s="1444"/>
      <c r="C772" s="1008"/>
      <c r="D772" s="252" t="s">
        <v>1177</v>
      </c>
      <c r="E772" s="1009"/>
      <c r="F772" s="1010" t="s">
        <v>77</v>
      </c>
    </row>
    <row r="773" spans="2:6" ht="21" customHeight="1">
      <c r="B773" s="1445" t="s">
        <v>830</v>
      </c>
      <c r="C773" s="1446"/>
      <c r="D773" s="1446"/>
      <c r="E773" s="1446"/>
      <c r="F773" s="1446"/>
    </row>
    <row r="774" spans="2:6" ht="63.75">
      <c r="B774" s="1442">
        <v>51</v>
      </c>
      <c r="C774" s="1005" t="s">
        <v>1496</v>
      </c>
      <c r="D774" s="251" t="s">
        <v>831</v>
      </c>
      <c r="E774" s="1006" t="s">
        <v>1497</v>
      </c>
      <c r="F774" s="1007" t="s">
        <v>1498</v>
      </c>
    </row>
    <row r="775" spans="2:6" ht="36" outlineLevel="1">
      <c r="B775" s="1443"/>
      <c r="C775" s="1008"/>
      <c r="D775" s="252" t="s">
        <v>280</v>
      </c>
      <c r="E775" s="1009"/>
      <c r="F775" s="1010" t="s">
        <v>77</v>
      </c>
    </row>
    <row r="776" spans="2:6" ht="60" outlineLevel="1">
      <c r="B776" s="1443"/>
      <c r="C776" s="1008"/>
      <c r="D776" s="252" t="s">
        <v>239</v>
      </c>
      <c r="E776" s="1009"/>
      <c r="F776" s="1010" t="s">
        <v>77</v>
      </c>
    </row>
    <row r="777" spans="2:6" outlineLevel="1">
      <c r="B777" s="1443"/>
      <c r="C777" s="1008"/>
      <c r="D777" s="252" t="s">
        <v>267</v>
      </c>
      <c r="E777" s="1009"/>
      <c r="F777" s="1010" t="s">
        <v>77</v>
      </c>
    </row>
    <row r="778" spans="2:6" ht="72" outlineLevel="1">
      <c r="B778" s="1443"/>
      <c r="C778" s="1008"/>
      <c r="D778" s="252" t="s">
        <v>1183</v>
      </c>
      <c r="E778" s="1009"/>
      <c r="F778" s="1010" t="s">
        <v>77</v>
      </c>
    </row>
    <row r="779" spans="2:6" outlineLevel="1">
      <c r="B779" s="1443"/>
      <c r="C779" s="1008"/>
      <c r="D779" s="252" t="s">
        <v>1259</v>
      </c>
      <c r="E779" s="1009"/>
      <c r="F779" s="1010">
        <v>226</v>
      </c>
    </row>
    <row r="780" spans="2:6" ht="24" outlineLevel="1">
      <c r="B780" s="1443"/>
      <c r="C780" s="1008"/>
      <c r="D780" s="252" t="s">
        <v>1261</v>
      </c>
      <c r="E780" s="1009"/>
      <c r="F780" s="1010">
        <v>226</v>
      </c>
    </row>
    <row r="781" spans="2:6" outlineLevel="1">
      <c r="B781" s="1443"/>
      <c r="C781" s="1008"/>
      <c r="D781" s="252" t="s">
        <v>1311</v>
      </c>
      <c r="E781" s="1009"/>
      <c r="F781" s="1010">
        <v>679</v>
      </c>
    </row>
    <row r="782" spans="2:6" ht="24" outlineLevel="1">
      <c r="B782" s="1443"/>
      <c r="C782" s="1008"/>
      <c r="D782" s="252" t="s">
        <v>1499</v>
      </c>
      <c r="E782" s="1009"/>
      <c r="F782" s="1010" t="s">
        <v>1500</v>
      </c>
    </row>
    <row r="783" spans="2:6" outlineLevel="1">
      <c r="B783" s="1443"/>
      <c r="C783" s="1008"/>
      <c r="D783" s="252" t="s">
        <v>1501</v>
      </c>
      <c r="E783" s="1009"/>
      <c r="F783" s="1010" t="s">
        <v>1502</v>
      </c>
    </row>
    <row r="784" spans="2:6" outlineLevel="1">
      <c r="B784" s="1443"/>
      <c r="C784" s="1008"/>
      <c r="D784" s="252" t="s">
        <v>1503</v>
      </c>
      <c r="E784" s="1009"/>
      <c r="F784" s="1010">
        <v>226</v>
      </c>
    </row>
    <row r="785" spans="2:6" outlineLevel="1">
      <c r="B785" s="1443"/>
      <c r="C785" s="1008"/>
      <c r="D785" s="252" t="s">
        <v>1504</v>
      </c>
      <c r="E785" s="1009"/>
      <c r="F785" s="1010">
        <v>226</v>
      </c>
    </row>
    <row r="786" spans="2:6" ht="24" outlineLevel="1">
      <c r="B786" s="1443"/>
      <c r="C786" s="1008"/>
      <c r="D786" s="252" t="s">
        <v>1505</v>
      </c>
      <c r="E786" s="1009"/>
      <c r="F786" s="1010" t="s">
        <v>1506</v>
      </c>
    </row>
    <row r="787" spans="2:6" outlineLevel="1">
      <c r="B787" s="1443"/>
      <c r="C787" s="1008"/>
      <c r="D787" s="252" t="s">
        <v>1507</v>
      </c>
      <c r="E787" s="1009"/>
      <c r="F787" s="1010">
        <v>226</v>
      </c>
    </row>
    <row r="788" spans="2:6" outlineLevel="1">
      <c r="B788" s="1443"/>
      <c r="C788" s="1008"/>
      <c r="D788" s="252" t="s">
        <v>1508</v>
      </c>
      <c r="E788" s="1009"/>
      <c r="F788" s="1010">
        <v>113</v>
      </c>
    </row>
    <row r="789" spans="2:6" outlineLevel="1">
      <c r="B789" s="1443"/>
      <c r="C789" s="1008"/>
      <c r="D789" s="252" t="s">
        <v>1509</v>
      </c>
      <c r="E789" s="1009"/>
      <c r="F789" s="1010" t="s">
        <v>1510</v>
      </c>
    </row>
    <row r="790" spans="2:6" ht="24" outlineLevel="1">
      <c r="B790" s="1443"/>
      <c r="C790" s="1008"/>
      <c r="D790" s="252" t="s">
        <v>1315</v>
      </c>
      <c r="E790" s="1009"/>
      <c r="F790" s="1010">
        <v>340</v>
      </c>
    </row>
    <row r="791" spans="2:6" outlineLevel="1">
      <c r="B791" s="1443"/>
      <c r="C791" s="1008"/>
      <c r="D791" s="252" t="s">
        <v>1317</v>
      </c>
      <c r="E791" s="1009"/>
      <c r="F791" s="1010" t="s">
        <v>1511</v>
      </c>
    </row>
    <row r="792" spans="2:6" ht="24" outlineLevel="1">
      <c r="B792" s="1443"/>
      <c r="C792" s="1008"/>
      <c r="D792" s="252" t="s">
        <v>1319</v>
      </c>
      <c r="E792" s="1009"/>
      <c r="F792" s="1010">
        <v>679</v>
      </c>
    </row>
    <row r="793" spans="2:6" ht="24" outlineLevel="1">
      <c r="B793" s="1443"/>
      <c r="C793" s="1008"/>
      <c r="D793" s="252" t="s">
        <v>1512</v>
      </c>
      <c r="E793" s="1009"/>
      <c r="F793" s="1010">
        <v>113</v>
      </c>
    </row>
    <row r="794" spans="2:6" outlineLevel="1">
      <c r="B794" s="1443"/>
      <c r="C794" s="1008"/>
      <c r="D794" s="252" t="s">
        <v>1200</v>
      </c>
      <c r="E794" s="1009"/>
      <c r="F794" s="1010">
        <v>906</v>
      </c>
    </row>
    <row r="795" spans="2:6" outlineLevel="1">
      <c r="B795" s="1444"/>
      <c r="C795" s="1008"/>
      <c r="D795" s="252" t="s">
        <v>220</v>
      </c>
      <c r="E795" s="1009"/>
      <c r="F795" s="1010"/>
    </row>
    <row r="796" spans="2:6" ht="27.95" customHeight="1">
      <c r="B796" s="1445" t="s">
        <v>1513</v>
      </c>
      <c r="C796" s="1446"/>
      <c r="D796" s="1446"/>
      <c r="E796" s="1446"/>
      <c r="F796" s="1446"/>
    </row>
    <row r="797" spans="2:6" ht="76.5">
      <c r="B797" s="1442">
        <v>52</v>
      </c>
      <c r="C797" s="1005" t="s">
        <v>1514</v>
      </c>
      <c r="D797" s="251" t="s">
        <v>833</v>
      </c>
      <c r="E797" s="1006" t="s">
        <v>1515</v>
      </c>
      <c r="F797" s="1007">
        <v>885</v>
      </c>
    </row>
    <row r="798" spans="2:6" ht="36" outlineLevel="1">
      <c r="B798" s="1443"/>
      <c r="C798" s="1008"/>
      <c r="D798" s="252" t="s">
        <v>280</v>
      </c>
      <c r="E798" s="1009"/>
      <c r="F798" s="1010" t="s">
        <v>77</v>
      </c>
    </row>
    <row r="799" spans="2:6" ht="60" outlineLevel="1">
      <c r="B799" s="1443"/>
      <c r="C799" s="1008"/>
      <c r="D799" s="252" t="s">
        <v>239</v>
      </c>
      <c r="E799" s="1009"/>
      <c r="F799" s="1010" t="s">
        <v>77</v>
      </c>
    </row>
    <row r="800" spans="2:6" outlineLevel="1">
      <c r="B800" s="1443"/>
      <c r="C800" s="1008"/>
      <c r="D800" s="252" t="s">
        <v>834</v>
      </c>
      <c r="E800" s="1009"/>
      <c r="F800" s="1010" t="s">
        <v>77</v>
      </c>
    </row>
    <row r="801" spans="2:6" ht="72" outlineLevel="1">
      <c r="B801" s="1444"/>
      <c r="C801" s="1008"/>
      <c r="D801" s="252" t="s">
        <v>1177</v>
      </c>
      <c r="E801" s="1009"/>
      <c r="F801" s="1010" t="s">
        <v>77</v>
      </c>
    </row>
    <row r="802" spans="2:6" ht="21" customHeight="1">
      <c r="B802" s="1445" t="s">
        <v>835</v>
      </c>
      <c r="C802" s="1446"/>
      <c r="D802" s="1446"/>
      <c r="E802" s="1446"/>
      <c r="F802" s="1446"/>
    </row>
    <row r="803" spans="2:6" ht="63.75">
      <c r="B803" s="1442">
        <v>53</v>
      </c>
      <c r="C803" s="1005" t="s">
        <v>971</v>
      </c>
      <c r="D803" s="251" t="s">
        <v>831</v>
      </c>
      <c r="E803" s="1006" t="s">
        <v>1516</v>
      </c>
      <c r="F803" s="1007" t="s">
        <v>1517</v>
      </c>
    </row>
    <row r="804" spans="2:6" ht="36" outlineLevel="1">
      <c r="B804" s="1443"/>
      <c r="C804" s="1008"/>
      <c r="D804" s="252" t="s">
        <v>280</v>
      </c>
      <c r="E804" s="1009"/>
      <c r="F804" s="1010" t="s">
        <v>77</v>
      </c>
    </row>
    <row r="805" spans="2:6" ht="60" outlineLevel="1">
      <c r="B805" s="1443"/>
      <c r="C805" s="1008"/>
      <c r="D805" s="252" t="s">
        <v>239</v>
      </c>
      <c r="E805" s="1009"/>
      <c r="F805" s="1010" t="s">
        <v>77</v>
      </c>
    </row>
    <row r="806" spans="2:6" outlineLevel="1">
      <c r="B806" s="1443"/>
      <c r="C806" s="1008"/>
      <c r="D806" s="252" t="s">
        <v>267</v>
      </c>
      <c r="E806" s="1009"/>
      <c r="F806" s="1010" t="s">
        <v>77</v>
      </c>
    </row>
    <row r="807" spans="2:6" ht="72" outlineLevel="1">
      <c r="B807" s="1443"/>
      <c r="C807" s="1008"/>
      <c r="D807" s="252" t="s">
        <v>1183</v>
      </c>
      <c r="E807" s="1009"/>
      <c r="F807" s="1010" t="s">
        <v>77</v>
      </c>
    </row>
    <row r="808" spans="2:6" outlineLevel="1">
      <c r="B808" s="1443"/>
      <c r="C808" s="1008"/>
      <c r="D808" s="252" t="s">
        <v>1259</v>
      </c>
      <c r="E808" s="1009"/>
      <c r="F808" s="1010">
        <v>159</v>
      </c>
    </row>
    <row r="809" spans="2:6" ht="24" outlineLevel="1">
      <c r="B809" s="1443"/>
      <c r="C809" s="1008"/>
      <c r="D809" s="252" t="s">
        <v>1261</v>
      </c>
      <c r="E809" s="1009"/>
      <c r="F809" s="1010">
        <v>159</v>
      </c>
    </row>
    <row r="810" spans="2:6" outlineLevel="1">
      <c r="B810" s="1443"/>
      <c r="C810" s="1008"/>
      <c r="D810" s="252" t="s">
        <v>1311</v>
      </c>
      <c r="E810" s="1009"/>
      <c r="F810" s="1010">
        <v>478</v>
      </c>
    </row>
    <row r="811" spans="2:6" ht="24" outlineLevel="1">
      <c r="B811" s="1443"/>
      <c r="C811" s="1008"/>
      <c r="D811" s="252" t="s">
        <v>1499</v>
      </c>
      <c r="E811" s="1009"/>
      <c r="F811" s="1010">
        <v>956</v>
      </c>
    </row>
    <row r="812" spans="2:6" outlineLevel="1">
      <c r="B812" s="1443"/>
      <c r="C812" s="1008"/>
      <c r="D812" s="252" t="s">
        <v>1501</v>
      </c>
      <c r="E812" s="1009"/>
      <c r="F812" s="1010" t="s">
        <v>1518</v>
      </c>
    </row>
    <row r="813" spans="2:6" outlineLevel="1">
      <c r="B813" s="1443"/>
      <c r="C813" s="1008"/>
      <c r="D813" s="252" t="s">
        <v>1503</v>
      </c>
      <c r="E813" s="1009"/>
      <c r="F813" s="1010">
        <v>159</v>
      </c>
    </row>
    <row r="814" spans="2:6" outlineLevel="1">
      <c r="B814" s="1443"/>
      <c r="C814" s="1008"/>
      <c r="D814" s="252" t="s">
        <v>1504</v>
      </c>
      <c r="E814" s="1009"/>
      <c r="F814" s="1010">
        <v>159</v>
      </c>
    </row>
    <row r="815" spans="2:6" ht="24" outlineLevel="1">
      <c r="B815" s="1443"/>
      <c r="C815" s="1008"/>
      <c r="D815" s="252" t="s">
        <v>1505</v>
      </c>
      <c r="E815" s="1009"/>
      <c r="F815" s="1010">
        <v>797</v>
      </c>
    </row>
    <row r="816" spans="2:6" outlineLevel="1">
      <c r="B816" s="1443"/>
      <c r="C816" s="1008"/>
      <c r="D816" s="252" t="s">
        <v>1507</v>
      </c>
      <c r="E816" s="1009"/>
      <c r="F816" s="1010">
        <v>159</v>
      </c>
    </row>
    <row r="817" spans="2:6" outlineLevel="1">
      <c r="B817" s="1443"/>
      <c r="C817" s="1008"/>
      <c r="D817" s="252" t="s">
        <v>1508</v>
      </c>
      <c r="E817" s="1009"/>
      <c r="F817" s="1010">
        <v>80</v>
      </c>
    </row>
    <row r="818" spans="2:6" outlineLevel="1">
      <c r="B818" s="1443"/>
      <c r="C818" s="1008"/>
      <c r="D818" s="252" t="s">
        <v>1509</v>
      </c>
      <c r="E818" s="1009"/>
      <c r="F818" s="1010" t="s">
        <v>1519</v>
      </c>
    </row>
    <row r="819" spans="2:6" ht="24" outlineLevel="1">
      <c r="B819" s="1443"/>
      <c r="C819" s="1008"/>
      <c r="D819" s="252" t="s">
        <v>1315</v>
      </c>
      <c r="E819" s="1009"/>
      <c r="F819" s="1010">
        <v>239</v>
      </c>
    </row>
    <row r="820" spans="2:6" outlineLevel="1">
      <c r="B820" s="1443"/>
      <c r="C820" s="1008"/>
      <c r="D820" s="252" t="s">
        <v>1317</v>
      </c>
      <c r="E820" s="1009"/>
      <c r="F820" s="1010">
        <v>717</v>
      </c>
    </row>
    <row r="821" spans="2:6" ht="24" outlineLevel="1">
      <c r="B821" s="1443"/>
      <c r="C821" s="1008"/>
      <c r="D821" s="252" t="s">
        <v>1319</v>
      </c>
      <c r="E821" s="1009"/>
      <c r="F821" s="1010">
        <v>478</v>
      </c>
    </row>
    <row r="822" spans="2:6" ht="24" outlineLevel="1">
      <c r="B822" s="1443"/>
      <c r="C822" s="1008"/>
      <c r="D822" s="252" t="s">
        <v>1512</v>
      </c>
      <c r="E822" s="1009"/>
      <c r="F822" s="1010">
        <v>80</v>
      </c>
    </row>
    <row r="823" spans="2:6" outlineLevel="1">
      <c r="B823" s="1443"/>
      <c r="C823" s="1008"/>
      <c r="D823" s="252" t="s">
        <v>1200</v>
      </c>
      <c r="E823" s="1009"/>
      <c r="F823" s="1010">
        <v>637</v>
      </c>
    </row>
    <row r="824" spans="2:6" outlineLevel="1">
      <c r="B824" s="1444"/>
      <c r="C824" s="1008"/>
      <c r="D824" s="252" t="s">
        <v>220</v>
      </c>
      <c r="E824" s="1009"/>
      <c r="F824" s="1010"/>
    </row>
    <row r="825" spans="2:6" ht="21" customHeight="1">
      <c r="B825" s="1445" t="s">
        <v>1520</v>
      </c>
      <c r="C825" s="1446"/>
      <c r="D825" s="1446"/>
      <c r="E825" s="1446"/>
      <c r="F825" s="1446"/>
    </row>
    <row r="826" spans="2:6" ht="63.75">
      <c r="B826" s="1442">
        <v>54</v>
      </c>
      <c r="C826" s="1005" t="s">
        <v>1521</v>
      </c>
      <c r="D826" s="251" t="s">
        <v>271</v>
      </c>
      <c r="E826" s="1006" t="s">
        <v>1522</v>
      </c>
      <c r="F826" s="1007" t="s">
        <v>1523</v>
      </c>
    </row>
    <row r="827" spans="2:6" ht="36" outlineLevel="1">
      <c r="B827" s="1443"/>
      <c r="C827" s="1008"/>
      <c r="D827" s="252" t="s">
        <v>272</v>
      </c>
      <c r="E827" s="1009"/>
      <c r="F827" s="1010" t="s">
        <v>77</v>
      </c>
    </row>
    <row r="828" spans="2:6" ht="60" outlineLevel="1">
      <c r="B828" s="1443"/>
      <c r="C828" s="1008"/>
      <c r="D828" s="252" t="s">
        <v>239</v>
      </c>
      <c r="E828" s="1009"/>
      <c r="F828" s="1010" t="s">
        <v>77</v>
      </c>
    </row>
    <row r="829" spans="2:6" outlineLevel="1">
      <c r="B829" s="1443"/>
      <c r="C829" s="1008"/>
      <c r="D829" s="252" t="s">
        <v>267</v>
      </c>
      <c r="E829" s="1009"/>
      <c r="F829" s="1010" t="s">
        <v>77</v>
      </c>
    </row>
    <row r="830" spans="2:6" ht="48" outlineLevel="1">
      <c r="B830" s="1443"/>
      <c r="C830" s="1008"/>
      <c r="D830" s="252" t="s">
        <v>273</v>
      </c>
      <c r="E830" s="1009"/>
      <c r="F830" s="1010" t="s">
        <v>77</v>
      </c>
    </row>
    <row r="831" spans="2:6" ht="72" outlineLevel="1">
      <c r="B831" s="1444"/>
      <c r="C831" s="1008"/>
      <c r="D831" s="252" t="s">
        <v>1177</v>
      </c>
      <c r="E831" s="1009"/>
      <c r="F831" s="1010" t="s">
        <v>77</v>
      </c>
    </row>
    <row r="832" spans="2:6" ht="27.95" customHeight="1">
      <c r="B832" s="1445" t="s">
        <v>972</v>
      </c>
      <c r="C832" s="1446"/>
      <c r="D832" s="1446"/>
      <c r="E832" s="1446"/>
      <c r="F832" s="1446"/>
    </row>
    <row r="833" spans="2:6" ht="127.5">
      <c r="B833" s="1442">
        <v>55</v>
      </c>
      <c r="C833" s="1005" t="s">
        <v>973</v>
      </c>
      <c r="D833" s="251" t="s">
        <v>974</v>
      </c>
      <c r="E833" s="1006" t="s">
        <v>1524</v>
      </c>
      <c r="F833" s="1007" t="s">
        <v>1525</v>
      </c>
    </row>
    <row r="834" spans="2:6" ht="48" outlineLevel="1">
      <c r="B834" s="1443"/>
      <c r="C834" s="1008"/>
      <c r="D834" s="252" t="s">
        <v>975</v>
      </c>
      <c r="E834" s="1009"/>
      <c r="F834" s="1010" t="s">
        <v>77</v>
      </c>
    </row>
    <row r="835" spans="2:6" ht="24" outlineLevel="1">
      <c r="B835" s="1443"/>
      <c r="C835" s="1008"/>
      <c r="D835" s="252" t="s">
        <v>278</v>
      </c>
      <c r="E835" s="1009"/>
      <c r="F835" s="1010" t="s">
        <v>77</v>
      </c>
    </row>
    <row r="836" spans="2:6" ht="48" outlineLevel="1">
      <c r="B836" s="1443"/>
      <c r="C836" s="1008"/>
      <c r="D836" s="252" t="s">
        <v>1471</v>
      </c>
      <c r="E836" s="1009"/>
      <c r="F836" s="1010" t="s">
        <v>77</v>
      </c>
    </row>
    <row r="837" spans="2:6" ht="48" outlineLevel="1">
      <c r="B837" s="1443"/>
      <c r="C837" s="1008"/>
      <c r="D837" s="252" t="s">
        <v>1472</v>
      </c>
      <c r="E837" s="1009"/>
      <c r="F837" s="1010" t="s">
        <v>1526</v>
      </c>
    </row>
    <row r="838" spans="2:6" ht="24" outlineLevel="1">
      <c r="B838" s="1443"/>
      <c r="C838" s="1008"/>
      <c r="D838" s="252" t="s">
        <v>1527</v>
      </c>
      <c r="E838" s="1009"/>
      <c r="F838" s="1010" t="s">
        <v>1528</v>
      </c>
    </row>
    <row r="839" spans="2:6" outlineLevel="1">
      <c r="B839" s="1443"/>
      <c r="C839" s="1008"/>
      <c r="D839" s="252" t="s">
        <v>1529</v>
      </c>
      <c r="E839" s="1009"/>
      <c r="F839" s="1010" t="s">
        <v>1530</v>
      </c>
    </row>
    <row r="840" spans="2:6" outlineLevel="1">
      <c r="B840" s="1443"/>
      <c r="C840" s="1008"/>
      <c r="D840" s="252" t="s">
        <v>1531</v>
      </c>
      <c r="E840" s="1009"/>
      <c r="F840" s="1010">
        <v>917</v>
      </c>
    </row>
    <row r="841" spans="2:6" outlineLevel="1">
      <c r="B841" s="1443"/>
      <c r="C841" s="1008"/>
      <c r="D841" s="252" t="s">
        <v>1478</v>
      </c>
      <c r="E841" s="1009"/>
      <c r="F841" s="1010"/>
    </row>
    <row r="842" spans="2:6" outlineLevel="1">
      <c r="B842" s="1444"/>
      <c r="C842" s="1008"/>
      <c r="D842" s="252" t="s">
        <v>220</v>
      </c>
      <c r="E842" s="1009"/>
      <c r="F842" s="1010"/>
    </row>
    <row r="843" spans="2:6" ht="21" customHeight="1">
      <c r="B843" s="1445" t="s">
        <v>1532</v>
      </c>
      <c r="C843" s="1446"/>
      <c r="D843" s="1446"/>
      <c r="E843" s="1446"/>
      <c r="F843" s="1446"/>
    </row>
    <row r="844" spans="2:6" ht="63.75">
      <c r="B844" s="1442">
        <v>56</v>
      </c>
      <c r="C844" s="1005" t="s">
        <v>1533</v>
      </c>
      <c r="D844" s="251" t="s">
        <v>271</v>
      </c>
      <c r="E844" s="1006" t="s">
        <v>1534</v>
      </c>
      <c r="F844" s="1007" t="s">
        <v>1535</v>
      </c>
    </row>
    <row r="845" spans="2:6" ht="48" outlineLevel="1">
      <c r="B845" s="1443"/>
      <c r="C845" s="1008"/>
      <c r="D845" s="252" t="s">
        <v>273</v>
      </c>
      <c r="E845" s="1009"/>
      <c r="F845" s="1010" t="s">
        <v>77</v>
      </c>
    </row>
    <row r="846" spans="2:6" ht="36" outlineLevel="1">
      <c r="B846" s="1443"/>
      <c r="C846" s="1008"/>
      <c r="D846" s="252" t="s">
        <v>272</v>
      </c>
      <c r="E846" s="1009"/>
      <c r="F846" s="1010" t="s">
        <v>77</v>
      </c>
    </row>
    <row r="847" spans="2:6" ht="60" outlineLevel="1">
      <c r="B847" s="1443"/>
      <c r="C847" s="1008"/>
      <c r="D847" s="252" t="s">
        <v>239</v>
      </c>
      <c r="E847" s="1009"/>
      <c r="F847" s="1010" t="s">
        <v>77</v>
      </c>
    </row>
    <row r="848" spans="2:6" outlineLevel="1">
      <c r="B848" s="1443"/>
      <c r="C848" s="1008"/>
      <c r="D848" s="252" t="s">
        <v>267</v>
      </c>
      <c r="E848" s="1009"/>
      <c r="F848" s="1010" t="s">
        <v>77</v>
      </c>
    </row>
    <row r="849" spans="2:6" ht="72" outlineLevel="1">
      <c r="B849" s="1444"/>
      <c r="C849" s="1008"/>
      <c r="D849" s="252" t="s">
        <v>1177</v>
      </c>
      <c r="E849" s="1009"/>
      <c r="F849" s="1010" t="s">
        <v>77</v>
      </c>
    </row>
    <row r="850" spans="2:6" ht="21" customHeight="1">
      <c r="B850" s="1445" t="s">
        <v>1536</v>
      </c>
      <c r="C850" s="1446"/>
      <c r="D850" s="1446"/>
      <c r="E850" s="1446"/>
      <c r="F850" s="1446"/>
    </row>
    <row r="851" spans="2:6" ht="63.75">
      <c r="B851" s="1442">
        <v>57</v>
      </c>
      <c r="C851" s="1005" t="s">
        <v>1537</v>
      </c>
      <c r="D851" s="251" t="s">
        <v>1538</v>
      </c>
      <c r="E851" s="1006" t="s">
        <v>1539</v>
      </c>
      <c r="F851" s="1007" t="s">
        <v>1540</v>
      </c>
    </row>
    <row r="852" spans="2:6" ht="48" outlineLevel="1">
      <c r="B852" s="1443"/>
      <c r="C852" s="1008"/>
      <c r="D852" s="252" t="s">
        <v>265</v>
      </c>
      <c r="E852" s="1009"/>
      <c r="F852" s="1010" t="s">
        <v>77</v>
      </c>
    </row>
    <row r="853" spans="2:6" ht="60" outlineLevel="1">
      <c r="B853" s="1443"/>
      <c r="C853" s="1008"/>
      <c r="D853" s="252" t="s">
        <v>1541</v>
      </c>
      <c r="E853" s="1009"/>
      <c r="F853" s="1010" t="s">
        <v>77</v>
      </c>
    </row>
    <row r="854" spans="2:6" ht="48" outlineLevel="1">
      <c r="B854" s="1443"/>
      <c r="C854" s="1008"/>
      <c r="D854" s="252" t="s">
        <v>268</v>
      </c>
      <c r="E854" s="1009"/>
      <c r="F854" s="1010" t="s">
        <v>77</v>
      </c>
    </row>
    <row r="855" spans="2:6" ht="36" outlineLevel="1">
      <c r="B855" s="1443"/>
      <c r="C855" s="1008"/>
      <c r="D855" s="252" t="s">
        <v>1542</v>
      </c>
      <c r="E855" s="1009"/>
      <c r="F855" s="1010" t="s">
        <v>77</v>
      </c>
    </row>
    <row r="856" spans="2:6" outlineLevel="1">
      <c r="B856" s="1443"/>
      <c r="C856" s="1008"/>
      <c r="D856" s="252" t="s">
        <v>219</v>
      </c>
      <c r="E856" s="1009"/>
      <c r="F856" s="1010" t="s">
        <v>77</v>
      </c>
    </row>
    <row r="857" spans="2:6" ht="72" outlineLevel="1">
      <c r="B857" s="1443"/>
      <c r="C857" s="1008"/>
      <c r="D857" s="252" t="s">
        <v>1183</v>
      </c>
      <c r="E857" s="1009"/>
      <c r="F857" s="1010" t="s">
        <v>77</v>
      </c>
    </row>
    <row r="858" spans="2:6" outlineLevel="1">
      <c r="B858" s="1443"/>
      <c r="C858" s="1008"/>
      <c r="D858" s="252" t="s">
        <v>1259</v>
      </c>
      <c r="E858" s="1009"/>
      <c r="F858" s="1010" t="s">
        <v>1543</v>
      </c>
    </row>
    <row r="859" spans="2:6" outlineLevel="1">
      <c r="B859" s="1443"/>
      <c r="C859" s="1008"/>
      <c r="D859" s="252" t="s">
        <v>1375</v>
      </c>
      <c r="E859" s="1009"/>
      <c r="F859" s="1010" t="s">
        <v>1543</v>
      </c>
    </row>
    <row r="860" spans="2:6" ht="24" outlineLevel="1">
      <c r="B860" s="1443"/>
      <c r="C860" s="1008"/>
      <c r="D860" s="252" t="s">
        <v>1376</v>
      </c>
      <c r="E860" s="1009"/>
      <c r="F860" s="1010" t="s">
        <v>1544</v>
      </c>
    </row>
    <row r="861" spans="2:6" ht="24" outlineLevel="1">
      <c r="B861" s="1443"/>
      <c r="C861" s="1008"/>
      <c r="D861" s="252" t="s">
        <v>1378</v>
      </c>
      <c r="E861" s="1009"/>
      <c r="F861" s="1010" t="s">
        <v>1543</v>
      </c>
    </row>
    <row r="862" spans="2:6" ht="24" outlineLevel="1">
      <c r="B862" s="1443"/>
      <c r="C862" s="1008"/>
      <c r="D862" s="252" t="s">
        <v>1379</v>
      </c>
      <c r="E862" s="1009"/>
      <c r="F862" s="1010" t="s">
        <v>1545</v>
      </c>
    </row>
    <row r="863" spans="2:6" ht="24" outlineLevel="1">
      <c r="B863" s="1443"/>
      <c r="C863" s="1008"/>
      <c r="D863" s="252" t="s">
        <v>1380</v>
      </c>
      <c r="E863" s="1009"/>
      <c r="F863" s="1010" t="s">
        <v>1546</v>
      </c>
    </row>
    <row r="864" spans="2:6" ht="24" outlineLevel="1">
      <c r="B864" s="1443"/>
      <c r="C864" s="1008"/>
      <c r="D864" s="252" t="s">
        <v>1382</v>
      </c>
      <c r="E864" s="1009"/>
      <c r="F864" s="1010" t="s">
        <v>1547</v>
      </c>
    </row>
    <row r="865" spans="2:6" outlineLevel="1">
      <c r="B865" s="1443"/>
      <c r="C865" s="1008"/>
      <c r="D865" s="252" t="s">
        <v>1253</v>
      </c>
      <c r="E865" s="1009"/>
      <c r="F865" s="1010" t="s">
        <v>1548</v>
      </c>
    </row>
    <row r="866" spans="2:6" ht="60" outlineLevel="1">
      <c r="B866" s="1443"/>
      <c r="C866" s="1008"/>
      <c r="D866" s="252" t="s">
        <v>1385</v>
      </c>
      <c r="E866" s="1009"/>
      <c r="F866" s="1010" t="s">
        <v>1549</v>
      </c>
    </row>
    <row r="867" spans="2:6" ht="60" outlineLevel="1">
      <c r="B867" s="1443"/>
      <c r="C867" s="1008"/>
      <c r="D867" s="252" t="s">
        <v>1387</v>
      </c>
      <c r="E867" s="1009"/>
      <c r="F867" s="1010" t="s">
        <v>1550</v>
      </c>
    </row>
    <row r="868" spans="2:6" ht="60" outlineLevel="1">
      <c r="B868" s="1443"/>
      <c r="C868" s="1008"/>
      <c r="D868" s="252" t="s">
        <v>1389</v>
      </c>
      <c r="E868" s="1009"/>
      <c r="F868" s="1010" t="s">
        <v>1551</v>
      </c>
    </row>
    <row r="869" spans="2:6" ht="60" outlineLevel="1">
      <c r="B869" s="1443"/>
      <c r="C869" s="1008"/>
      <c r="D869" s="252" t="s">
        <v>1390</v>
      </c>
      <c r="E869" s="1009"/>
      <c r="F869" s="1010" t="s">
        <v>1552</v>
      </c>
    </row>
    <row r="870" spans="2:6" ht="60" outlineLevel="1">
      <c r="B870" s="1443"/>
      <c r="C870" s="1008"/>
      <c r="D870" s="252" t="s">
        <v>1392</v>
      </c>
      <c r="E870" s="1009"/>
      <c r="F870" s="1010" t="s">
        <v>1553</v>
      </c>
    </row>
    <row r="871" spans="2:6" ht="60" outlineLevel="1">
      <c r="B871" s="1443"/>
      <c r="C871" s="1008"/>
      <c r="D871" s="252" t="s">
        <v>1394</v>
      </c>
      <c r="E871" s="1009"/>
      <c r="F871" s="1010" t="s">
        <v>1552</v>
      </c>
    </row>
    <row r="872" spans="2:6" ht="60" outlineLevel="1">
      <c r="B872" s="1443"/>
      <c r="C872" s="1008"/>
      <c r="D872" s="252" t="s">
        <v>1395</v>
      </c>
      <c r="E872" s="1009"/>
      <c r="F872" s="1010" t="s">
        <v>1551</v>
      </c>
    </row>
    <row r="873" spans="2:6" outlineLevel="1">
      <c r="B873" s="1444"/>
      <c r="C873" s="1008"/>
      <c r="D873" s="252" t="s">
        <v>220</v>
      </c>
      <c r="E873" s="1009"/>
      <c r="F873" s="1010"/>
    </row>
    <row r="874" spans="2:6" ht="21" customHeight="1">
      <c r="B874" s="1445" t="s">
        <v>1554</v>
      </c>
      <c r="C874" s="1446"/>
      <c r="D874" s="1446"/>
      <c r="E874" s="1446"/>
      <c r="F874" s="1446"/>
    </row>
    <row r="875" spans="2:6" ht="63.75">
      <c r="B875" s="1442">
        <v>58</v>
      </c>
      <c r="C875" s="1005" t="s">
        <v>1555</v>
      </c>
      <c r="D875" s="251" t="s">
        <v>1556</v>
      </c>
      <c r="E875" s="1006" t="s">
        <v>1557</v>
      </c>
      <c r="F875" s="1007" t="s">
        <v>1558</v>
      </c>
    </row>
    <row r="876" spans="2:6" outlineLevel="1">
      <c r="B876" s="1443"/>
      <c r="C876" s="1008"/>
      <c r="D876" s="252" t="s">
        <v>219</v>
      </c>
      <c r="E876" s="1009"/>
      <c r="F876" s="1010" t="s">
        <v>77</v>
      </c>
    </row>
    <row r="877" spans="2:6" ht="48" outlineLevel="1">
      <c r="B877" s="1443"/>
      <c r="C877" s="1008"/>
      <c r="D877" s="252" t="s">
        <v>1471</v>
      </c>
      <c r="E877" s="1009"/>
      <c r="F877" s="1010" t="s">
        <v>77</v>
      </c>
    </row>
    <row r="878" spans="2:6" ht="48" outlineLevel="1">
      <c r="B878" s="1443"/>
      <c r="C878" s="1008"/>
      <c r="D878" s="252" t="s">
        <v>1472</v>
      </c>
      <c r="E878" s="1009"/>
      <c r="F878" s="1010" t="s">
        <v>1559</v>
      </c>
    </row>
    <row r="879" spans="2:6" ht="24" outlineLevel="1">
      <c r="B879" s="1443"/>
      <c r="C879" s="1008"/>
      <c r="D879" s="252" t="s">
        <v>1474</v>
      </c>
      <c r="E879" s="1009"/>
      <c r="F879" s="1010" t="s">
        <v>1560</v>
      </c>
    </row>
    <row r="880" spans="2:6" outlineLevel="1">
      <c r="B880" s="1443"/>
      <c r="C880" s="1008"/>
      <c r="D880" s="252" t="s">
        <v>1476</v>
      </c>
      <c r="E880" s="1009"/>
      <c r="F880" s="1010">
        <v>344</v>
      </c>
    </row>
    <row r="881" spans="2:6" outlineLevel="1">
      <c r="B881" s="1443"/>
      <c r="C881" s="1008"/>
      <c r="D881" s="252" t="s">
        <v>1478</v>
      </c>
      <c r="E881" s="1009"/>
      <c r="F881" s="1010"/>
    </row>
    <row r="882" spans="2:6" outlineLevel="1">
      <c r="B882" s="1444"/>
      <c r="C882" s="1008"/>
      <c r="D882" s="252" t="s">
        <v>220</v>
      </c>
      <c r="E882" s="1009"/>
      <c r="F882" s="1010"/>
    </row>
    <row r="883" spans="2:6" ht="21" customHeight="1">
      <c r="B883" s="1445" t="s">
        <v>1561</v>
      </c>
      <c r="C883" s="1446"/>
      <c r="D883" s="1446"/>
      <c r="E883" s="1446"/>
      <c r="F883" s="1446"/>
    </row>
    <row r="884" spans="2:6" ht="51">
      <c r="B884" s="1442">
        <v>59</v>
      </c>
      <c r="C884" s="1005" t="s">
        <v>1562</v>
      </c>
      <c r="D884" s="251" t="s">
        <v>1563</v>
      </c>
      <c r="E884" s="1006" t="s">
        <v>1564</v>
      </c>
      <c r="F884" s="1007" t="s">
        <v>1565</v>
      </c>
    </row>
    <row r="885" spans="2:6" outlineLevel="1">
      <c r="B885" s="1443"/>
      <c r="C885" s="1008"/>
      <c r="D885" s="252" t="s">
        <v>1566</v>
      </c>
      <c r="E885" s="1009"/>
      <c r="F885" s="1010" t="s">
        <v>77</v>
      </c>
    </row>
    <row r="886" spans="2:6" ht="60" outlineLevel="1">
      <c r="B886" s="1443"/>
      <c r="C886" s="1008"/>
      <c r="D886" s="252" t="s">
        <v>1567</v>
      </c>
      <c r="E886" s="1009"/>
      <c r="F886" s="1010" t="s">
        <v>77</v>
      </c>
    </row>
    <row r="887" spans="2:6" ht="60" outlineLevel="1">
      <c r="B887" s="1443"/>
      <c r="C887" s="1008"/>
      <c r="D887" s="252" t="s">
        <v>239</v>
      </c>
      <c r="E887" s="1009"/>
      <c r="F887" s="1010" t="s">
        <v>77</v>
      </c>
    </row>
    <row r="888" spans="2:6" ht="72" outlineLevel="1">
      <c r="B888" s="1443"/>
      <c r="C888" s="1008"/>
      <c r="D888" s="252" t="s">
        <v>1183</v>
      </c>
      <c r="E888" s="1009"/>
      <c r="F888" s="1010" t="s">
        <v>77</v>
      </c>
    </row>
    <row r="889" spans="2:6" outlineLevel="1">
      <c r="B889" s="1443"/>
      <c r="C889" s="1008"/>
      <c r="D889" s="252" t="s">
        <v>1259</v>
      </c>
      <c r="E889" s="1009"/>
      <c r="F889" s="1010">
        <v>63</v>
      </c>
    </row>
    <row r="890" spans="2:6" ht="24" outlineLevel="1">
      <c r="B890" s="1443"/>
      <c r="C890" s="1008"/>
      <c r="D890" s="252" t="s">
        <v>1261</v>
      </c>
      <c r="E890" s="1009"/>
      <c r="F890" s="1010">
        <v>63</v>
      </c>
    </row>
    <row r="891" spans="2:6" outlineLevel="1">
      <c r="B891" s="1443"/>
      <c r="C891" s="1008"/>
      <c r="D891" s="252" t="s">
        <v>1311</v>
      </c>
      <c r="E891" s="1009"/>
      <c r="F891" s="1010">
        <v>188</v>
      </c>
    </row>
    <row r="892" spans="2:6" ht="24" outlineLevel="1">
      <c r="B892" s="1443"/>
      <c r="C892" s="1008"/>
      <c r="D892" s="252" t="s">
        <v>1499</v>
      </c>
      <c r="E892" s="1009"/>
      <c r="F892" s="1010">
        <v>376</v>
      </c>
    </row>
    <row r="893" spans="2:6" outlineLevel="1">
      <c r="B893" s="1443"/>
      <c r="C893" s="1008"/>
      <c r="D893" s="252" t="s">
        <v>1501</v>
      </c>
      <c r="E893" s="1009"/>
      <c r="F893" s="1010">
        <v>501</v>
      </c>
    </row>
    <row r="894" spans="2:6" outlineLevel="1">
      <c r="B894" s="1443"/>
      <c r="C894" s="1008"/>
      <c r="D894" s="252" t="s">
        <v>1503</v>
      </c>
      <c r="E894" s="1009"/>
      <c r="F894" s="1010">
        <v>63</v>
      </c>
    </row>
    <row r="895" spans="2:6" outlineLevel="1">
      <c r="B895" s="1443"/>
      <c r="C895" s="1008"/>
      <c r="D895" s="252" t="s">
        <v>1504</v>
      </c>
      <c r="E895" s="1009"/>
      <c r="F895" s="1010">
        <v>63</v>
      </c>
    </row>
    <row r="896" spans="2:6" ht="24" outlineLevel="1">
      <c r="B896" s="1443"/>
      <c r="C896" s="1008"/>
      <c r="D896" s="252" t="s">
        <v>1505</v>
      </c>
      <c r="E896" s="1009"/>
      <c r="F896" s="1010">
        <v>313</v>
      </c>
    </row>
    <row r="897" spans="2:6" outlineLevel="1">
      <c r="B897" s="1443"/>
      <c r="C897" s="1008"/>
      <c r="D897" s="252" t="s">
        <v>1507</v>
      </c>
      <c r="E897" s="1009"/>
      <c r="F897" s="1010">
        <v>63</v>
      </c>
    </row>
    <row r="898" spans="2:6" outlineLevel="1">
      <c r="B898" s="1443"/>
      <c r="C898" s="1008"/>
      <c r="D898" s="252" t="s">
        <v>1508</v>
      </c>
      <c r="E898" s="1009"/>
      <c r="F898" s="1010">
        <v>31</v>
      </c>
    </row>
    <row r="899" spans="2:6" outlineLevel="1">
      <c r="B899" s="1443"/>
      <c r="C899" s="1008"/>
      <c r="D899" s="252" t="s">
        <v>1509</v>
      </c>
      <c r="E899" s="1009"/>
      <c r="F899" s="1010">
        <v>564</v>
      </c>
    </row>
    <row r="900" spans="2:6" ht="24" outlineLevel="1">
      <c r="B900" s="1443"/>
      <c r="C900" s="1008"/>
      <c r="D900" s="252" t="s">
        <v>1315</v>
      </c>
      <c r="E900" s="1009"/>
      <c r="F900" s="1010">
        <v>94</v>
      </c>
    </row>
    <row r="901" spans="2:6" outlineLevel="1">
      <c r="B901" s="1443"/>
      <c r="C901" s="1008"/>
      <c r="D901" s="252" t="s">
        <v>1317</v>
      </c>
      <c r="E901" s="1009"/>
      <c r="F901" s="1010">
        <v>282</v>
      </c>
    </row>
    <row r="902" spans="2:6" ht="24" outlineLevel="1">
      <c r="B902" s="1443"/>
      <c r="C902" s="1008"/>
      <c r="D902" s="252" t="s">
        <v>1319</v>
      </c>
      <c r="E902" s="1009"/>
      <c r="F902" s="1010">
        <v>188</v>
      </c>
    </row>
    <row r="903" spans="2:6" ht="24" outlineLevel="1">
      <c r="B903" s="1443"/>
      <c r="C903" s="1008"/>
      <c r="D903" s="252" t="s">
        <v>1512</v>
      </c>
      <c r="E903" s="1009"/>
      <c r="F903" s="1010">
        <v>31</v>
      </c>
    </row>
    <row r="904" spans="2:6" outlineLevel="1">
      <c r="B904" s="1443"/>
      <c r="C904" s="1008"/>
      <c r="D904" s="252" t="s">
        <v>1200</v>
      </c>
      <c r="E904" s="1009"/>
      <c r="F904" s="1010">
        <v>250</v>
      </c>
    </row>
    <row r="905" spans="2:6" outlineLevel="1">
      <c r="B905" s="1444"/>
      <c r="C905" s="1008"/>
      <c r="D905" s="252" t="s">
        <v>220</v>
      </c>
      <c r="E905" s="1009"/>
      <c r="F905" s="1010"/>
    </row>
    <row r="906" spans="2:6" ht="21" customHeight="1">
      <c r="B906" s="1445" t="s">
        <v>1568</v>
      </c>
      <c r="C906" s="1446"/>
      <c r="D906" s="1446"/>
      <c r="E906" s="1446"/>
      <c r="F906" s="1446"/>
    </row>
    <row r="907" spans="2:6" ht="63.75">
      <c r="B907" s="1442">
        <v>60</v>
      </c>
      <c r="C907" s="1005" t="s">
        <v>1569</v>
      </c>
      <c r="D907" s="251" t="s">
        <v>271</v>
      </c>
      <c r="E907" s="1006" t="s">
        <v>1570</v>
      </c>
      <c r="F907" s="1007" t="s">
        <v>1571</v>
      </c>
    </row>
    <row r="908" spans="2:6" outlineLevel="1">
      <c r="B908" s="1443"/>
      <c r="C908" s="1008"/>
      <c r="D908" s="252" t="s">
        <v>267</v>
      </c>
      <c r="E908" s="1009"/>
      <c r="F908" s="1010" t="s">
        <v>77</v>
      </c>
    </row>
    <row r="909" spans="2:6" ht="48" outlineLevel="1">
      <c r="B909" s="1443"/>
      <c r="C909" s="1008"/>
      <c r="D909" s="252" t="s">
        <v>273</v>
      </c>
      <c r="E909" s="1009"/>
      <c r="F909" s="1010" t="s">
        <v>77</v>
      </c>
    </row>
    <row r="910" spans="2:6" ht="60" outlineLevel="1">
      <c r="B910" s="1443"/>
      <c r="C910" s="1008"/>
      <c r="D910" s="252" t="s">
        <v>1567</v>
      </c>
      <c r="E910" s="1009"/>
      <c r="F910" s="1010" t="s">
        <v>77</v>
      </c>
    </row>
    <row r="911" spans="2:6" ht="60" outlineLevel="1">
      <c r="B911" s="1443"/>
      <c r="C911" s="1008"/>
      <c r="D911" s="252" t="s">
        <v>239</v>
      </c>
      <c r="E911" s="1009"/>
      <c r="F911" s="1010" t="s">
        <v>77</v>
      </c>
    </row>
    <row r="912" spans="2:6" ht="72" outlineLevel="1">
      <c r="B912" s="1443"/>
      <c r="C912" s="1008"/>
      <c r="D912" s="252" t="s">
        <v>1183</v>
      </c>
      <c r="E912" s="1009"/>
      <c r="F912" s="1010" t="s">
        <v>77</v>
      </c>
    </row>
    <row r="913" spans="2:6" outlineLevel="1">
      <c r="B913" s="1443"/>
      <c r="C913" s="1008"/>
      <c r="D913" s="252" t="s">
        <v>1259</v>
      </c>
      <c r="E913" s="1009"/>
      <c r="F913" s="1010" t="s">
        <v>1572</v>
      </c>
    </row>
    <row r="914" spans="2:6" ht="24" outlineLevel="1">
      <c r="B914" s="1443"/>
      <c r="C914" s="1008"/>
      <c r="D914" s="252" t="s">
        <v>1261</v>
      </c>
      <c r="E914" s="1009"/>
      <c r="F914" s="1010" t="s">
        <v>1572</v>
      </c>
    </row>
    <row r="915" spans="2:6" outlineLevel="1">
      <c r="B915" s="1443"/>
      <c r="C915" s="1008"/>
      <c r="D915" s="252" t="s">
        <v>1311</v>
      </c>
      <c r="E915" s="1009"/>
      <c r="F915" s="1010" t="s">
        <v>1573</v>
      </c>
    </row>
    <row r="916" spans="2:6" ht="24" outlineLevel="1">
      <c r="B916" s="1443"/>
      <c r="C916" s="1008"/>
      <c r="D916" s="252" t="s">
        <v>1499</v>
      </c>
      <c r="E916" s="1009"/>
      <c r="F916" s="1010" t="s">
        <v>1574</v>
      </c>
    </row>
    <row r="917" spans="2:6" outlineLevel="1">
      <c r="B917" s="1443"/>
      <c r="C917" s="1008"/>
      <c r="D917" s="252" t="s">
        <v>1501</v>
      </c>
      <c r="E917" s="1009"/>
      <c r="F917" s="1010" t="s">
        <v>1575</v>
      </c>
    </row>
    <row r="918" spans="2:6" outlineLevel="1">
      <c r="B918" s="1443"/>
      <c r="C918" s="1008"/>
      <c r="D918" s="252" t="s">
        <v>1503</v>
      </c>
      <c r="E918" s="1009"/>
      <c r="F918" s="1010" t="s">
        <v>1572</v>
      </c>
    </row>
    <row r="919" spans="2:6" outlineLevel="1">
      <c r="B919" s="1443"/>
      <c r="C919" s="1008"/>
      <c r="D919" s="252" t="s">
        <v>1504</v>
      </c>
      <c r="E919" s="1009"/>
      <c r="F919" s="1010" t="s">
        <v>1572</v>
      </c>
    </row>
    <row r="920" spans="2:6" ht="24" outlineLevel="1">
      <c r="B920" s="1443"/>
      <c r="C920" s="1008"/>
      <c r="D920" s="252" t="s">
        <v>1505</v>
      </c>
      <c r="E920" s="1009"/>
      <c r="F920" s="1010" t="s">
        <v>1576</v>
      </c>
    </row>
    <row r="921" spans="2:6" outlineLevel="1">
      <c r="B921" s="1443"/>
      <c r="C921" s="1008"/>
      <c r="D921" s="252" t="s">
        <v>1507</v>
      </c>
      <c r="E921" s="1009"/>
      <c r="F921" s="1010" t="s">
        <v>1572</v>
      </c>
    </row>
    <row r="922" spans="2:6" outlineLevel="1">
      <c r="B922" s="1443"/>
      <c r="C922" s="1008"/>
      <c r="D922" s="252" t="s">
        <v>1508</v>
      </c>
      <c r="E922" s="1009"/>
      <c r="F922" s="1010" t="s">
        <v>1577</v>
      </c>
    </row>
    <row r="923" spans="2:6" outlineLevel="1">
      <c r="B923" s="1443"/>
      <c r="C923" s="1008"/>
      <c r="D923" s="252" t="s">
        <v>1509</v>
      </c>
      <c r="E923" s="1009"/>
      <c r="F923" s="1010" t="s">
        <v>1578</v>
      </c>
    </row>
    <row r="924" spans="2:6" ht="24" outlineLevel="1">
      <c r="B924" s="1443"/>
      <c r="C924" s="1008"/>
      <c r="D924" s="252" t="s">
        <v>1315</v>
      </c>
      <c r="E924" s="1009"/>
      <c r="F924" s="1010" t="s">
        <v>1579</v>
      </c>
    </row>
    <row r="925" spans="2:6" outlineLevel="1">
      <c r="B925" s="1443"/>
      <c r="C925" s="1008"/>
      <c r="D925" s="252" t="s">
        <v>1317</v>
      </c>
      <c r="E925" s="1009"/>
      <c r="F925" s="1010" t="s">
        <v>1580</v>
      </c>
    </row>
    <row r="926" spans="2:6" ht="24" outlineLevel="1">
      <c r="B926" s="1443"/>
      <c r="C926" s="1008"/>
      <c r="D926" s="252" t="s">
        <v>1319</v>
      </c>
      <c r="E926" s="1009"/>
      <c r="F926" s="1010" t="s">
        <v>1573</v>
      </c>
    </row>
    <row r="927" spans="2:6" ht="24" outlineLevel="1">
      <c r="B927" s="1443"/>
      <c r="C927" s="1008"/>
      <c r="D927" s="252" t="s">
        <v>1512</v>
      </c>
      <c r="E927" s="1009"/>
      <c r="F927" s="1010" t="s">
        <v>1577</v>
      </c>
    </row>
    <row r="928" spans="2:6" outlineLevel="1">
      <c r="B928" s="1443"/>
      <c r="C928" s="1008"/>
      <c r="D928" s="252" t="s">
        <v>1200</v>
      </c>
      <c r="E928" s="1009"/>
      <c r="F928" s="1010" t="s">
        <v>1581</v>
      </c>
    </row>
    <row r="929" spans="2:6" outlineLevel="1">
      <c r="B929" s="1444"/>
      <c r="C929" s="1008"/>
      <c r="D929" s="252" t="s">
        <v>220</v>
      </c>
      <c r="E929" s="1009"/>
      <c r="F929" s="1010"/>
    </row>
    <row r="930" spans="2:6" ht="21" customHeight="1">
      <c r="B930" s="1445" t="s">
        <v>1582</v>
      </c>
      <c r="C930" s="1446"/>
      <c r="D930" s="1446"/>
      <c r="E930" s="1446"/>
      <c r="F930" s="1446"/>
    </row>
    <row r="931" spans="2:6" ht="102">
      <c r="B931" s="1442">
        <v>61</v>
      </c>
      <c r="C931" s="1005" t="s">
        <v>1583</v>
      </c>
      <c r="D931" s="251" t="s">
        <v>1584</v>
      </c>
      <c r="E931" s="1006" t="s">
        <v>1585</v>
      </c>
      <c r="F931" s="1007" t="s">
        <v>1586</v>
      </c>
    </row>
    <row r="932" spans="2:6" ht="60" outlineLevel="1">
      <c r="B932" s="1443"/>
      <c r="C932" s="1008"/>
      <c r="D932" s="252" t="s">
        <v>1567</v>
      </c>
      <c r="E932" s="1009"/>
      <c r="F932" s="1010" t="s">
        <v>77</v>
      </c>
    </row>
    <row r="933" spans="2:6" outlineLevel="1">
      <c r="B933" s="1443"/>
      <c r="C933" s="1008"/>
      <c r="D933" s="252" t="s">
        <v>1566</v>
      </c>
      <c r="E933" s="1009"/>
      <c r="F933" s="1010" t="s">
        <v>77</v>
      </c>
    </row>
    <row r="934" spans="2:6" ht="60" outlineLevel="1">
      <c r="B934" s="1443"/>
      <c r="C934" s="1008"/>
      <c r="D934" s="252" t="s">
        <v>239</v>
      </c>
      <c r="E934" s="1009"/>
      <c r="F934" s="1010" t="s">
        <v>77</v>
      </c>
    </row>
    <row r="935" spans="2:6" ht="72" outlineLevel="1">
      <c r="B935" s="1443"/>
      <c r="C935" s="1008"/>
      <c r="D935" s="252" t="s">
        <v>1183</v>
      </c>
      <c r="E935" s="1009"/>
      <c r="F935" s="1010" t="s">
        <v>77</v>
      </c>
    </row>
    <row r="936" spans="2:6" outlineLevel="1">
      <c r="B936" s="1443"/>
      <c r="C936" s="1008"/>
      <c r="D936" s="252" t="s">
        <v>1259</v>
      </c>
      <c r="E936" s="1009"/>
      <c r="F936" s="1010">
        <v>85</v>
      </c>
    </row>
    <row r="937" spans="2:6" ht="24" outlineLevel="1">
      <c r="B937" s="1443"/>
      <c r="C937" s="1008"/>
      <c r="D937" s="252" t="s">
        <v>1261</v>
      </c>
      <c r="E937" s="1009"/>
      <c r="F937" s="1010">
        <v>85</v>
      </c>
    </row>
    <row r="938" spans="2:6" outlineLevel="1">
      <c r="B938" s="1443"/>
      <c r="C938" s="1008"/>
      <c r="D938" s="252" t="s">
        <v>1311</v>
      </c>
      <c r="E938" s="1009"/>
      <c r="F938" s="1010">
        <v>256</v>
      </c>
    </row>
    <row r="939" spans="2:6" ht="24" outlineLevel="1">
      <c r="B939" s="1443"/>
      <c r="C939" s="1008"/>
      <c r="D939" s="252" t="s">
        <v>1499</v>
      </c>
      <c r="E939" s="1009"/>
      <c r="F939" s="1010">
        <v>512</v>
      </c>
    </row>
    <row r="940" spans="2:6" outlineLevel="1">
      <c r="B940" s="1443"/>
      <c r="C940" s="1008"/>
      <c r="D940" s="252" t="s">
        <v>1501</v>
      </c>
      <c r="E940" s="1009"/>
      <c r="F940" s="1010">
        <v>682</v>
      </c>
    </row>
    <row r="941" spans="2:6" outlineLevel="1">
      <c r="B941" s="1443"/>
      <c r="C941" s="1008"/>
      <c r="D941" s="252" t="s">
        <v>1503</v>
      </c>
      <c r="E941" s="1009"/>
      <c r="F941" s="1010">
        <v>85</v>
      </c>
    </row>
    <row r="942" spans="2:6" outlineLevel="1">
      <c r="B942" s="1443"/>
      <c r="C942" s="1008"/>
      <c r="D942" s="252" t="s">
        <v>1504</v>
      </c>
      <c r="E942" s="1009"/>
      <c r="F942" s="1010">
        <v>85</v>
      </c>
    </row>
    <row r="943" spans="2:6" ht="24" outlineLevel="1">
      <c r="B943" s="1443"/>
      <c r="C943" s="1008"/>
      <c r="D943" s="252" t="s">
        <v>1505</v>
      </c>
      <c r="E943" s="1009"/>
      <c r="F943" s="1010">
        <v>426</v>
      </c>
    </row>
    <row r="944" spans="2:6" outlineLevel="1">
      <c r="B944" s="1443"/>
      <c r="C944" s="1008"/>
      <c r="D944" s="252" t="s">
        <v>1507</v>
      </c>
      <c r="E944" s="1009"/>
      <c r="F944" s="1010">
        <v>85</v>
      </c>
    </row>
    <row r="945" spans="2:6" outlineLevel="1">
      <c r="B945" s="1443"/>
      <c r="C945" s="1008"/>
      <c r="D945" s="252" t="s">
        <v>1508</v>
      </c>
      <c r="E945" s="1009"/>
      <c r="F945" s="1010">
        <v>43</v>
      </c>
    </row>
    <row r="946" spans="2:6" outlineLevel="1">
      <c r="B946" s="1443"/>
      <c r="C946" s="1008"/>
      <c r="D946" s="252" t="s">
        <v>1509</v>
      </c>
      <c r="E946" s="1009"/>
      <c r="F946" s="1010">
        <v>768</v>
      </c>
    </row>
    <row r="947" spans="2:6" ht="24" outlineLevel="1">
      <c r="B947" s="1443"/>
      <c r="C947" s="1008"/>
      <c r="D947" s="252" t="s">
        <v>1315</v>
      </c>
      <c r="E947" s="1009"/>
      <c r="F947" s="1010">
        <v>128</v>
      </c>
    </row>
    <row r="948" spans="2:6" outlineLevel="1">
      <c r="B948" s="1443"/>
      <c r="C948" s="1008"/>
      <c r="D948" s="252" t="s">
        <v>1317</v>
      </c>
      <c r="E948" s="1009"/>
      <c r="F948" s="1010">
        <v>384</v>
      </c>
    </row>
    <row r="949" spans="2:6" ht="24" outlineLevel="1">
      <c r="B949" s="1443"/>
      <c r="C949" s="1008"/>
      <c r="D949" s="252" t="s">
        <v>1319</v>
      </c>
      <c r="E949" s="1009"/>
      <c r="F949" s="1010">
        <v>256</v>
      </c>
    </row>
    <row r="950" spans="2:6" ht="24" outlineLevel="1">
      <c r="B950" s="1443"/>
      <c r="C950" s="1008"/>
      <c r="D950" s="252" t="s">
        <v>1512</v>
      </c>
      <c r="E950" s="1009"/>
      <c r="F950" s="1010">
        <v>43</v>
      </c>
    </row>
    <row r="951" spans="2:6" outlineLevel="1">
      <c r="B951" s="1443"/>
      <c r="C951" s="1008"/>
      <c r="D951" s="252" t="s">
        <v>1200</v>
      </c>
      <c r="E951" s="1009"/>
      <c r="F951" s="1010">
        <v>341</v>
      </c>
    </row>
    <row r="952" spans="2:6" outlineLevel="1">
      <c r="B952" s="1444"/>
      <c r="C952" s="1008"/>
      <c r="D952" s="252" t="s">
        <v>220</v>
      </c>
      <c r="E952" s="1009"/>
      <c r="F952" s="1010"/>
    </row>
    <row r="953" spans="2:6" ht="21" customHeight="1">
      <c r="B953" s="1445" t="s">
        <v>1587</v>
      </c>
      <c r="C953" s="1446"/>
      <c r="D953" s="1446"/>
      <c r="E953" s="1446"/>
      <c r="F953" s="1446"/>
    </row>
    <row r="954" spans="2:6" ht="51">
      <c r="B954" s="1442">
        <v>62</v>
      </c>
      <c r="C954" s="1005" t="s">
        <v>1562</v>
      </c>
      <c r="D954" s="251" t="s">
        <v>1563</v>
      </c>
      <c r="E954" s="1006" t="s">
        <v>1564</v>
      </c>
      <c r="F954" s="1007" t="s">
        <v>1565</v>
      </c>
    </row>
    <row r="955" spans="2:6" outlineLevel="1">
      <c r="B955" s="1443"/>
      <c r="C955" s="1008"/>
      <c r="D955" s="252" t="s">
        <v>1566</v>
      </c>
      <c r="E955" s="1009"/>
      <c r="F955" s="1010" t="s">
        <v>77</v>
      </c>
    </row>
    <row r="956" spans="2:6" ht="60" outlineLevel="1">
      <c r="B956" s="1443"/>
      <c r="C956" s="1008"/>
      <c r="D956" s="252" t="s">
        <v>1567</v>
      </c>
      <c r="E956" s="1009"/>
      <c r="F956" s="1010" t="s">
        <v>77</v>
      </c>
    </row>
    <row r="957" spans="2:6" ht="60" outlineLevel="1">
      <c r="B957" s="1443"/>
      <c r="C957" s="1008"/>
      <c r="D957" s="252" t="s">
        <v>239</v>
      </c>
      <c r="E957" s="1009"/>
      <c r="F957" s="1010" t="s">
        <v>77</v>
      </c>
    </row>
    <row r="958" spans="2:6" ht="72" outlineLevel="1">
      <c r="B958" s="1443"/>
      <c r="C958" s="1008"/>
      <c r="D958" s="252" t="s">
        <v>1183</v>
      </c>
      <c r="E958" s="1009"/>
      <c r="F958" s="1010" t="s">
        <v>77</v>
      </c>
    </row>
    <row r="959" spans="2:6" outlineLevel="1">
      <c r="B959" s="1443"/>
      <c r="C959" s="1008"/>
      <c r="D959" s="252" t="s">
        <v>1259</v>
      </c>
      <c r="E959" s="1009"/>
      <c r="F959" s="1010">
        <v>63</v>
      </c>
    </row>
    <row r="960" spans="2:6" ht="24" outlineLevel="1">
      <c r="B960" s="1443"/>
      <c r="C960" s="1008"/>
      <c r="D960" s="252" t="s">
        <v>1261</v>
      </c>
      <c r="E960" s="1009"/>
      <c r="F960" s="1010">
        <v>63</v>
      </c>
    </row>
    <row r="961" spans="2:6" outlineLevel="1">
      <c r="B961" s="1443"/>
      <c r="C961" s="1008"/>
      <c r="D961" s="252" t="s">
        <v>1311</v>
      </c>
      <c r="E961" s="1009"/>
      <c r="F961" s="1010">
        <v>188</v>
      </c>
    </row>
    <row r="962" spans="2:6" ht="24" outlineLevel="1">
      <c r="B962" s="1443"/>
      <c r="C962" s="1008"/>
      <c r="D962" s="252" t="s">
        <v>1499</v>
      </c>
      <c r="E962" s="1009"/>
      <c r="F962" s="1010">
        <v>376</v>
      </c>
    </row>
    <row r="963" spans="2:6" outlineLevel="1">
      <c r="B963" s="1443"/>
      <c r="C963" s="1008"/>
      <c r="D963" s="252" t="s">
        <v>1501</v>
      </c>
      <c r="E963" s="1009"/>
      <c r="F963" s="1010">
        <v>501</v>
      </c>
    </row>
    <row r="964" spans="2:6" outlineLevel="1">
      <c r="B964" s="1443"/>
      <c r="C964" s="1008"/>
      <c r="D964" s="252" t="s">
        <v>1503</v>
      </c>
      <c r="E964" s="1009"/>
      <c r="F964" s="1010">
        <v>63</v>
      </c>
    </row>
    <row r="965" spans="2:6" outlineLevel="1">
      <c r="B965" s="1443"/>
      <c r="C965" s="1008"/>
      <c r="D965" s="252" t="s">
        <v>1504</v>
      </c>
      <c r="E965" s="1009"/>
      <c r="F965" s="1010">
        <v>63</v>
      </c>
    </row>
    <row r="966" spans="2:6" ht="24" outlineLevel="1">
      <c r="B966" s="1443"/>
      <c r="C966" s="1008"/>
      <c r="D966" s="252" t="s">
        <v>1505</v>
      </c>
      <c r="E966" s="1009"/>
      <c r="F966" s="1010">
        <v>313</v>
      </c>
    </row>
    <row r="967" spans="2:6" outlineLevel="1">
      <c r="B967" s="1443"/>
      <c r="C967" s="1008"/>
      <c r="D967" s="252" t="s">
        <v>1507</v>
      </c>
      <c r="E967" s="1009"/>
      <c r="F967" s="1010">
        <v>63</v>
      </c>
    </row>
    <row r="968" spans="2:6" outlineLevel="1">
      <c r="B968" s="1443"/>
      <c r="C968" s="1008"/>
      <c r="D968" s="252" t="s">
        <v>1508</v>
      </c>
      <c r="E968" s="1009"/>
      <c r="F968" s="1010">
        <v>31</v>
      </c>
    </row>
    <row r="969" spans="2:6" outlineLevel="1">
      <c r="B969" s="1443"/>
      <c r="C969" s="1008"/>
      <c r="D969" s="252" t="s">
        <v>1509</v>
      </c>
      <c r="E969" s="1009"/>
      <c r="F969" s="1010">
        <v>564</v>
      </c>
    </row>
    <row r="970" spans="2:6" ht="24" outlineLevel="1">
      <c r="B970" s="1443"/>
      <c r="C970" s="1008"/>
      <c r="D970" s="252" t="s">
        <v>1315</v>
      </c>
      <c r="E970" s="1009"/>
      <c r="F970" s="1010">
        <v>94</v>
      </c>
    </row>
    <row r="971" spans="2:6" outlineLevel="1">
      <c r="B971" s="1443"/>
      <c r="C971" s="1008"/>
      <c r="D971" s="252" t="s">
        <v>1317</v>
      </c>
      <c r="E971" s="1009"/>
      <c r="F971" s="1010">
        <v>282</v>
      </c>
    </row>
    <row r="972" spans="2:6" ht="24" outlineLevel="1">
      <c r="B972" s="1443"/>
      <c r="C972" s="1008"/>
      <c r="D972" s="252" t="s">
        <v>1319</v>
      </c>
      <c r="E972" s="1009"/>
      <c r="F972" s="1010">
        <v>188</v>
      </c>
    </row>
    <row r="973" spans="2:6" ht="24" outlineLevel="1">
      <c r="B973" s="1443"/>
      <c r="C973" s="1008"/>
      <c r="D973" s="252" t="s">
        <v>1512</v>
      </c>
      <c r="E973" s="1009"/>
      <c r="F973" s="1010">
        <v>31</v>
      </c>
    </row>
    <row r="974" spans="2:6" outlineLevel="1">
      <c r="B974" s="1443"/>
      <c r="C974" s="1008"/>
      <c r="D974" s="252" t="s">
        <v>1200</v>
      </c>
      <c r="E974" s="1009"/>
      <c r="F974" s="1010">
        <v>250</v>
      </c>
    </row>
    <row r="975" spans="2:6" outlineLevel="1">
      <c r="B975" s="1444"/>
      <c r="C975" s="1008"/>
      <c r="D975" s="252" t="s">
        <v>220</v>
      </c>
      <c r="E975" s="1009"/>
      <c r="F975" s="1010"/>
    </row>
    <row r="976" spans="2:6" ht="21" customHeight="1">
      <c r="B976" s="1445" t="s">
        <v>1588</v>
      </c>
      <c r="C976" s="1446"/>
      <c r="D976" s="1446"/>
      <c r="E976" s="1446"/>
      <c r="F976" s="1446"/>
    </row>
    <row r="977" spans="2:6" ht="51">
      <c r="B977" s="1442">
        <v>63</v>
      </c>
      <c r="C977" s="1005" t="s">
        <v>296</v>
      </c>
      <c r="D977" s="251" t="s">
        <v>297</v>
      </c>
      <c r="E977" s="1006" t="s">
        <v>1589</v>
      </c>
      <c r="F977" s="1007" t="s">
        <v>1590</v>
      </c>
    </row>
    <row r="978" spans="2:6" ht="48" outlineLevel="1">
      <c r="B978" s="1443"/>
      <c r="C978" s="1008"/>
      <c r="D978" s="252" t="s">
        <v>265</v>
      </c>
      <c r="E978" s="1009"/>
      <c r="F978" s="1010" t="s">
        <v>77</v>
      </c>
    </row>
    <row r="979" spans="2:6" ht="60" outlineLevel="1">
      <c r="B979" s="1443"/>
      <c r="C979" s="1008"/>
      <c r="D979" s="252" t="s">
        <v>1541</v>
      </c>
      <c r="E979" s="1009"/>
      <c r="F979" s="1010" t="s">
        <v>77</v>
      </c>
    </row>
    <row r="980" spans="2:6" outlineLevel="1">
      <c r="B980" s="1443"/>
      <c r="C980" s="1008"/>
      <c r="D980" s="252" t="s">
        <v>219</v>
      </c>
      <c r="E980" s="1009"/>
      <c r="F980" s="1010" t="s">
        <v>77</v>
      </c>
    </row>
    <row r="981" spans="2:6" ht="72" outlineLevel="1">
      <c r="B981" s="1443"/>
      <c r="C981" s="1008"/>
      <c r="D981" s="252" t="s">
        <v>1183</v>
      </c>
      <c r="E981" s="1009"/>
      <c r="F981" s="1010" t="s">
        <v>77</v>
      </c>
    </row>
    <row r="982" spans="2:6" outlineLevel="1">
      <c r="B982" s="1443"/>
      <c r="C982" s="1008"/>
      <c r="D982" s="252" t="s">
        <v>1259</v>
      </c>
      <c r="E982" s="1009"/>
      <c r="F982" s="1010" t="s">
        <v>1591</v>
      </c>
    </row>
    <row r="983" spans="2:6" outlineLevel="1">
      <c r="B983" s="1443"/>
      <c r="C983" s="1008"/>
      <c r="D983" s="252" t="s">
        <v>1375</v>
      </c>
      <c r="E983" s="1009"/>
      <c r="F983" s="1010" t="s">
        <v>1591</v>
      </c>
    </row>
    <row r="984" spans="2:6" ht="24" outlineLevel="1">
      <c r="B984" s="1443"/>
      <c r="C984" s="1008"/>
      <c r="D984" s="252" t="s">
        <v>1376</v>
      </c>
      <c r="E984" s="1009"/>
      <c r="F984" s="1010" t="s">
        <v>1592</v>
      </c>
    </row>
    <row r="985" spans="2:6" ht="24" outlineLevel="1">
      <c r="B985" s="1443"/>
      <c r="C985" s="1008"/>
      <c r="D985" s="252" t="s">
        <v>1378</v>
      </c>
      <c r="E985" s="1009"/>
      <c r="F985" s="1010" t="s">
        <v>1591</v>
      </c>
    </row>
    <row r="986" spans="2:6" ht="24" outlineLevel="1">
      <c r="B986" s="1443"/>
      <c r="C986" s="1008"/>
      <c r="D986" s="252" t="s">
        <v>1379</v>
      </c>
      <c r="E986" s="1009"/>
      <c r="F986" s="1010">
        <v>825</v>
      </c>
    </row>
    <row r="987" spans="2:6" ht="24" outlineLevel="1">
      <c r="B987" s="1443"/>
      <c r="C987" s="1008"/>
      <c r="D987" s="252" t="s">
        <v>1380</v>
      </c>
      <c r="E987" s="1009"/>
      <c r="F987" s="1010" t="s">
        <v>1593</v>
      </c>
    </row>
    <row r="988" spans="2:6" ht="24" outlineLevel="1">
      <c r="B988" s="1443"/>
      <c r="C988" s="1008"/>
      <c r="D988" s="252" t="s">
        <v>1382</v>
      </c>
      <c r="E988" s="1009"/>
      <c r="F988" s="1010" t="s">
        <v>1594</v>
      </c>
    </row>
    <row r="989" spans="2:6" outlineLevel="1">
      <c r="B989" s="1443"/>
      <c r="C989" s="1008"/>
      <c r="D989" s="252" t="s">
        <v>1253</v>
      </c>
      <c r="E989" s="1009"/>
      <c r="F989" s="1010" t="s">
        <v>1595</v>
      </c>
    </row>
    <row r="990" spans="2:6" ht="60" outlineLevel="1">
      <c r="B990" s="1443"/>
      <c r="C990" s="1008"/>
      <c r="D990" s="252" t="s">
        <v>1385</v>
      </c>
      <c r="E990" s="1009"/>
      <c r="F990" s="1010" t="s">
        <v>1596</v>
      </c>
    </row>
    <row r="991" spans="2:6" ht="60" outlineLevel="1">
      <c r="B991" s="1443"/>
      <c r="C991" s="1008"/>
      <c r="D991" s="252" t="s">
        <v>1387</v>
      </c>
      <c r="E991" s="1009"/>
      <c r="F991" s="1010" t="s">
        <v>1597</v>
      </c>
    </row>
    <row r="992" spans="2:6" ht="60" outlineLevel="1">
      <c r="B992" s="1443"/>
      <c r="C992" s="1008"/>
      <c r="D992" s="252" t="s">
        <v>1389</v>
      </c>
      <c r="E992" s="1009"/>
      <c r="F992" s="1010" t="s">
        <v>1598</v>
      </c>
    </row>
    <row r="993" spans="2:6" ht="60" outlineLevel="1">
      <c r="B993" s="1443"/>
      <c r="C993" s="1008"/>
      <c r="D993" s="252" t="s">
        <v>1390</v>
      </c>
      <c r="E993" s="1009"/>
      <c r="F993" s="1010" t="s">
        <v>1599</v>
      </c>
    </row>
    <row r="994" spans="2:6" ht="60" outlineLevel="1">
      <c r="B994" s="1443"/>
      <c r="C994" s="1008"/>
      <c r="D994" s="252" t="s">
        <v>1392</v>
      </c>
      <c r="E994" s="1009"/>
      <c r="F994" s="1010" t="s">
        <v>1600</v>
      </c>
    </row>
    <row r="995" spans="2:6" ht="60" outlineLevel="1">
      <c r="B995" s="1443"/>
      <c r="C995" s="1008"/>
      <c r="D995" s="252" t="s">
        <v>1394</v>
      </c>
      <c r="E995" s="1009"/>
      <c r="F995" s="1010" t="s">
        <v>1599</v>
      </c>
    </row>
    <row r="996" spans="2:6" ht="60" outlineLevel="1">
      <c r="B996" s="1443"/>
      <c r="C996" s="1008"/>
      <c r="D996" s="252" t="s">
        <v>1395</v>
      </c>
      <c r="E996" s="1009"/>
      <c r="F996" s="1010" t="s">
        <v>1598</v>
      </c>
    </row>
    <row r="997" spans="2:6" outlineLevel="1">
      <c r="B997" s="1444"/>
      <c r="C997" s="1008"/>
      <c r="D997" s="252" t="s">
        <v>220</v>
      </c>
      <c r="E997" s="1009"/>
      <c r="F997" s="1010"/>
    </row>
    <row r="998" spans="2:6" ht="21" customHeight="1">
      <c r="B998" s="1445" t="s">
        <v>1601</v>
      </c>
      <c r="C998" s="1446"/>
      <c r="D998" s="1446"/>
      <c r="E998" s="1446"/>
      <c r="F998" s="1446"/>
    </row>
    <row r="999" spans="2:6" ht="102">
      <c r="B999" s="1442">
        <v>64</v>
      </c>
      <c r="C999" s="1005" t="s">
        <v>1583</v>
      </c>
      <c r="D999" s="251" t="s">
        <v>1584</v>
      </c>
      <c r="E999" s="1006" t="s">
        <v>1585</v>
      </c>
      <c r="F999" s="1007" t="s">
        <v>1586</v>
      </c>
    </row>
    <row r="1000" spans="2:6" ht="60" outlineLevel="1">
      <c r="B1000" s="1443"/>
      <c r="C1000" s="1008"/>
      <c r="D1000" s="252" t="s">
        <v>1567</v>
      </c>
      <c r="E1000" s="1009"/>
      <c r="F1000" s="1010" t="s">
        <v>77</v>
      </c>
    </row>
    <row r="1001" spans="2:6" outlineLevel="1">
      <c r="B1001" s="1443"/>
      <c r="C1001" s="1008"/>
      <c r="D1001" s="252" t="s">
        <v>1566</v>
      </c>
      <c r="E1001" s="1009"/>
      <c r="F1001" s="1010" t="s">
        <v>77</v>
      </c>
    </row>
    <row r="1002" spans="2:6" ht="60" outlineLevel="1">
      <c r="B1002" s="1443"/>
      <c r="C1002" s="1008"/>
      <c r="D1002" s="252" t="s">
        <v>239</v>
      </c>
      <c r="E1002" s="1009"/>
      <c r="F1002" s="1010" t="s">
        <v>77</v>
      </c>
    </row>
    <row r="1003" spans="2:6" ht="72" outlineLevel="1">
      <c r="B1003" s="1443"/>
      <c r="C1003" s="1008"/>
      <c r="D1003" s="252" t="s">
        <v>1183</v>
      </c>
      <c r="E1003" s="1009"/>
      <c r="F1003" s="1010" t="s">
        <v>77</v>
      </c>
    </row>
    <row r="1004" spans="2:6" outlineLevel="1">
      <c r="B1004" s="1443"/>
      <c r="C1004" s="1008"/>
      <c r="D1004" s="252" t="s">
        <v>1259</v>
      </c>
      <c r="E1004" s="1009"/>
      <c r="F1004" s="1010">
        <v>85</v>
      </c>
    </row>
    <row r="1005" spans="2:6" ht="24" outlineLevel="1">
      <c r="B1005" s="1443"/>
      <c r="C1005" s="1008"/>
      <c r="D1005" s="252" t="s">
        <v>1261</v>
      </c>
      <c r="E1005" s="1009"/>
      <c r="F1005" s="1010">
        <v>85</v>
      </c>
    </row>
    <row r="1006" spans="2:6" outlineLevel="1">
      <c r="B1006" s="1443"/>
      <c r="C1006" s="1008"/>
      <c r="D1006" s="252" t="s">
        <v>1311</v>
      </c>
      <c r="E1006" s="1009"/>
      <c r="F1006" s="1010">
        <v>256</v>
      </c>
    </row>
    <row r="1007" spans="2:6" ht="24" outlineLevel="1">
      <c r="B1007" s="1443"/>
      <c r="C1007" s="1008"/>
      <c r="D1007" s="252" t="s">
        <v>1499</v>
      </c>
      <c r="E1007" s="1009"/>
      <c r="F1007" s="1010">
        <v>512</v>
      </c>
    </row>
    <row r="1008" spans="2:6" outlineLevel="1">
      <c r="B1008" s="1443"/>
      <c r="C1008" s="1008"/>
      <c r="D1008" s="252" t="s">
        <v>1501</v>
      </c>
      <c r="E1008" s="1009"/>
      <c r="F1008" s="1010">
        <v>682</v>
      </c>
    </row>
    <row r="1009" spans="2:6" outlineLevel="1">
      <c r="B1009" s="1443"/>
      <c r="C1009" s="1008"/>
      <c r="D1009" s="252" t="s">
        <v>1503</v>
      </c>
      <c r="E1009" s="1009"/>
      <c r="F1009" s="1010">
        <v>85</v>
      </c>
    </row>
    <row r="1010" spans="2:6" outlineLevel="1">
      <c r="B1010" s="1443"/>
      <c r="C1010" s="1008"/>
      <c r="D1010" s="252" t="s">
        <v>1504</v>
      </c>
      <c r="E1010" s="1009"/>
      <c r="F1010" s="1010">
        <v>85</v>
      </c>
    </row>
    <row r="1011" spans="2:6" ht="24" outlineLevel="1">
      <c r="B1011" s="1443"/>
      <c r="C1011" s="1008"/>
      <c r="D1011" s="252" t="s">
        <v>1505</v>
      </c>
      <c r="E1011" s="1009"/>
      <c r="F1011" s="1010">
        <v>426</v>
      </c>
    </row>
    <row r="1012" spans="2:6" outlineLevel="1">
      <c r="B1012" s="1443"/>
      <c r="C1012" s="1008"/>
      <c r="D1012" s="252" t="s">
        <v>1507</v>
      </c>
      <c r="E1012" s="1009"/>
      <c r="F1012" s="1010">
        <v>85</v>
      </c>
    </row>
    <row r="1013" spans="2:6" outlineLevel="1">
      <c r="B1013" s="1443"/>
      <c r="C1013" s="1008"/>
      <c r="D1013" s="252" t="s">
        <v>1508</v>
      </c>
      <c r="E1013" s="1009"/>
      <c r="F1013" s="1010">
        <v>43</v>
      </c>
    </row>
    <row r="1014" spans="2:6" outlineLevel="1">
      <c r="B1014" s="1443"/>
      <c r="C1014" s="1008"/>
      <c r="D1014" s="252" t="s">
        <v>1509</v>
      </c>
      <c r="E1014" s="1009"/>
      <c r="F1014" s="1010">
        <v>768</v>
      </c>
    </row>
    <row r="1015" spans="2:6" ht="24" outlineLevel="1">
      <c r="B1015" s="1443"/>
      <c r="C1015" s="1008"/>
      <c r="D1015" s="252" t="s">
        <v>1315</v>
      </c>
      <c r="E1015" s="1009"/>
      <c r="F1015" s="1010">
        <v>128</v>
      </c>
    </row>
    <row r="1016" spans="2:6" outlineLevel="1">
      <c r="B1016" s="1443"/>
      <c r="C1016" s="1008"/>
      <c r="D1016" s="252" t="s">
        <v>1317</v>
      </c>
      <c r="E1016" s="1009"/>
      <c r="F1016" s="1010">
        <v>384</v>
      </c>
    </row>
    <row r="1017" spans="2:6" ht="24" outlineLevel="1">
      <c r="B1017" s="1443"/>
      <c r="C1017" s="1008"/>
      <c r="D1017" s="252" t="s">
        <v>1319</v>
      </c>
      <c r="E1017" s="1009"/>
      <c r="F1017" s="1010">
        <v>256</v>
      </c>
    </row>
    <row r="1018" spans="2:6" ht="24" outlineLevel="1">
      <c r="B1018" s="1443"/>
      <c r="C1018" s="1008"/>
      <c r="D1018" s="252" t="s">
        <v>1512</v>
      </c>
      <c r="E1018" s="1009"/>
      <c r="F1018" s="1010">
        <v>43</v>
      </c>
    </row>
    <row r="1019" spans="2:6" outlineLevel="1">
      <c r="B1019" s="1443"/>
      <c r="C1019" s="1008"/>
      <c r="D1019" s="252" t="s">
        <v>1200</v>
      </c>
      <c r="E1019" s="1009"/>
      <c r="F1019" s="1010">
        <v>341</v>
      </c>
    </row>
    <row r="1020" spans="2:6" outlineLevel="1">
      <c r="B1020" s="1444"/>
      <c r="C1020" s="1008"/>
      <c r="D1020" s="252" t="s">
        <v>220</v>
      </c>
      <c r="E1020" s="1009"/>
      <c r="F1020" s="1010"/>
    </row>
    <row r="1021" spans="2:6" ht="38.25">
      <c r="B1021" s="1442">
        <v>65</v>
      </c>
      <c r="C1021" s="1005" t="s">
        <v>1602</v>
      </c>
      <c r="D1021" s="251" t="s">
        <v>1603</v>
      </c>
      <c r="E1021" s="1006" t="s">
        <v>1604</v>
      </c>
      <c r="F1021" s="1007" t="s">
        <v>1605</v>
      </c>
    </row>
    <row r="1022" spans="2:6" outlineLevel="1">
      <c r="B1022" s="1443"/>
      <c r="C1022" s="1008"/>
      <c r="D1022" s="252" t="s">
        <v>1606</v>
      </c>
      <c r="E1022" s="1009"/>
      <c r="F1022" s="1010" t="s">
        <v>77</v>
      </c>
    </row>
    <row r="1023" spans="2:6" ht="48" outlineLevel="1">
      <c r="B1023" s="1443"/>
      <c r="C1023" s="1008"/>
      <c r="D1023" s="252" t="s">
        <v>265</v>
      </c>
      <c r="E1023" s="1009"/>
      <c r="F1023" s="1010" t="s">
        <v>77</v>
      </c>
    </row>
    <row r="1024" spans="2:6" ht="36" outlineLevel="1">
      <c r="B1024" s="1443"/>
      <c r="C1024" s="1008"/>
      <c r="D1024" s="252" t="s">
        <v>1607</v>
      </c>
      <c r="E1024" s="1009"/>
      <c r="F1024" s="1010" t="s">
        <v>77</v>
      </c>
    </row>
    <row r="1025" spans="2:6" ht="72" outlineLevel="1">
      <c r="B1025" s="1444"/>
      <c r="C1025" s="1008"/>
      <c r="D1025" s="252" t="s">
        <v>1177</v>
      </c>
      <c r="E1025" s="1009"/>
      <c r="F1025" s="1010" t="s">
        <v>77</v>
      </c>
    </row>
    <row r="1026" spans="2:6" ht="15">
      <c r="B1026" s="1011"/>
      <c r="C1026" s="1450" t="s">
        <v>282</v>
      </c>
      <c r="D1026" s="1451"/>
      <c r="E1026" s="1451"/>
      <c r="F1026" s="1012"/>
    </row>
    <row r="1027" spans="2:6" ht="27.95" customHeight="1">
      <c r="B1027" s="1011"/>
      <c r="C1027" s="1452" t="s">
        <v>800</v>
      </c>
      <c r="D1027" s="1453"/>
      <c r="E1027" s="1453"/>
      <c r="F1027" s="1007" t="s">
        <v>1608</v>
      </c>
    </row>
    <row r="1028" spans="2:6" ht="15">
      <c r="B1028" s="1011"/>
      <c r="C1028" s="1452" t="s">
        <v>1609</v>
      </c>
      <c r="D1028" s="1453"/>
      <c r="E1028" s="1453"/>
      <c r="F1028" s="1007" t="s">
        <v>1608</v>
      </c>
    </row>
    <row r="1029" spans="2:6" ht="27.95" customHeight="1">
      <c r="B1029" s="1011"/>
      <c r="C1029" s="1452" t="s">
        <v>269</v>
      </c>
      <c r="D1029" s="1453"/>
      <c r="E1029" s="1453"/>
      <c r="F1029" s="1007" t="s">
        <v>1610</v>
      </c>
    </row>
    <row r="1030" spans="2:6" ht="15">
      <c r="B1030" s="1011"/>
      <c r="C1030" s="1452" t="s">
        <v>1611</v>
      </c>
      <c r="D1030" s="1453"/>
      <c r="E1030" s="1453"/>
      <c r="F1030" s="1007" t="s">
        <v>1610</v>
      </c>
    </row>
    <row r="1031" spans="2:6" ht="15">
      <c r="B1031" s="1011"/>
      <c r="C1031" s="1452" t="s">
        <v>260</v>
      </c>
      <c r="D1031" s="1453"/>
      <c r="E1031" s="1453"/>
      <c r="F1031" s="1007" t="s">
        <v>1612</v>
      </c>
    </row>
    <row r="1032" spans="2:6" ht="15">
      <c r="B1032" s="1011"/>
      <c r="C1032" s="1452" t="s">
        <v>1613</v>
      </c>
      <c r="D1032" s="1453"/>
      <c r="E1032" s="1453"/>
      <c r="F1032" s="1007" t="s">
        <v>1612</v>
      </c>
    </row>
    <row r="1033" spans="2:6" ht="15">
      <c r="B1033" s="1011"/>
      <c r="C1033" s="1452" t="s">
        <v>262</v>
      </c>
      <c r="D1033" s="1453"/>
      <c r="E1033" s="1453"/>
      <c r="F1033" s="1007" t="s">
        <v>1614</v>
      </c>
    </row>
    <row r="1034" spans="2:6" ht="15">
      <c r="B1034" s="1011"/>
      <c r="C1034" s="1450" t="s">
        <v>283</v>
      </c>
      <c r="D1034" s="1451"/>
      <c r="E1034" s="1451"/>
      <c r="F1034" s="1012" t="s">
        <v>1614</v>
      </c>
    </row>
    <row r="1035" spans="2:6" ht="21" customHeight="1">
      <c r="B1035" s="1448" t="s">
        <v>845</v>
      </c>
      <c r="C1035" s="1449"/>
      <c r="D1035" s="1449"/>
      <c r="E1035" s="1449"/>
      <c r="F1035" s="1449"/>
    </row>
    <row r="1036" spans="2:6" ht="63.75">
      <c r="B1036" s="1442">
        <v>66</v>
      </c>
      <c r="C1036" s="1005" t="s">
        <v>284</v>
      </c>
      <c r="D1036" s="251" t="s">
        <v>285</v>
      </c>
      <c r="E1036" s="1006" t="s">
        <v>1615</v>
      </c>
      <c r="F1036" s="1007" t="s">
        <v>1616</v>
      </c>
    </row>
    <row r="1037" spans="2:6" ht="60" outlineLevel="1">
      <c r="B1037" s="1443"/>
      <c r="C1037" s="1008"/>
      <c r="D1037" s="252" t="s">
        <v>286</v>
      </c>
      <c r="E1037" s="1009"/>
      <c r="F1037" s="1010" t="s">
        <v>77</v>
      </c>
    </row>
    <row r="1038" spans="2:6" ht="84" outlineLevel="1">
      <c r="B1038" s="1443"/>
      <c r="C1038" s="1008"/>
      <c r="D1038" s="252" t="s">
        <v>287</v>
      </c>
      <c r="E1038" s="1009"/>
      <c r="F1038" s="1010" t="s">
        <v>77</v>
      </c>
    </row>
    <row r="1039" spans="2:6" outlineLevel="1">
      <c r="B1039" s="1443"/>
      <c r="C1039" s="1008"/>
      <c r="D1039" s="252" t="s">
        <v>801</v>
      </c>
      <c r="E1039" s="1009"/>
      <c r="F1039" s="1010" t="s">
        <v>77</v>
      </c>
    </row>
    <row r="1040" spans="2:6" ht="72" outlineLevel="1">
      <c r="B1040" s="1444"/>
      <c r="C1040" s="1008"/>
      <c r="D1040" s="252" t="s">
        <v>1177</v>
      </c>
      <c r="E1040" s="1009"/>
      <c r="F1040" s="1010" t="s">
        <v>77</v>
      </c>
    </row>
    <row r="1041" spans="2:6" ht="15">
      <c r="B1041" s="1011"/>
      <c r="C1041" s="1450" t="s">
        <v>846</v>
      </c>
      <c r="D1041" s="1451"/>
      <c r="E1041" s="1451"/>
      <c r="F1041" s="1012"/>
    </row>
    <row r="1042" spans="2:6" ht="27.95" customHeight="1">
      <c r="B1042" s="1011"/>
      <c r="C1042" s="1452" t="s">
        <v>288</v>
      </c>
      <c r="D1042" s="1453"/>
      <c r="E1042" s="1453"/>
      <c r="F1042" s="1007" t="s">
        <v>1616</v>
      </c>
    </row>
    <row r="1043" spans="2:6" ht="15">
      <c r="B1043" s="1011"/>
      <c r="C1043" s="1452" t="s">
        <v>1617</v>
      </c>
      <c r="D1043" s="1453"/>
      <c r="E1043" s="1453"/>
      <c r="F1043" s="1007" t="s">
        <v>1616</v>
      </c>
    </row>
    <row r="1044" spans="2:6" ht="15">
      <c r="B1044" s="1011"/>
      <c r="C1044" s="1450" t="s">
        <v>847</v>
      </c>
      <c r="D1044" s="1451"/>
      <c r="E1044" s="1451"/>
      <c r="F1044" s="1012" t="s">
        <v>1616</v>
      </c>
    </row>
    <row r="1045" spans="2:6" ht="15">
      <c r="B1045" s="1011"/>
      <c r="C1045" s="1450" t="s">
        <v>298</v>
      </c>
      <c r="D1045" s="1451"/>
      <c r="E1045" s="1451"/>
      <c r="F1045" s="1012"/>
    </row>
    <row r="1046" spans="2:6" ht="15">
      <c r="B1046" s="1011"/>
      <c r="C1046" s="1452" t="s">
        <v>289</v>
      </c>
      <c r="D1046" s="1453"/>
      <c r="E1046" s="1453"/>
      <c r="F1046" s="1007" t="s">
        <v>1372</v>
      </c>
    </row>
    <row r="1047" spans="2:6" ht="27.95" customHeight="1">
      <c r="B1047" s="1011"/>
      <c r="C1047" s="1452" t="s">
        <v>1618</v>
      </c>
      <c r="D1047" s="1453"/>
      <c r="E1047" s="1453"/>
      <c r="F1047" s="1007" t="s">
        <v>1203</v>
      </c>
    </row>
    <row r="1048" spans="2:6" ht="15">
      <c r="B1048" s="1011"/>
      <c r="C1048" s="1452" t="s">
        <v>1619</v>
      </c>
      <c r="D1048" s="1453"/>
      <c r="E1048" s="1453"/>
      <c r="F1048" s="1007" t="s">
        <v>1203</v>
      </c>
    </row>
    <row r="1049" spans="2:6" ht="27.95" customHeight="1">
      <c r="B1049" s="1011"/>
      <c r="C1049" s="1452" t="s">
        <v>1620</v>
      </c>
      <c r="D1049" s="1453"/>
      <c r="E1049" s="1453"/>
      <c r="F1049" s="1007" t="s">
        <v>1289</v>
      </c>
    </row>
    <row r="1050" spans="2:6" ht="15">
      <c r="B1050" s="1011"/>
      <c r="C1050" s="1452" t="s">
        <v>1621</v>
      </c>
      <c r="D1050" s="1453"/>
      <c r="E1050" s="1453"/>
      <c r="F1050" s="1007" t="s">
        <v>1289</v>
      </c>
    </row>
    <row r="1051" spans="2:6" ht="15">
      <c r="B1051" s="1011"/>
      <c r="C1051" s="1452" t="s">
        <v>1622</v>
      </c>
      <c r="D1051" s="1453"/>
      <c r="E1051" s="1453"/>
      <c r="F1051" s="1007" t="s">
        <v>1363</v>
      </c>
    </row>
    <row r="1052" spans="2:6" ht="15">
      <c r="B1052" s="1011"/>
      <c r="C1052" s="1452" t="s">
        <v>1623</v>
      </c>
      <c r="D1052" s="1453"/>
      <c r="E1052" s="1453"/>
      <c r="F1052" s="1007" t="s">
        <v>1363</v>
      </c>
    </row>
    <row r="1053" spans="2:6" ht="15">
      <c r="B1053" s="1011"/>
      <c r="C1053" s="1452" t="s">
        <v>1624</v>
      </c>
      <c r="D1053" s="1453"/>
      <c r="E1053" s="1453"/>
      <c r="F1053" s="1007" t="s">
        <v>1365</v>
      </c>
    </row>
    <row r="1054" spans="2:6" ht="15">
      <c r="B1054" s="1011"/>
      <c r="C1054" s="1452" t="s">
        <v>1625</v>
      </c>
      <c r="D1054" s="1453"/>
      <c r="E1054" s="1453"/>
      <c r="F1054" s="1007" t="s">
        <v>1365</v>
      </c>
    </row>
    <row r="1055" spans="2:6" ht="15">
      <c r="B1055" s="1011"/>
      <c r="C1055" s="1452" t="s">
        <v>1626</v>
      </c>
      <c r="D1055" s="1453"/>
      <c r="E1055" s="1453"/>
      <c r="F1055" s="1007" t="s">
        <v>1244</v>
      </c>
    </row>
    <row r="1056" spans="2:6" ht="15">
      <c r="B1056" s="1011"/>
      <c r="C1056" s="1452" t="s">
        <v>1627</v>
      </c>
      <c r="D1056" s="1453"/>
      <c r="E1056" s="1453"/>
      <c r="F1056" s="1007" t="s">
        <v>1244</v>
      </c>
    </row>
    <row r="1057" spans="2:6" ht="27.95" customHeight="1">
      <c r="B1057" s="1011"/>
      <c r="C1057" s="1452" t="s">
        <v>1628</v>
      </c>
      <c r="D1057" s="1453"/>
      <c r="E1057" s="1453"/>
      <c r="F1057" s="1007" t="s">
        <v>1368</v>
      </c>
    </row>
    <row r="1058" spans="2:6" ht="15">
      <c r="B1058" s="1011"/>
      <c r="C1058" s="1452" t="s">
        <v>1629</v>
      </c>
      <c r="D1058" s="1453"/>
      <c r="E1058" s="1453"/>
      <c r="F1058" s="1007" t="s">
        <v>1368</v>
      </c>
    </row>
    <row r="1059" spans="2:6" ht="27.95" customHeight="1">
      <c r="B1059" s="1011"/>
      <c r="C1059" s="1452" t="s">
        <v>1630</v>
      </c>
      <c r="D1059" s="1453"/>
      <c r="E1059" s="1453"/>
      <c r="F1059" s="1007" t="s">
        <v>1258</v>
      </c>
    </row>
    <row r="1060" spans="2:6" ht="15">
      <c r="B1060" s="1011"/>
      <c r="C1060" s="1452" t="s">
        <v>1631</v>
      </c>
      <c r="D1060" s="1453"/>
      <c r="E1060" s="1453"/>
      <c r="F1060" s="1007" t="s">
        <v>1258</v>
      </c>
    </row>
    <row r="1061" spans="2:6" ht="27.95" customHeight="1">
      <c r="B1061" s="1011"/>
      <c r="C1061" s="1452" t="s">
        <v>1632</v>
      </c>
      <c r="D1061" s="1453"/>
      <c r="E1061" s="1453"/>
      <c r="F1061" s="1007" t="s">
        <v>1344</v>
      </c>
    </row>
    <row r="1062" spans="2:6" ht="15">
      <c r="B1062" s="1011"/>
      <c r="C1062" s="1452" t="s">
        <v>1633</v>
      </c>
      <c r="D1062" s="1453"/>
      <c r="E1062" s="1453"/>
      <c r="F1062" s="1007" t="s">
        <v>1344</v>
      </c>
    </row>
    <row r="1063" spans="2:6" ht="15">
      <c r="B1063" s="1011"/>
      <c r="C1063" s="1452" t="s">
        <v>1634</v>
      </c>
      <c r="D1063" s="1453"/>
      <c r="E1063" s="1453"/>
      <c r="F1063" s="1007" t="s">
        <v>1372</v>
      </c>
    </row>
    <row r="1064" spans="2:6" ht="15">
      <c r="B1064" s="1011"/>
      <c r="C1064" s="1452" t="s">
        <v>848</v>
      </c>
      <c r="D1064" s="1453"/>
      <c r="E1064" s="1453"/>
      <c r="F1064" s="1007" t="s">
        <v>1434</v>
      </c>
    </row>
    <row r="1065" spans="2:6" ht="27.95" customHeight="1">
      <c r="B1065" s="1011"/>
      <c r="C1065" s="1452" t="s">
        <v>1635</v>
      </c>
      <c r="D1065" s="1453"/>
      <c r="E1065" s="1453"/>
      <c r="F1065" s="1007" t="s">
        <v>1434</v>
      </c>
    </row>
    <row r="1066" spans="2:6" ht="15">
      <c r="B1066" s="1011"/>
      <c r="C1066" s="1452" t="s">
        <v>1636</v>
      </c>
      <c r="D1066" s="1453"/>
      <c r="E1066" s="1453"/>
      <c r="F1066" s="1007" t="s">
        <v>1434</v>
      </c>
    </row>
    <row r="1067" spans="2:6" ht="15">
      <c r="B1067" s="1011"/>
      <c r="C1067" s="1452" t="s">
        <v>1637</v>
      </c>
      <c r="D1067" s="1453"/>
      <c r="E1067" s="1453"/>
      <c r="F1067" s="1007" t="s">
        <v>1434</v>
      </c>
    </row>
    <row r="1068" spans="2:6" ht="15">
      <c r="B1068" s="1011"/>
      <c r="C1068" s="1452" t="s">
        <v>290</v>
      </c>
      <c r="D1068" s="1453"/>
      <c r="E1068" s="1453"/>
      <c r="F1068" s="1007" t="s">
        <v>1614</v>
      </c>
    </row>
    <row r="1069" spans="2:6" ht="27.95" customHeight="1">
      <c r="B1069" s="1011"/>
      <c r="C1069" s="1452" t="s">
        <v>1638</v>
      </c>
      <c r="D1069" s="1453"/>
      <c r="E1069" s="1453"/>
      <c r="F1069" s="1007" t="s">
        <v>1608</v>
      </c>
    </row>
    <row r="1070" spans="2:6" ht="15">
      <c r="B1070" s="1011"/>
      <c r="C1070" s="1452" t="s">
        <v>1639</v>
      </c>
      <c r="D1070" s="1453"/>
      <c r="E1070" s="1453"/>
      <c r="F1070" s="1007" t="s">
        <v>1608</v>
      </c>
    </row>
    <row r="1071" spans="2:6" ht="27.95" customHeight="1">
      <c r="B1071" s="1011"/>
      <c r="C1071" s="1452" t="s">
        <v>1635</v>
      </c>
      <c r="D1071" s="1453"/>
      <c r="E1071" s="1453"/>
      <c r="F1071" s="1007" t="s">
        <v>1610</v>
      </c>
    </row>
    <row r="1072" spans="2:6" ht="15">
      <c r="B1072" s="1011"/>
      <c r="C1072" s="1452" t="s">
        <v>1640</v>
      </c>
      <c r="D1072" s="1453"/>
      <c r="E1072" s="1453"/>
      <c r="F1072" s="1007" t="s">
        <v>1610</v>
      </c>
    </row>
    <row r="1073" spans="2:6" ht="15">
      <c r="B1073" s="1011"/>
      <c r="C1073" s="1452" t="s">
        <v>1622</v>
      </c>
      <c r="D1073" s="1453"/>
      <c r="E1073" s="1453"/>
      <c r="F1073" s="1007" t="s">
        <v>1612</v>
      </c>
    </row>
    <row r="1074" spans="2:6" ht="15">
      <c r="B1074" s="1011"/>
      <c r="C1074" s="1452" t="s">
        <v>1641</v>
      </c>
      <c r="D1074" s="1453"/>
      <c r="E1074" s="1453"/>
      <c r="F1074" s="1007" t="s">
        <v>1612</v>
      </c>
    </row>
    <row r="1075" spans="2:6" ht="15">
      <c r="B1075" s="1011"/>
      <c r="C1075" s="1452" t="s">
        <v>1642</v>
      </c>
      <c r="D1075" s="1453"/>
      <c r="E1075" s="1453"/>
      <c r="F1075" s="1007" t="s">
        <v>1614</v>
      </c>
    </row>
    <row r="1076" spans="2:6" ht="15">
      <c r="B1076" s="1011"/>
      <c r="C1076" s="1452" t="s">
        <v>849</v>
      </c>
      <c r="D1076" s="1453"/>
      <c r="E1076" s="1453"/>
      <c r="F1076" s="1007" t="s">
        <v>1616</v>
      </c>
    </row>
    <row r="1077" spans="2:6" ht="27.95" customHeight="1">
      <c r="B1077" s="1011"/>
      <c r="C1077" s="1452" t="s">
        <v>1643</v>
      </c>
      <c r="D1077" s="1453"/>
      <c r="E1077" s="1453"/>
      <c r="F1077" s="1007" t="s">
        <v>1616</v>
      </c>
    </row>
    <row r="1078" spans="2:6" ht="15">
      <c r="B1078" s="1011"/>
      <c r="C1078" s="1452" t="s">
        <v>1644</v>
      </c>
      <c r="D1078" s="1453"/>
      <c r="E1078" s="1453"/>
      <c r="F1078" s="1007" t="s">
        <v>1616</v>
      </c>
    </row>
    <row r="1079" spans="2:6" ht="15">
      <c r="B1079" s="1011"/>
      <c r="C1079" s="1452" t="s">
        <v>1645</v>
      </c>
      <c r="D1079" s="1453"/>
      <c r="E1079" s="1453"/>
      <c r="F1079" s="1007" t="s">
        <v>1616</v>
      </c>
    </row>
    <row r="1080" spans="2:6" ht="15">
      <c r="B1080" s="1011"/>
      <c r="C1080" s="1452" t="s">
        <v>262</v>
      </c>
      <c r="D1080" s="1453"/>
      <c r="E1080" s="1453"/>
      <c r="F1080" s="1007" t="s">
        <v>1646</v>
      </c>
    </row>
    <row r="1081" spans="2:6" ht="15">
      <c r="B1081" s="1013"/>
      <c r="C1081" s="1455" t="s">
        <v>291</v>
      </c>
      <c r="D1081" s="1456"/>
      <c r="E1081" s="1456"/>
      <c r="F1081" s="1014">
        <v>8242271</v>
      </c>
    </row>
    <row r="1082" spans="2:6">
      <c r="B1082" s="1015"/>
      <c r="C1082" s="1016"/>
      <c r="D1082" s="253"/>
      <c r="E1082" s="1017"/>
      <c r="F1082" s="1018"/>
    </row>
    <row r="1083" spans="2:6">
      <c r="B1083" s="1015"/>
      <c r="C1083" s="1016"/>
      <c r="D1083" s="253"/>
      <c r="E1083" s="1017"/>
      <c r="F1083" s="1019"/>
    </row>
    <row r="1084" spans="2:6">
      <c r="B1084" s="1000"/>
      <c r="C1084" s="1000"/>
      <c r="D1084" s="1000"/>
      <c r="E1084" s="1000"/>
      <c r="F1084" s="1000"/>
    </row>
    <row r="1085" spans="2:6">
      <c r="B1085" s="254" t="s">
        <v>292</v>
      </c>
    </row>
    <row r="1086" spans="2:6">
      <c r="B1086" s="254" t="s">
        <v>293</v>
      </c>
    </row>
    <row r="1087" spans="2:6">
      <c r="B1087" s="254" t="s">
        <v>294</v>
      </c>
    </row>
    <row r="1088" spans="2:6">
      <c r="B1088" s="254" t="s">
        <v>295</v>
      </c>
    </row>
    <row r="1090" spans="2:2">
      <c r="B1090" s="255"/>
    </row>
  </sheetData>
  <mergeCells count="198">
    <mergeCell ref="C1076:E1076"/>
    <mergeCell ref="C1077:E1077"/>
    <mergeCell ref="C1078:E1078"/>
    <mergeCell ref="C1079:E1079"/>
    <mergeCell ref="C1080:E1080"/>
    <mergeCell ref="C1081:E1081"/>
    <mergeCell ref="C1070:E1070"/>
    <mergeCell ref="C1071:E1071"/>
    <mergeCell ref="C1072:E1072"/>
    <mergeCell ref="C1073:E1073"/>
    <mergeCell ref="C1074:E1074"/>
    <mergeCell ref="C1075:E1075"/>
    <mergeCell ref="C1064:E1064"/>
    <mergeCell ref="C1065:E1065"/>
    <mergeCell ref="C1066:E1066"/>
    <mergeCell ref="C1067:E1067"/>
    <mergeCell ref="C1068:E1068"/>
    <mergeCell ref="C1069:E1069"/>
    <mergeCell ref="C1058:E1058"/>
    <mergeCell ref="C1059:E1059"/>
    <mergeCell ref="C1060:E1060"/>
    <mergeCell ref="C1061:E1061"/>
    <mergeCell ref="C1062:E1062"/>
    <mergeCell ref="C1063:E1063"/>
    <mergeCell ref="C1052:E1052"/>
    <mergeCell ref="C1053:E1053"/>
    <mergeCell ref="C1054:E1054"/>
    <mergeCell ref="C1055:E1055"/>
    <mergeCell ref="C1056:E1056"/>
    <mergeCell ref="C1057:E1057"/>
    <mergeCell ref="C1046:E1046"/>
    <mergeCell ref="C1047:E1047"/>
    <mergeCell ref="C1048:E1048"/>
    <mergeCell ref="C1049:E1049"/>
    <mergeCell ref="C1050:E1050"/>
    <mergeCell ref="C1051:E1051"/>
    <mergeCell ref="B1036:B1040"/>
    <mergeCell ref="C1041:E1041"/>
    <mergeCell ref="C1042:E1042"/>
    <mergeCell ref="C1043:E1043"/>
    <mergeCell ref="C1044:E1044"/>
    <mergeCell ref="C1045:E1045"/>
    <mergeCell ref="C1030:E1030"/>
    <mergeCell ref="C1031:E1031"/>
    <mergeCell ref="C1032:E1032"/>
    <mergeCell ref="C1033:E1033"/>
    <mergeCell ref="C1034:E1034"/>
    <mergeCell ref="B1035:F1035"/>
    <mergeCell ref="B999:B1020"/>
    <mergeCell ref="B1021:B1025"/>
    <mergeCell ref="C1026:E1026"/>
    <mergeCell ref="C1027:E1027"/>
    <mergeCell ref="C1028:E1028"/>
    <mergeCell ref="C1029:E1029"/>
    <mergeCell ref="B931:B952"/>
    <mergeCell ref="B953:F953"/>
    <mergeCell ref="B954:B975"/>
    <mergeCell ref="B976:F976"/>
    <mergeCell ref="B977:B997"/>
    <mergeCell ref="B998:F998"/>
    <mergeCell ref="B875:B882"/>
    <mergeCell ref="B883:F883"/>
    <mergeCell ref="B884:B905"/>
    <mergeCell ref="B906:F906"/>
    <mergeCell ref="B907:B929"/>
    <mergeCell ref="B930:F930"/>
    <mergeCell ref="B833:B842"/>
    <mergeCell ref="B843:F843"/>
    <mergeCell ref="B844:B849"/>
    <mergeCell ref="B850:F850"/>
    <mergeCell ref="B851:B873"/>
    <mergeCell ref="B874:F874"/>
    <mergeCell ref="B797:B801"/>
    <mergeCell ref="B802:F802"/>
    <mergeCell ref="B803:B824"/>
    <mergeCell ref="B825:F825"/>
    <mergeCell ref="B826:B831"/>
    <mergeCell ref="B832:F832"/>
    <mergeCell ref="B762:B766"/>
    <mergeCell ref="B767:F767"/>
    <mergeCell ref="B768:B772"/>
    <mergeCell ref="B773:F773"/>
    <mergeCell ref="B774:B795"/>
    <mergeCell ref="B796:F796"/>
    <mergeCell ref="B737:B748"/>
    <mergeCell ref="B749:F749"/>
    <mergeCell ref="B750:B754"/>
    <mergeCell ref="B755:F755"/>
    <mergeCell ref="B756:B760"/>
    <mergeCell ref="B761:F761"/>
    <mergeCell ref="B696:F696"/>
    <mergeCell ref="B697:B717"/>
    <mergeCell ref="B718:F718"/>
    <mergeCell ref="B719:B723"/>
    <mergeCell ref="B724:F724"/>
    <mergeCell ref="B725:B736"/>
    <mergeCell ref="B673:B677"/>
    <mergeCell ref="B678:F678"/>
    <mergeCell ref="B679:B684"/>
    <mergeCell ref="B685:B689"/>
    <mergeCell ref="B690:F690"/>
    <mergeCell ref="B691:B695"/>
    <mergeCell ref="C667:E667"/>
    <mergeCell ref="C668:E668"/>
    <mergeCell ref="C669:E669"/>
    <mergeCell ref="C670:E670"/>
    <mergeCell ref="B671:F671"/>
    <mergeCell ref="B672:F672"/>
    <mergeCell ref="B600:F600"/>
    <mergeCell ref="B601:B621"/>
    <mergeCell ref="B622:F622"/>
    <mergeCell ref="B623:B643"/>
    <mergeCell ref="B644:F644"/>
    <mergeCell ref="B645:B666"/>
    <mergeCell ref="C574:E574"/>
    <mergeCell ref="B575:F575"/>
    <mergeCell ref="B576:F576"/>
    <mergeCell ref="B577:B597"/>
    <mergeCell ref="B598:F598"/>
    <mergeCell ref="C599:F599"/>
    <mergeCell ref="C568:E568"/>
    <mergeCell ref="C569:E569"/>
    <mergeCell ref="C570:E570"/>
    <mergeCell ref="C571:E571"/>
    <mergeCell ref="C572:E572"/>
    <mergeCell ref="C573:E573"/>
    <mergeCell ref="C562:E562"/>
    <mergeCell ref="C563:E563"/>
    <mergeCell ref="C564:E564"/>
    <mergeCell ref="C565:E565"/>
    <mergeCell ref="C566:E566"/>
    <mergeCell ref="C567:E567"/>
    <mergeCell ref="C556:E556"/>
    <mergeCell ref="C557:E557"/>
    <mergeCell ref="C558:E558"/>
    <mergeCell ref="C559:E559"/>
    <mergeCell ref="C560:E560"/>
    <mergeCell ref="C561:E561"/>
    <mergeCell ref="B489:B504"/>
    <mergeCell ref="B505:F505"/>
    <mergeCell ref="B506:B521"/>
    <mergeCell ref="B522:B537"/>
    <mergeCell ref="B538:F538"/>
    <mergeCell ref="B539:B555"/>
    <mergeCell ref="B393:B408"/>
    <mergeCell ref="B409:B424"/>
    <mergeCell ref="B425:B440"/>
    <mergeCell ref="B441:B456"/>
    <mergeCell ref="B457:B472"/>
    <mergeCell ref="B473:B488"/>
    <mergeCell ref="B297:B312"/>
    <mergeCell ref="B313:B328"/>
    <mergeCell ref="B329:B344"/>
    <mergeCell ref="B345:B360"/>
    <mergeCell ref="B361:B376"/>
    <mergeCell ref="B377:B392"/>
    <mergeCell ref="B216:F216"/>
    <mergeCell ref="B217:B232"/>
    <mergeCell ref="B233:B248"/>
    <mergeCell ref="B249:B264"/>
    <mergeCell ref="B265:B280"/>
    <mergeCell ref="B281:B296"/>
    <mergeCell ref="B154:B168"/>
    <mergeCell ref="B169:B183"/>
    <mergeCell ref="B184:F184"/>
    <mergeCell ref="B185:F185"/>
    <mergeCell ref="B186:B200"/>
    <mergeCell ref="B201:B215"/>
    <mergeCell ref="B112:B133"/>
    <mergeCell ref="B134:F134"/>
    <mergeCell ref="B135:F135"/>
    <mergeCell ref="B136:B151"/>
    <mergeCell ref="B152:F152"/>
    <mergeCell ref="B153:F153"/>
    <mergeCell ref="B72:B75"/>
    <mergeCell ref="B76:F76"/>
    <mergeCell ref="B77:B96"/>
    <mergeCell ref="B97:F97"/>
    <mergeCell ref="B98:B110"/>
    <mergeCell ref="B111:F111"/>
    <mergeCell ref="B51:F51"/>
    <mergeCell ref="B52:B70"/>
    <mergeCell ref="B71:F71"/>
    <mergeCell ref="C11:F11"/>
    <mergeCell ref="C13:F13"/>
    <mergeCell ref="B19:F19"/>
    <mergeCell ref="B20:F20"/>
    <mergeCell ref="B21:B24"/>
    <mergeCell ref="B25:F25"/>
    <mergeCell ref="B2:C2"/>
    <mergeCell ref="D3:F3"/>
    <mergeCell ref="B4:F4"/>
    <mergeCell ref="B5:E5"/>
    <mergeCell ref="B7:F7"/>
    <mergeCell ref="B8:E8"/>
    <mergeCell ref="B26:B29"/>
    <mergeCell ref="B30:F30"/>
    <mergeCell ref="B31:B50"/>
  </mergeCells>
  <pageMargins left="0.23622047244094491" right="0.23622047244094491" top="0.39370078740157483" bottom="0.39370078740157483" header="0.31496062992125984" footer="0.31496062992125984"/>
  <pageSetup paperSize="9" fitToHeight="0" orientation="portrait" verticalDpi="4294967293" r:id="rId1"/>
  <headerFoot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87"/>
  <sheetViews>
    <sheetView view="pageBreakPreview" topLeftCell="A9" zoomScaleNormal="100" zoomScaleSheetLayoutView="100" workbookViewId="0">
      <selection activeCell="I20" sqref="I20"/>
    </sheetView>
  </sheetViews>
  <sheetFormatPr defaultColWidth="9.140625" defaultRowHeight="1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>
      <c r="A1" s="200"/>
      <c r="B1" s="201"/>
      <c r="C1" s="202"/>
      <c r="D1" s="202"/>
      <c r="E1" s="202"/>
      <c r="F1" s="201"/>
      <c r="G1" s="201"/>
      <c r="H1" s="203"/>
    </row>
    <row r="2" spans="1:8" ht="15.75">
      <c r="A2" s="1457" t="s">
        <v>109</v>
      </c>
      <c r="B2" s="1458"/>
      <c r="C2" s="1458"/>
      <c r="D2" s="1458"/>
      <c r="E2" s="1458"/>
      <c r="F2" s="1458"/>
      <c r="G2" s="1458"/>
      <c r="H2" s="1458"/>
    </row>
    <row r="3" spans="1:8" ht="15.75">
      <c r="A3" s="1459"/>
      <c r="B3" s="1458"/>
      <c r="C3" s="1458"/>
      <c r="D3" s="1458"/>
      <c r="E3" s="1458"/>
      <c r="F3" s="1458"/>
      <c r="G3" s="1458"/>
      <c r="H3" s="1458"/>
    </row>
    <row r="4" spans="1:8" ht="55.9" customHeight="1">
      <c r="A4" s="1460" t="s">
        <v>78</v>
      </c>
      <c r="B4" s="1458"/>
      <c r="C4" s="1461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4" s="1461"/>
      <c r="E4" s="1461"/>
      <c r="F4" s="1462"/>
      <c r="G4" s="1462"/>
      <c r="H4" s="1462"/>
    </row>
    <row r="5" spans="1:8" ht="17.25" customHeight="1">
      <c r="A5" s="1460" t="s">
        <v>79</v>
      </c>
      <c r="B5" s="1458"/>
      <c r="C5" s="1463"/>
      <c r="D5" s="1463"/>
      <c r="E5" s="1463"/>
      <c r="F5" s="1458"/>
      <c r="G5" s="1458"/>
      <c r="H5" s="1458"/>
    </row>
    <row r="6" spans="1:8" ht="30" customHeight="1">
      <c r="A6" s="1464" t="s">
        <v>81</v>
      </c>
      <c r="B6" s="1458"/>
      <c r="C6" s="1463" t="s">
        <v>87</v>
      </c>
      <c r="D6" s="1463"/>
      <c r="E6" s="1463"/>
      <c r="F6" s="1458"/>
      <c r="G6" s="1458"/>
      <c r="H6" s="1458"/>
    </row>
    <row r="7" spans="1:8" ht="15.75">
      <c r="A7" s="1460" t="s">
        <v>82</v>
      </c>
      <c r="B7" s="1458"/>
      <c r="C7" s="1465"/>
      <c r="D7" s="1465"/>
      <c r="E7" s="1465"/>
      <c r="F7" s="1458"/>
      <c r="G7" s="1458"/>
      <c r="H7" s="1458"/>
    </row>
    <row r="8" spans="1:8" ht="15.75">
      <c r="A8" s="1460" t="s">
        <v>83</v>
      </c>
      <c r="B8" s="1458"/>
      <c r="C8" s="1465" t="s">
        <v>1136</v>
      </c>
      <c r="D8" s="1465"/>
      <c r="E8" s="1465"/>
      <c r="F8" s="1458"/>
      <c r="G8" s="1458"/>
      <c r="H8" s="1458"/>
    </row>
    <row r="9" spans="1:8" ht="15.75">
      <c r="A9" s="200"/>
      <c r="B9" s="201"/>
      <c r="C9" s="202"/>
      <c r="D9" s="202"/>
      <c r="E9" s="202"/>
      <c r="F9" s="201"/>
      <c r="G9" s="201"/>
      <c r="H9" s="203"/>
    </row>
    <row r="10" spans="1:8" ht="94.5">
      <c r="A10" s="204" t="s">
        <v>2</v>
      </c>
      <c r="B10" s="204" t="s">
        <v>35</v>
      </c>
      <c r="C10" s="1469" t="s">
        <v>84</v>
      </c>
      <c r="D10" s="1320"/>
      <c r="E10" s="1320"/>
      <c r="F10" s="204" t="s">
        <v>36</v>
      </c>
      <c r="G10" s="204" t="s">
        <v>85</v>
      </c>
      <c r="H10" s="205" t="s">
        <v>86</v>
      </c>
    </row>
    <row r="11" spans="1:8" ht="15" customHeight="1">
      <c r="A11" s="1470">
        <v>1</v>
      </c>
      <c r="B11" s="1472" t="s">
        <v>10</v>
      </c>
      <c r="C11" s="1473"/>
      <c r="D11" s="1474"/>
      <c r="E11" s="1475"/>
      <c r="F11" s="206"/>
      <c r="G11" s="1476"/>
      <c r="H11" s="1466"/>
    </row>
    <row r="12" spans="1:8" ht="31.5">
      <c r="A12" s="1471"/>
      <c r="B12" s="1312"/>
      <c r="C12" s="207" t="s">
        <v>1148</v>
      </c>
      <c r="D12" s="208">
        <f>'Cводная смета ПИР'!G22-'Cводная смета ПИР'!G19-'Cводная смета ПИР'!G21</f>
        <v>31076741</v>
      </c>
      <c r="E12" s="209" t="s">
        <v>89</v>
      </c>
      <c r="F12" s="210"/>
      <c r="G12" s="1477"/>
      <c r="H12" s="1467"/>
    </row>
    <row r="13" spans="1:8" ht="15.75">
      <c r="A13" s="1471"/>
      <c r="B13" s="1312"/>
      <c r="C13" s="207" t="s">
        <v>1149</v>
      </c>
      <c r="D13" s="211">
        <v>5.12</v>
      </c>
      <c r="E13" s="212"/>
      <c r="F13" s="210"/>
      <c r="G13" s="1477"/>
      <c r="H13" s="1467"/>
    </row>
    <row r="14" spans="1:8" ht="31.5">
      <c r="A14" s="1471"/>
      <c r="B14" s="1312"/>
      <c r="C14" s="207" t="s">
        <v>140</v>
      </c>
      <c r="D14" s="208">
        <f>D12/D13</f>
        <v>6069676</v>
      </c>
      <c r="E14" s="209" t="s">
        <v>89</v>
      </c>
      <c r="F14" s="210"/>
      <c r="G14" s="1477"/>
      <c r="H14" s="1467"/>
    </row>
    <row r="15" spans="1:8" ht="15" customHeight="1">
      <c r="A15" s="1470">
        <v>2</v>
      </c>
      <c r="B15" s="1472" t="s">
        <v>80</v>
      </c>
      <c r="C15" s="1473"/>
      <c r="D15" s="1474"/>
      <c r="E15" s="1475"/>
      <c r="F15" s="206"/>
      <c r="G15" s="1477"/>
      <c r="H15" s="1467"/>
    </row>
    <row r="16" spans="1:8" ht="32.450000000000003" customHeight="1">
      <c r="A16" s="1471"/>
      <c r="B16" s="1312"/>
      <c r="C16" s="207" t="s">
        <v>1150</v>
      </c>
      <c r="D16" s="208">
        <f>'Cводная смета ПИР'!G24</f>
        <v>8242271</v>
      </c>
      <c r="E16" s="209" t="s">
        <v>89</v>
      </c>
      <c r="F16" s="210"/>
      <c r="G16" s="1477"/>
      <c r="H16" s="1467"/>
    </row>
    <row r="17" spans="1:15" ht="25.9" customHeight="1">
      <c r="A17" s="1471"/>
      <c r="B17" s="1312"/>
      <c r="C17" s="207" t="s">
        <v>1149</v>
      </c>
      <c r="D17" s="211">
        <v>5.07</v>
      </c>
      <c r="E17" s="212"/>
      <c r="F17" s="210"/>
      <c r="G17" s="1477"/>
      <c r="H17" s="1467"/>
    </row>
    <row r="18" spans="1:15" ht="31.5">
      <c r="A18" s="1471"/>
      <c r="B18" s="1312"/>
      <c r="C18" s="207" t="s">
        <v>141</v>
      </c>
      <c r="D18" s="208">
        <f>D16/D17</f>
        <v>1625694</v>
      </c>
      <c r="E18" s="209" t="s">
        <v>89</v>
      </c>
      <c r="F18" s="210"/>
      <c r="G18" s="1478"/>
      <c r="H18" s="1468"/>
      <c r="O18" s="89" t="s">
        <v>93</v>
      </c>
    </row>
    <row r="19" spans="1:15" ht="39.75" customHeight="1">
      <c r="A19" s="213"/>
      <c r="B19" s="214"/>
      <c r="C19" s="215" t="s">
        <v>94</v>
      </c>
      <c r="D19" s="216">
        <f>D14+D18</f>
        <v>7695370</v>
      </c>
      <c r="E19" s="217" t="s">
        <v>89</v>
      </c>
      <c r="F19" s="218"/>
      <c r="G19" s="219" t="s">
        <v>1679</v>
      </c>
      <c r="H19" s="220"/>
    </row>
    <row r="20" spans="1:15" ht="66.75" customHeight="1">
      <c r="A20" s="221"/>
      <c r="B20" s="222" t="s">
        <v>88</v>
      </c>
      <c r="C20" s="223" t="s">
        <v>90</v>
      </c>
      <c r="D20" s="706">
        <v>7.0699999999999999E-2</v>
      </c>
      <c r="E20" s="224"/>
      <c r="F20" s="225"/>
      <c r="G20" s="226"/>
      <c r="H20" s="232">
        <f>D19*D20</f>
        <v>544063</v>
      </c>
    </row>
    <row r="21" spans="1:15" ht="57" customHeight="1">
      <c r="A21" s="221"/>
      <c r="B21" s="227"/>
      <c r="C21" s="228" t="s">
        <v>1151</v>
      </c>
      <c r="D21" s="231">
        <v>6.18</v>
      </c>
      <c r="E21" s="229"/>
      <c r="F21" s="230"/>
      <c r="G21" s="167"/>
      <c r="H21" s="233">
        <f>H20*D21</f>
        <v>3362309</v>
      </c>
    </row>
    <row r="22" spans="1:15">
      <c r="A22" s="108"/>
      <c r="B22" s="109"/>
      <c r="C22" s="109"/>
      <c r="D22" s="109"/>
      <c r="E22" s="109"/>
      <c r="F22" s="109"/>
      <c r="G22" s="109"/>
      <c r="H22" s="110">
        <f>H21*1.2</f>
        <v>4034770.8</v>
      </c>
      <c r="I22" s="89" t="s">
        <v>1131</v>
      </c>
    </row>
    <row r="23" spans="1:15" ht="45">
      <c r="A23" s="108"/>
      <c r="B23" s="109"/>
      <c r="C23" s="1023" t="s">
        <v>1647</v>
      </c>
      <c r="D23" s="1023" t="s">
        <v>1648</v>
      </c>
      <c r="E23" s="109"/>
      <c r="F23" s="109"/>
      <c r="G23" s="109"/>
      <c r="H23" s="110"/>
    </row>
    <row r="24" spans="1:15">
      <c r="A24" s="108"/>
      <c r="B24" s="109"/>
      <c r="C24" s="1023" t="s">
        <v>1649</v>
      </c>
      <c r="D24" s="1023" t="s">
        <v>1650</v>
      </c>
      <c r="E24" s="109"/>
      <c r="F24" s="109"/>
      <c r="G24" s="109"/>
      <c r="H24" s="110"/>
    </row>
    <row r="25" spans="1:15">
      <c r="A25" s="108"/>
      <c r="B25" s="109"/>
      <c r="C25" s="1023" t="s">
        <v>1651</v>
      </c>
      <c r="D25" s="1023">
        <v>33.75</v>
      </c>
      <c r="E25" s="109"/>
      <c r="F25" s="109"/>
      <c r="G25" s="109"/>
      <c r="H25" s="110"/>
    </row>
    <row r="26" spans="1:15">
      <c r="A26" s="108"/>
      <c r="B26" s="109"/>
      <c r="C26" s="1023" t="s">
        <v>1652</v>
      </c>
      <c r="D26" s="1023">
        <v>29.25</v>
      </c>
      <c r="E26" s="109"/>
      <c r="F26" s="109"/>
      <c r="G26" s="109"/>
      <c r="H26" s="110"/>
    </row>
    <row r="27" spans="1:15">
      <c r="A27" s="108"/>
      <c r="B27" s="109"/>
      <c r="C27" s="1023" t="s">
        <v>1653</v>
      </c>
      <c r="D27" s="1023">
        <v>27.3</v>
      </c>
      <c r="E27" s="109"/>
      <c r="F27" s="109"/>
      <c r="G27" s="109"/>
      <c r="H27" s="110"/>
    </row>
    <row r="28" spans="1:15">
      <c r="A28" s="108"/>
      <c r="B28" s="109"/>
      <c r="C28" s="1023" t="s">
        <v>1654</v>
      </c>
      <c r="D28" s="1023">
        <v>20.22</v>
      </c>
      <c r="E28" s="109"/>
      <c r="F28" s="109"/>
      <c r="G28" s="109"/>
      <c r="H28" s="110"/>
    </row>
    <row r="29" spans="1:15">
      <c r="A29" s="108"/>
      <c r="B29" s="109"/>
      <c r="C29" s="1023" t="s">
        <v>1655</v>
      </c>
      <c r="D29" s="1023">
        <v>16.649999999999999</v>
      </c>
      <c r="E29" s="109"/>
      <c r="F29" s="109"/>
      <c r="G29" s="109"/>
      <c r="H29" s="110"/>
    </row>
    <row r="30" spans="1:15">
      <c r="A30" s="108"/>
      <c r="B30" s="109"/>
      <c r="C30" s="1024" t="s">
        <v>1656</v>
      </c>
      <c r="D30" s="1024">
        <v>12.69</v>
      </c>
      <c r="E30" s="109"/>
      <c r="F30" s="109"/>
      <c r="G30" s="109"/>
      <c r="H30" s="110"/>
    </row>
    <row r="31" spans="1:15">
      <c r="A31" s="108"/>
      <c r="B31" s="109"/>
      <c r="C31" s="1023" t="s">
        <v>1657</v>
      </c>
      <c r="D31" s="1023">
        <v>11.88</v>
      </c>
      <c r="E31" s="109"/>
      <c r="F31" s="109"/>
      <c r="G31" s="109"/>
      <c r="H31" s="110"/>
    </row>
    <row r="32" spans="1:15">
      <c r="A32" s="108"/>
      <c r="B32" s="109"/>
      <c r="C32" s="1025" t="s">
        <v>1658</v>
      </c>
      <c r="D32" s="1025">
        <v>10.98</v>
      </c>
      <c r="E32" s="109"/>
      <c r="F32" s="109"/>
      <c r="G32" s="109"/>
      <c r="H32" s="110"/>
    </row>
    <row r="33" spans="1:8">
      <c r="A33" s="108"/>
      <c r="B33" s="109"/>
      <c r="C33" s="1024" t="s">
        <v>1659</v>
      </c>
      <c r="D33" s="1024">
        <v>8.77</v>
      </c>
      <c r="E33" s="109"/>
      <c r="F33" s="109"/>
      <c r="G33" s="109"/>
      <c r="H33" s="110"/>
    </row>
    <row r="34" spans="1:8">
      <c r="A34" s="108"/>
      <c r="B34" s="109"/>
      <c r="C34" s="1026" t="s">
        <v>1660</v>
      </c>
      <c r="D34" s="1026">
        <v>7.07</v>
      </c>
      <c r="E34" s="109"/>
      <c r="F34" s="109"/>
      <c r="G34" s="109"/>
      <c r="H34" s="110"/>
    </row>
    <row r="35" spans="1:8">
      <c r="A35" s="108"/>
      <c r="B35" s="109"/>
      <c r="C35" s="1023" t="s">
        <v>1661</v>
      </c>
      <c r="D35" s="1023">
        <v>6.15</v>
      </c>
      <c r="E35" s="109"/>
      <c r="F35" s="109"/>
      <c r="G35" s="109"/>
      <c r="H35" s="110"/>
    </row>
    <row r="36" spans="1:8">
      <c r="A36" s="108"/>
      <c r="B36" s="109"/>
      <c r="C36" s="1023" t="s">
        <v>1662</v>
      </c>
      <c r="D36" s="1023">
        <v>4.76</v>
      </c>
      <c r="E36" s="109"/>
      <c r="F36" s="109"/>
      <c r="G36" s="109"/>
      <c r="H36" s="110"/>
    </row>
    <row r="37" spans="1:8">
      <c r="A37" s="108"/>
      <c r="B37" s="109"/>
      <c r="C37" s="1023" t="s">
        <v>1663</v>
      </c>
      <c r="D37" s="1023">
        <v>4.13</v>
      </c>
      <c r="E37" s="109"/>
      <c r="F37" s="109"/>
      <c r="G37" s="109"/>
      <c r="H37" s="110"/>
    </row>
    <row r="38" spans="1:8">
      <c r="A38" s="108"/>
      <c r="B38" s="109"/>
      <c r="C38" s="1023" t="s">
        <v>1664</v>
      </c>
      <c r="D38" s="1023">
        <v>3.52</v>
      </c>
      <c r="E38" s="109"/>
      <c r="F38" s="109"/>
      <c r="G38" s="109"/>
      <c r="H38" s="110"/>
    </row>
    <row r="39" spans="1:8">
      <c r="A39" s="108"/>
      <c r="B39" s="109"/>
      <c r="C39" s="1023" t="s">
        <v>1665</v>
      </c>
      <c r="D39" s="1023">
        <v>3.06</v>
      </c>
      <c r="E39" s="109"/>
      <c r="F39" s="109"/>
      <c r="G39" s="109"/>
      <c r="H39" s="110"/>
    </row>
    <row r="40" spans="1:8">
      <c r="A40" s="108"/>
      <c r="B40" s="109"/>
      <c r="C40" s="1023" t="s">
        <v>1666</v>
      </c>
      <c r="D40" s="1023">
        <v>2.62</v>
      </c>
      <c r="E40" s="109"/>
      <c r="F40" s="109"/>
      <c r="G40" s="109"/>
      <c r="H40" s="110"/>
    </row>
    <row r="41" spans="1:8">
      <c r="A41" s="108"/>
      <c r="B41" s="109"/>
      <c r="C41" s="1023" t="s">
        <v>1667</v>
      </c>
      <c r="D41" s="1023">
        <v>2.33</v>
      </c>
      <c r="E41" s="109"/>
      <c r="F41" s="109"/>
      <c r="G41" s="109"/>
      <c r="H41" s="110"/>
    </row>
    <row r="42" spans="1:8">
      <c r="A42" s="108"/>
      <c r="B42" s="109"/>
      <c r="C42" s="1023" t="s">
        <v>1668</v>
      </c>
      <c r="D42" s="1023">
        <v>2.0099999999999998</v>
      </c>
      <c r="E42" s="109"/>
      <c r="F42" s="109"/>
      <c r="G42" s="109"/>
      <c r="H42" s="110"/>
    </row>
    <row r="43" spans="1:8">
      <c r="A43" s="108"/>
      <c r="B43" s="109"/>
      <c r="C43" s="1023" t="s">
        <v>1669</v>
      </c>
      <c r="D43" s="1023">
        <v>1.68</v>
      </c>
      <c r="E43" s="109"/>
      <c r="F43" s="109"/>
      <c r="G43" s="109"/>
      <c r="H43" s="110"/>
    </row>
    <row r="44" spans="1:8">
      <c r="A44" s="108"/>
      <c r="B44" s="109"/>
      <c r="C44" s="1023" t="s">
        <v>1670</v>
      </c>
      <c r="D44" s="1023">
        <v>1.56</v>
      </c>
      <c r="E44" s="109"/>
      <c r="F44" s="109"/>
      <c r="G44" s="109"/>
      <c r="H44" s="110"/>
    </row>
    <row r="45" spans="1:8">
      <c r="A45" s="108"/>
      <c r="B45" s="109"/>
      <c r="C45" s="1023" t="s">
        <v>1671</v>
      </c>
      <c r="D45" s="1023">
        <v>1.22</v>
      </c>
      <c r="E45" s="109"/>
      <c r="F45" s="109"/>
      <c r="G45" s="109"/>
      <c r="H45" s="110"/>
    </row>
    <row r="46" spans="1:8">
      <c r="A46" s="108"/>
      <c r="B46" s="109"/>
      <c r="C46" s="1023" t="s">
        <v>1672</v>
      </c>
      <c r="D46" s="1023">
        <v>1.04</v>
      </c>
      <c r="E46" s="109"/>
      <c r="F46" s="109"/>
      <c r="G46" s="109"/>
      <c r="H46" s="110"/>
    </row>
    <row r="47" spans="1:8">
      <c r="A47" s="108"/>
      <c r="B47" s="109"/>
      <c r="C47" s="1023" t="s">
        <v>1673</v>
      </c>
      <c r="D47" s="1023">
        <v>0.9</v>
      </c>
      <c r="E47" s="109"/>
      <c r="F47" s="109"/>
      <c r="G47" s="109"/>
      <c r="H47" s="110"/>
    </row>
    <row r="48" spans="1:8">
      <c r="A48" s="108"/>
      <c r="B48" s="109"/>
      <c r="C48" s="1023" t="s">
        <v>1674</v>
      </c>
      <c r="D48" s="1023">
        <v>0.8</v>
      </c>
      <c r="E48" s="109"/>
      <c r="F48" s="109"/>
      <c r="G48" s="109"/>
      <c r="H48" s="110"/>
    </row>
    <row r="49" spans="1:8">
      <c r="A49" s="108"/>
      <c r="B49" s="109"/>
      <c r="C49" s="1023" t="s">
        <v>1675</v>
      </c>
      <c r="D49" s="1023">
        <v>0.73</v>
      </c>
      <c r="E49" s="109"/>
      <c r="F49" s="109"/>
      <c r="G49" s="109"/>
      <c r="H49" s="110"/>
    </row>
    <row r="50" spans="1:8">
      <c r="A50" s="108"/>
      <c r="B50" s="109"/>
      <c r="C50" s="1023" t="s">
        <v>1676</v>
      </c>
      <c r="D50" s="1023">
        <v>0.66</v>
      </c>
      <c r="E50" s="109"/>
      <c r="F50" s="109"/>
      <c r="G50" s="109"/>
      <c r="H50" s="110"/>
    </row>
    <row r="51" spans="1:8">
      <c r="A51" s="108"/>
      <c r="B51" s="109"/>
      <c r="C51" s="1023" t="s">
        <v>1677</v>
      </c>
      <c r="D51" s="1023">
        <v>0.61</v>
      </c>
      <c r="E51" s="109"/>
      <c r="F51" s="109"/>
      <c r="G51" s="109"/>
      <c r="H51" s="110"/>
    </row>
    <row r="52" spans="1:8">
      <c r="A52" s="108"/>
      <c r="B52" s="109"/>
      <c r="C52" s="1023" t="s">
        <v>1678</v>
      </c>
      <c r="D52" s="1023">
        <v>0.57999999999999996</v>
      </c>
      <c r="E52" s="109"/>
      <c r="F52" s="109"/>
      <c r="G52" s="109"/>
      <c r="H52" s="110"/>
    </row>
    <row r="53" spans="1:8">
      <c r="A53" s="108"/>
      <c r="B53" s="109"/>
      <c r="C53" s="109"/>
      <c r="D53" s="109"/>
      <c r="E53" s="109"/>
      <c r="F53" s="109"/>
      <c r="G53" s="109"/>
      <c r="H53" s="110"/>
    </row>
    <row r="54" spans="1:8">
      <c r="A54" s="108"/>
      <c r="B54" s="109"/>
      <c r="C54" s="109"/>
      <c r="D54" s="109"/>
      <c r="E54" s="109"/>
      <c r="F54" s="109"/>
      <c r="G54" s="109"/>
      <c r="H54" s="110"/>
    </row>
    <row r="55" spans="1:8">
      <c r="A55" s="108"/>
      <c r="B55" s="109"/>
      <c r="C55" s="109"/>
      <c r="D55" s="109"/>
      <c r="E55" s="109"/>
      <c r="F55" s="109"/>
      <c r="G55" s="109"/>
      <c r="H55" s="110"/>
    </row>
    <row r="56" spans="1:8">
      <c r="A56" s="108"/>
      <c r="B56" s="109"/>
      <c r="C56" s="109"/>
      <c r="D56" s="109"/>
      <c r="E56" s="109"/>
      <c r="F56" s="109"/>
      <c r="G56" s="109"/>
      <c r="H56" s="110"/>
    </row>
    <row r="57" spans="1:8">
      <c r="A57" s="108"/>
      <c r="B57" s="109"/>
      <c r="C57" s="109"/>
      <c r="D57" s="109"/>
      <c r="E57" s="109"/>
      <c r="F57" s="109"/>
      <c r="G57" s="109"/>
      <c r="H57" s="110"/>
    </row>
    <row r="58" spans="1:8">
      <c r="A58" s="108"/>
      <c r="B58" s="109"/>
      <c r="C58" s="109"/>
      <c r="D58" s="109"/>
      <c r="E58" s="109"/>
      <c r="F58" s="109"/>
      <c r="G58" s="109"/>
      <c r="H58" s="110"/>
    </row>
    <row r="59" spans="1:8">
      <c r="A59" s="108"/>
      <c r="B59" s="109"/>
      <c r="C59" s="109"/>
      <c r="D59" s="109"/>
      <c r="E59" s="109"/>
      <c r="F59" s="109"/>
      <c r="G59" s="109"/>
      <c r="H59" s="110"/>
    </row>
    <row r="60" spans="1:8">
      <c r="A60" s="108"/>
      <c r="B60" s="109"/>
      <c r="C60" s="109"/>
      <c r="D60" s="109"/>
      <c r="E60" s="109"/>
      <c r="F60" s="109"/>
      <c r="G60" s="109"/>
      <c r="H60" s="110"/>
    </row>
    <row r="61" spans="1:8">
      <c r="A61" s="108"/>
      <c r="B61" s="109"/>
      <c r="C61" s="109"/>
      <c r="D61" s="109"/>
      <c r="E61" s="109"/>
      <c r="F61" s="109"/>
      <c r="G61" s="109"/>
      <c r="H61" s="110"/>
    </row>
    <row r="62" spans="1:8">
      <c r="A62" s="108"/>
      <c r="B62" s="109"/>
      <c r="C62" s="109"/>
      <c r="D62" s="109"/>
      <c r="E62" s="109"/>
      <c r="F62" s="109"/>
      <c r="G62" s="109"/>
      <c r="H62" s="110"/>
    </row>
    <row r="63" spans="1:8">
      <c r="A63" s="108"/>
      <c r="B63" s="109"/>
      <c r="C63" s="109"/>
      <c r="D63" s="109"/>
      <c r="E63" s="109"/>
      <c r="F63" s="109"/>
      <c r="G63" s="109"/>
      <c r="H63" s="110"/>
    </row>
    <row r="64" spans="1:8">
      <c r="A64" s="108"/>
      <c r="B64" s="109"/>
      <c r="C64" s="109"/>
      <c r="D64" s="109"/>
      <c r="E64" s="109"/>
      <c r="F64" s="109"/>
      <c r="G64" s="109"/>
      <c r="H64" s="110"/>
    </row>
    <row r="65" spans="1:8">
      <c r="A65" s="108"/>
      <c r="B65" s="109"/>
      <c r="C65" s="109"/>
      <c r="D65" s="109"/>
      <c r="E65" s="109"/>
      <c r="F65" s="109"/>
      <c r="G65" s="109"/>
      <c r="H65" s="110"/>
    </row>
    <row r="66" spans="1:8">
      <c r="A66" s="108"/>
      <c r="B66" s="109"/>
      <c r="C66" s="109"/>
      <c r="D66" s="109"/>
      <c r="E66" s="109"/>
      <c r="F66" s="109"/>
      <c r="G66" s="109"/>
      <c r="H66" s="110"/>
    </row>
    <row r="67" spans="1:8">
      <c r="A67" s="108"/>
      <c r="B67" s="109"/>
      <c r="C67" s="109"/>
      <c r="D67" s="109"/>
      <c r="E67" s="109"/>
      <c r="F67" s="109"/>
      <c r="G67" s="109"/>
      <c r="H67" s="110"/>
    </row>
    <row r="68" spans="1:8">
      <c r="A68" s="108"/>
      <c r="B68" s="109"/>
      <c r="C68" s="109"/>
      <c r="D68" s="109"/>
      <c r="E68" s="109"/>
      <c r="F68" s="109"/>
      <c r="G68" s="109"/>
      <c r="H68" s="110"/>
    </row>
    <row r="69" spans="1:8">
      <c r="A69" s="108"/>
      <c r="B69" s="109"/>
      <c r="C69" s="109"/>
      <c r="D69" s="109"/>
      <c r="E69" s="109"/>
      <c r="F69" s="109"/>
      <c r="G69" s="109"/>
      <c r="H69" s="110"/>
    </row>
    <row r="70" spans="1:8">
      <c r="A70" s="108"/>
      <c r="B70" s="109"/>
      <c r="C70" s="109"/>
      <c r="D70" s="109"/>
      <c r="E70" s="109"/>
      <c r="F70" s="109"/>
      <c r="G70" s="109"/>
      <c r="H70" s="110"/>
    </row>
    <row r="71" spans="1:8">
      <c r="A71" s="108"/>
      <c r="B71" s="109"/>
      <c r="C71" s="109"/>
      <c r="D71" s="109"/>
      <c r="E71" s="109"/>
      <c r="F71" s="109"/>
      <c r="G71" s="109"/>
      <c r="H71" s="110"/>
    </row>
    <row r="72" spans="1:8">
      <c r="A72" s="108"/>
      <c r="B72" s="109"/>
      <c r="C72" s="109"/>
      <c r="D72" s="109"/>
      <c r="E72" s="109"/>
      <c r="F72" s="109"/>
      <c r="G72" s="109"/>
      <c r="H72" s="110"/>
    </row>
    <row r="73" spans="1:8">
      <c r="A73" s="108"/>
      <c r="B73" s="109"/>
      <c r="C73" s="109"/>
      <c r="D73" s="109"/>
      <c r="E73" s="109"/>
      <c r="F73" s="109"/>
      <c r="G73" s="109"/>
      <c r="H73" s="110"/>
    </row>
    <row r="74" spans="1:8">
      <c r="A74" s="108"/>
      <c r="B74" s="109"/>
      <c r="C74" s="109"/>
      <c r="D74" s="109"/>
      <c r="E74" s="109"/>
      <c r="F74" s="109"/>
      <c r="G74" s="109"/>
      <c r="H74" s="110"/>
    </row>
    <row r="75" spans="1:8">
      <c r="A75" s="108"/>
      <c r="B75" s="109"/>
      <c r="C75" s="109"/>
      <c r="D75" s="109"/>
      <c r="E75" s="109"/>
      <c r="F75" s="109"/>
      <c r="G75" s="109"/>
      <c r="H75" s="110"/>
    </row>
    <row r="76" spans="1:8">
      <c r="A76" s="108"/>
      <c r="B76" s="109"/>
      <c r="C76" s="109"/>
      <c r="D76" s="109"/>
      <c r="E76" s="109"/>
      <c r="F76" s="109"/>
      <c r="G76" s="109"/>
      <c r="H76" s="110"/>
    </row>
    <row r="77" spans="1:8">
      <c r="A77" s="108"/>
      <c r="B77" s="109"/>
      <c r="C77" s="109"/>
      <c r="D77" s="109"/>
      <c r="E77" s="109"/>
      <c r="F77" s="109"/>
      <c r="G77" s="109"/>
      <c r="H77" s="110"/>
    </row>
    <row r="78" spans="1:8">
      <c r="A78" s="108"/>
      <c r="B78" s="109"/>
      <c r="C78" s="109"/>
      <c r="D78" s="109"/>
      <c r="E78" s="109"/>
      <c r="F78" s="109"/>
      <c r="G78" s="109"/>
      <c r="H78" s="110"/>
    </row>
    <row r="79" spans="1:8">
      <c r="A79" s="108"/>
      <c r="B79" s="109"/>
      <c r="C79" s="109"/>
      <c r="D79" s="109"/>
      <c r="E79" s="109"/>
      <c r="F79" s="109"/>
      <c r="G79" s="109"/>
      <c r="H79" s="110"/>
    </row>
    <row r="80" spans="1:8">
      <c r="A80" s="108"/>
      <c r="B80" s="109"/>
      <c r="C80" s="109"/>
      <c r="D80" s="109"/>
      <c r="E80" s="109"/>
      <c r="F80" s="109"/>
      <c r="G80" s="109"/>
      <c r="H80" s="110"/>
    </row>
    <row r="81" spans="1:8">
      <c r="A81" s="108"/>
      <c r="B81" s="109"/>
      <c r="C81" s="109"/>
      <c r="D81" s="109"/>
      <c r="E81" s="109"/>
      <c r="F81" s="109"/>
      <c r="G81" s="109"/>
      <c r="H81" s="110"/>
    </row>
    <row r="82" spans="1:8">
      <c r="A82" s="108"/>
      <c r="B82" s="109"/>
      <c r="C82" s="109"/>
      <c r="D82" s="109"/>
      <c r="E82" s="109"/>
      <c r="F82" s="109"/>
      <c r="G82" s="109"/>
      <c r="H82" s="110"/>
    </row>
    <row r="83" spans="1:8">
      <c r="A83" s="108"/>
      <c r="B83" s="109"/>
      <c r="C83" s="109"/>
      <c r="D83" s="109"/>
      <c r="E83" s="109"/>
      <c r="F83" s="109"/>
      <c r="G83" s="109"/>
      <c r="H83" s="110"/>
    </row>
    <row r="84" spans="1:8">
      <c r="A84" s="108"/>
      <c r="B84" s="109"/>
      <c r="C84" s="109"/>
      <c r="D84" s="109"/>
      <c r="E84" s="109"/>
      <c r="F84" s="109"/>
      <c r="G84" s="109"/>
      <c r="H84" s="110"/>
    </row>
    <row r="85" spans="1:8">
      <c r="A85" s="108"/>
      <c r="B85" s="109"/>
      <c r="C85" s="109"/>
      <c r="D85" s="109"/>
      <c r="E85" s="109"/>
      <c r="F85" s="109"/>
      <c r="G85" s="109"/>
      <c r="H85" s="110"/>
    </row>
    <row r="86" spans="1:8">
      <c r="A86" s="108"/>
      <c r="B86" s="109"/>
      <c r="C86" s="109"/>
      <c r="D86" s="109"/>
      <c r="E86" s="109"/>
      <c r="F86" s="109"/>
      <c r="G86" s="109"/>
      <c r="H86" s="110"/>
    </row>
    <row r="87" spans="1:8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M243"/>
  <sheetViews>
    <sheetView view="pageBreakPreview" topLeftCell="A55" zoomScaleNormal="100" zoomScaleSheetLayoutView="100" workbookViewId="0">
      <selection activeCell="F99" sqref="F99"/>
    </sheetView>
  </sheetViews>
  <sheetFormatPr defaultColWidth="11" defaultRowHeight="12.75"/>
  <cols>
    <col min="1" max="1" width="7" style="258" customWidth="1"/>
    <col min="2" max="2" width="47.42578125" style="259" bestFit="1" customWidth="1"/>
    <col min="3" max="3" width="20.140625" style="259" bestFit="1" customWidth="1"/>
    <col min="4" max="4" width="6.42578125" style="258" customWidth="1"/>
    <col min="5" max="5" width="8.42578125" style="260" customWidth="1"/>
    <col min="6" max="6" width="2.42578125" style="260" customWidth="1"/>
    <col min="7" max="7" width="6.7109375" style="261" bestFit="1" customWidth="1"/>
    <col min="8" max="8" width="1.7109375" style="260" bestFit="1" customWidth="1"/>
    <col min="9" max="9" width="6.42578125" style="261" bestFit="1" customWidth="1"/>
    <col min="10" max="10" width="5.28515625" style="272" bestFit="1" customWidth="1"/>
    <col min="11" max="12" width="4" style="260" bestFit="1" customWidth="1"/>
    <col min="13" max="13" width="4" style="258" bestFit="1" customWidth="1"/>
    <col min="14" max="14" width="16.7109375" style="258" bestFit="1" customWidth="1"/>
    <col min="15" max="256" width="11" style="258"/>
    <col min="257" max="257" width="7" style="258" customWidth="1"/>
    <col min="258" max="258" width="47.42578125" style="258" bestFit="1" customWidth="1"/>
    <col min="259" max="259" width="20.140625" style="258" bestFit="1" customWidth="1"/>
    <col min="260" max="260" width="6.42578125" style="258" customWidth="1"/>
    <col min="261" max="261" width="8.42578125" style="258" customWidth="1"/>
    <col min="262" max="262" width="2.42578125" style="258" customWidth="1"/>
    <col min="263" max="263" width="6.7109375" style="258" bestFit="1" customWidth="1"/>
    <col min="264" max="264" width="1.7109375" style="258" bestFit="1" customWidth="1"/>
    <col min="265" max="265" width="6.42578125" style="258" bestFit="1" customWidth="1"/>
    <col min="266" max="266" width="5.28515625" style="258" bestFit="1" customWidth="1"/>
    <col min="267" max="269" width="4" style="258" bestFit="1" customWidth="1"/>
    <col min="270" max="270" width="16.7109375" style="258" bestFit="1" customWidth="1"/>
    <col min="271" max="512" width="11" style="258"/>
    <col min="513" max="513" width="7" style="258" customWidth="1"/>
    <col min="514" max="514" width="47.42578125" style="258" bestFit="1" customWidth="1"/>
    <col min="515" max="515" width="20.140625" style="258" bestFit="1" customWidth="1"/>
    <col min="516" max="516" width="6.42578125" style="258" customWidth="1"/>
    <col min="517" max="517" width="8.42578125" style="258" customWidth="1"/>
    <col min="518" max="518" width="2.42578125" style="258" customWidth="1"/>
    <col min="519" max="519" width="6.7109375" style="258" bestFit="1" customWidth="1"/>
    <col min="520" max="520" width="1.7109375" style="258" bestFit="1" customWidth="1"/>
    <col min="521" max="521" width="6.42578125" style="258" bestFit="1" customWidth="1"/>
    <col min="522" max="522" width="5.28515625" style="258" bestFit="1" customWidth="1"/>
    <col min="523" max="525" width="4" style="258" bestFit="1" customWidth="1"/>
    <col min="526" max="526" width="16.7109375" style="258" bestFit="1" customWidth="1"/>
    <col min="527" max="768" width="11" style="258"/>
    <col min="769" max="769" width="7" style="258" customWidth="1"/>
    <col min="770" max="770" width="47.42578125" style="258" bestFit="1" customWidth="1"/>
    <col min="771" max="771" width="20.140625" style="258" bestFit="1" customWidth="1"/>
    <col min="772" max="772" width="6.42578125" style="258" customWidth="1"/>
    <col min="773" max="773" width="8.42578125" style="258" customWidth="1"/>
    <col min="774" max="774" width="2.42578125" style="258" customWidth="1"/>
    <col min="775" max="775" width="6.7109375" style="258" bestFit="1" customWidth="1"/>
    <col min="776" max="776" width="1.7109375" style="258" bestFit="1" customWidth="1"/>
    <col min="777" max="777" width="6.42578125" style="258" bestFit="1" customWidth="1"/>
    <col min="778" max="778" width="5.28515625" style="258" bestFit="1" customWidth="1"/>
    <col min="779" max="781" width="4" style="258" bestFit="1" customWidth="1"/>
    <col min="782" max="782" width="16.7109375" style="258" bestFit="1" customWidth="1"/>
    <col min="783" max="1024" width="11" style="258"/>
    <col min="1025" max="1025" width="7" style="258" customWidth="1"/>
    <col min="1026" max="1026" width="47.42578125" style="258" bestFit="1" customWidth="1"/>
    <col min="1027" max="1027" width="20.140625" style="258" bestFit="1" customWidth="1"/>
    <col min="1028" max="1028" width="6.42578125" style="258" customWidth="1"/>
    <col min="1029" max="1029" width="8.42578125" style="258" customWidth="1"/>
    <col min="1030" max="1030" width="2.42578125" style="258" customWidth="1"/>
    <col min="1031" max="1031" width="6.7109375" style="258" bestFit="1" customWidth="1"/>
    <col min="1032" max="1032" width="1.7109375" style="258" bestFit="1" customWidth="1"/>
    <col min="1033" max="1033" width="6.42578125" style="258" bestFit="1" customWidth="1"/>
    <col min="1034" max="1034" width="5.28515625" style="258" bestFit="1" customWidth="1"/>
    <col min="1035" max="1037" width="4" style="258" bestFit="1" customWidth="1"/>
    <col min="1038" max="1038" width="16.7109375" style="258" bestFit="1" customWidth="1"/>
    <col min="1039" max="1280" width="11" style="258"/>
    <col min="1281" max="1281" width="7" style="258" customWidth="1"/>
    <col min="1282" max="1282" width="47.42578125" style="258" bestFit="1" customWidth="1"/>
    <col min="1283" max="1283" width="20.140625" style="258" bestFit="1" customWidth="1"/>
    <col min="1284" max="1284" width="6.42578125" style="258" customWidth="1"/>
    <col min="1285" max="1285" width="8.42578125" style="258" customWidth="1"/>
    <col min="1286" max="1286" width="2.42578125" style="258" customWidth="1"/>
    <col min="1287" max="1287" width="6.7109375" style="258" bestFit="1" customWidth="1"/>
    <col min="1288" max="1288" width="1.7109375" style="258" bestFit="1" customWidth="1"/>
    <col min="1289" max="1289" width="6.42578125" style="258" bestFit="1" customWidth="1"/>
    <col min="1290" max="1290" width="5.28515625" style="258" bestFit="1" customWidth="1"/>
    <col min="1291" max="1293" width="4" style="258" bestFit="1" customWidth="1"/>
    <col min="1294" max="1294" width="16.7109375" style="258" bestFit="1" customWidth="1"/>
    <col min="1295" max="1536" width="11" style="258"/>
    <col min="1537" max="1537" width="7" style="258" customWidth="1"/>
    <col min="1538" max="1538" width="47.42578125" style="258" bestFit="1" customWidth="1"/>
    <col min="1539" max="1539" width="20.140625" style="258" bestFit="1" customWidth="1"/>
    <col min="1540" max="1540" width="6.42578125" style="258" customWidth="1"/>
    <col min="1541" max="1541" width="8.42578125" style="258" customWidth="1"/>
    <col min="1542" max="1542" width="2.42578125" style="258" customWidth="1"/>
    <col min="1543" max="1543" width="6.7109375" style="258" bestFit="1" customWidth="1"/>
    <col min="1544" max="1544" width="1.7109375" style="258" bestFit="1" customWidth="1"/>
    <col min="1545" max="1545" width="6.42578125" style="258" bestFit="1" customWidth="1"/>
    <col min="1546" max="1546" width="5.28515625" style="258" bestFit="1" customWidth="1"/>
    <col min="1547" max="1549" width="4" style="258" bestFit="1" customWidth="1"/>
    <col min="1550" max="1550" width="16.7109375" style="258" bestFit="1" customWidth="1"/>
    <col min="1551" max="1792" width="11" style="258"/>
    <col min="1793" max="1793" width="7" style="258" customWidth="1"/>
    <col min="1794" max="1794" width="47.42578125" style="258" bestFit="1" customWidth="1"/>
    <col min="1795" max="1795" width="20.140625" style="258" bestFit="1" customWidth="1"/>
    <col min="1796" max="1796" width="6.42578125" style="258" customWidth="1"/>
    <col min="1797" max="1797" width="8.42578125" style="258" customWidth="1"/>
    <col min="1798" max="1798" width="2.42578125" style="258" customWidth="1"/>
    <col min="1799" max="1799" width="6.7109375" style="258" bestFit="1" customWidth="1"/>
    <col min="1800" max="1800" width="1.7109375" style="258" bestFit="1" customWidth="1"/>
    <col min="1801" max="1801" width="6.42578125" style="258" bestFit="1" customWidth="1"/>
    <col min="1802" max="1802" width="5.28515625" style="258" bestFit="1" customWidth="1"/>
    <col min="1803" max="1805" width="4" style="258" bestFit="1" customWidth="1"/>
    <col min="1806" max="1806" width="16.7109375" style="258" bestFit="1" customWidth="1"/>
    <col min="1807" max="2048" width="11" style="258"/>
    <col min="2049" max="2049" width="7" style="258" customWidth="1"/>
    <col min="2050" max="2050" width="47.42578125" style="258" bestFit="1" customWidth="1"/>
    <col min="2051" max="2051" width="20.140625" style="258" bestFit="1" customWidth="1"/>
    <col min="2052" max="2052" width="6.42578125" style="258" customWidth="1"/>
    <col min="2053" max="2053" width="8.42578125" style="258" customWidth="1"/>
    <col min="2054" max="2054" width="2.42578125" style="258" customWidth="1"/>
    <col min="2055" max="2055" width="6.7109375" style="258" bestFit="1" customWidth="1"/>
    <col min="2056" max="2056" width="1.7109375" style="258" bestFit="1" customWidth="1"/>
    <col min="2057" max="2057" width="6.42578125" style="258" bestFit="1" customWidth="1"/>
    <col min="2058" max="2058" width="5.28515625" style="258" bestFit="1" customWidth="1"/>
    <col min="2059" max="2061" width="4" style="258" bestFit="1" customWidth="1"/>
    <col min="2062" max="2062" width="16.7109375" style="258" bestFit="1" customWidth="1"/>
    <col min="2063" max="2304" width="11" style="258"/>
    <col min="2305" max="2305" width="7" style="258" customWidth="1"/>
    <col min="2306" max="2306" width="47.42578125" style="258" bestFit="1" customWidth="1"/>
    <col min="2307" max="2307" width="20.140625" style="258" bestFit="1" customWidth="1"/>
    <col min="2308" max="2308" width="6.42578125" style="258" customWidth="1"/>
    <col min="2309" max="2309" width="8.42578125" style="258" customWidth="1"/>
    <col min="2310" max="2310" width="2.42578125" style="258" customWidth="1"/>
    <col min="2311" max="2311" width="6.7109375" style="258" bestFit="1" customWidth="1"/>
    <col min="2312" max="2312" width="1.7109375" style="258" bestFit="1" customWidth="1"/>
    <col min="2313" max="2313" width="6.42578125" style="258" bestFit="1" customWidth="1"/>
    <col min="2314" max="2314" width="5.28515625" style="258" bestFit="1" customWidth="1"/>
    <col min="2315" max="2317" width="4" style="258" bestFit="1" customWidth="1"/>
    <col min="2318" max="2318" width="16.7109375" style="258" bestFit="1" customWidth="1"/>
    <col min="2319" max="2560" width="11" style="258"/>
    <col min="2561" max="2561" width="7" style="258" customWidth="1"/>
    <col min="2562" max="2562" width="47.42578125" style="258" bestFit="1" customWidth="1"/>
    <col min="2563" max="2563" width="20.140625" style="258" bestFit="1" customWidth="1"/>
    <col min="2564" max="2564" width="6.42578125" style="258" customWidth="1"/>
    <col min="2565" max="2565" width="8.42578125" style="258" customWidth="1"/>
    <col min="2566" max="2566" width="2.42578125" style="258" customWidth="1"/>
    <col min="2567" max="2567" width="6.7109375" style="258" bestFit="1" customWidth="1"/>
    <col min="2568" max="2568" width="1.7109375" style="258" bestFit="1" customWidth="1"/>
    <col min="2569" max="2569" width="6.42578125" style="258" bestFit="1" customWidth="1"/>
    <col min="2570" max="2570" width="5.28515625" style="258" bestFit="1" customWidth="1"/>
    <col min="2571" max="2573" width="4" style="258" bestFit="1" customWidth="1"/>
    <col min="2574" max="2574" width="16.7109375" style="258" bestFit="1" customWidth="1"/>
    <col min="2575" max="2816" width="11" style="258"/>
    <col min="2817" max="2817" width="7" style="258" customWidth="1"/>
    <col min="2818" max="2818" width="47.42578125" style="258" bestFit="1" customWidth="1"/>
    <col min="2819" max="2819" width="20.140625" style="258" bestFit="1" customWidth="1"/>
    <col min="2820" max="2820" width="6.42578125" style="258" customWidth="1"/>
    <col min="2821" max="2821" width="8.42578125" style="258" customWidth="1"/>
    <col min="2822" max="2822" width="2.42578125" style="258" customWidth="1"/>
    <col min="2823" max="2823" width="6.7109375" style="258" bestFit="1" customWidth="1"/>
    <col min="2824" max="2824" width="1.7109375" style="258" bestFit="1" customWidth="1"/>
    <col min="2825" max="2825" width="6.42578125" style="258" bestFit="1" customWidth="1"/>
    <col min="2826" max="2826" width="5.28515625" style="258" bestFit="1" customWidth="1"/>
    <col min="2827" max="2829" width="4" style="258" bestFit="1" customWidth="1"/>
    <col min="2830" max="2830" width="16.7109375" style="258" bestFit="1" customWidth="1"/>
    <col min="2831" max="3072" width="11" style="258"/>
    <col min="3073" max="3073" width="7" style="258" customWidth="1"/>
    <col min="3074" max="3074" width="47.42578125" style="258" bestFit="1" customWidth="1"/>
    <col min="3075" max="3075" width="20.140625" style="258" bestFit="1" customWidth="1"/>
    <col min="3076" max="3076" width="6.42578125" style="258" customWidth="1"/>
    <col min="3077" max="3077" width="8.42578125" style="258" customWidth="1"/>
    <col min="3078" max="3078" width="2.42578125" style="258" customWidth="1"/>
    <col min="3079" max="3079" width="6.7109375" style="258" bestFit="1" customWidth="1"/>
    <col min="3080" max="3080" width="1.7109375" style="258" bestFit="1" customWidth="1"/>
    <col min="3081" max="3081" width="6.42578125" style="258" bestFit="1" customWidth="1"/>
    <col min="3082" max="3082" width="5.28515625" style="258" bestFit="1" customWidth="1"/>
    <col min="3083" max="3085" width="4" style="258" bestFit="1" customWidth="1"/>
    <col min="3086" max="3086" width="16.7109375" style="258" bestFit="1" customWidth="1"/>
    <col min="3087" max="3328" width="11" style="258"/>
    <col min="3329" max="3329" width="7" style="258" customWidth="1"/>
    <col min="3330" max="3330" width="47.42578125" style="258" bestFit="1" customWidth="1"/>
    <col min="3331" max="3331" width="20.140625" style="258" bestFit="1" customWidth="1"/>
    <col min="3332" max="3332" width="6.42578125" style="258" customWidth="1"/>
    <col min="3333" max="3333" width="8.42578125" style="258" customWidth="1"/>
    <col min="3334" max="3334" width="2.42578125" style="258" customWidth="1"/>
    <col min="3335" max="3335" width="6.7109375" style="258" bestFit="1" customWidth="1"/>
    <col min="3336" max="3336" width="1.7109375" style="258" bestFit="1" customWidth="1"/>
    <col min="3337" max="3337" width="6.42578125" style="258" bestFit="1" customWidth="1"/>
    <col min="3338" max="3338" width="5.28515625" style="258" bestFit="1" customWidth="1"/>
    <col min="3339" max="3341" width="4" style="258" bestFit="1" customWidth="1"/>
    <col min="3342" max="3342" width="16.7109375" style="258" bestFit="1" customWidth="1"/>
    <col min="3343" max="3584" width="11" style="258"/>
    <col min="3585" max="3585" width="7" style="258" customWidth="1"/>
    <col min="3586" max="3586" width="47.42578125" style="258" bestFit="1" customWidth="1"/>
    <col min="3587" max="3587" width="20.140625" style="258" bestFit="1" customWidth="1"/>
    <col min="3588" max="3588" width="6.42578125" style="258" customWidth="1"/>
    <col min="3589" max="3589" width="8.42578125" style="258" customWidth="1"/>
    <col min="3590" max="3590" width="2.42578125" style="258" customWidth="1"/>
    <col min="3591" max="3591" width="6.7109375" style="258" bestFit="1" customWidth="1"/>
    <col min="3592" max="3592" width="1.7109375" style="258" bestFit="1" customWidth="1"/>
    <col min="3593" max="3593" width="6.42578125" style="258" bestFit="1" customWidth="1"/>
    <col min="3594" max="3594" width="5.28515625" style="258" bestFit="1" customWidth="1"/>
    <col min="3595" max="3597" width="4" style="258" bestFit="1" customWidth="1"/>
    <col min="3598" max="3598" width="16.7109375" style="258" bestFit="1" customWidth="1"/>
    <col min="3599" max="3840" width="11" style="258"/>
    <col min="3841" max="3841" width="7" style="258" customWidth="1"/>
    <col min="3842" max="3842" width="47.42578125" style="258" bestFit="1" customWidth="1"/>
    <col min="3843" max="3843" width="20.140625" style="258" bestFit="1" customWidth="1"/>
    <col min="3844" max="3844" width="6.42578125" style="258" customWidth="1"/>
    <col min="3845" max="3845" width="8.42578125" style="258" customWidth="1"/>
    <col min="3846" max="3846" width="2.42578125" style="258" customWidth="1"/>
    <col min="3847" max="3847" width="6.7109375" style="258" bestFit="1" customWidth="1"/>
    <col min="3848" max="3848" width="1.7109375" style="258" bestFit="1" customWidth="1"/>
    <col min="3849" max="3849" width="6.42578125" style="258" bestFit="1" customWidth="1"/>
    <col min="3850" max="3850" width="5.28515625" style="258" bestFit="1" customWidth="1"/>
    <col min="3851" max="3853" width="4" style="258" bestFit="1" customWidth="1"/>
    <col min="3854" max="3854" width="16.7109375" style="258" bestFit="1" customWidth="1"/>
    <col min="3855" max="4096" width="11" style="258"/>
    <col min="4097" max="4097" width="7" style="258" customWidth="1"/>
    <col min="4098" max="4098" width="47.42578125" style="258" bestFit="1" customWidth="1"/>
    <col min="4099" max="4099" width="20.140625" style="258" bestFit="1" customWidth="1"/>
    <col min="4100" max="4100" width="6.42578125" style="258" customWidth="1"/>
    <col min="4101" max="4101" width="8.42578125" style="258" customWidth="1"/>
    <col min="4102" max="4102" width="2.42578125" style="258" customWidth="1"/>
    <col min="4103" max="4103" width="6.7109375" style="258" bestFit="1" customWidth="1"/>
    <col min="4104" max="4104" width="1.7109375" style="258" bestFit="1" customWidth="1"/>
    <col min="4105" max="4105" width="6.42578125" style="258" bestFit="1" customWidth="1"/>
    <col min="4106" max="4106" width="5.28515625" style="258" bestFit="1" customWidth="1"/>
    <col min="4107" max="4109" width="4" style="258" bestFit="1" customWidth="1"/>
    <col min="4110" max="4110" width="16.7109375" style="258" bestFit="1" customWidth="1"/>
    <col min="4111" max="4352" width="11" style="258"/>
    <col min="4353" max="4353" width="7" style="258" customWidth="1"/>
    <col min="4354" max="4354" width="47.42578125" style="258" bestFit="1" customWidth="1"/>
    <col min="4355" max="4355" width="20.140625" style="258" bestFit="1" customWidth="1"/>
    <col min="4356" max="4356" width="6.42578125" style="258" customWidth="1"/>
    <col min="4357" max="4357" width="8.42578125" style="258" customWidth="1"/>
    <col min="4358" max="4358" width="2.42578125" style="258" customWidth="1"/>
    <col min="4359" max="4359" width="6.7109375" style="258" bestFit="1" customWidth="1"/>
    <col min="4360" max="4360" width="1.7109375" style="258" bestFit="1" customWidth="1"/>
    <col min="4361" max="4361" width="6.42578125" style="258" bestFit="1" customWidth="1"/>
    <col min="4362" max="4362" width="5.28515625" style="258" bestFit="1" customWidth="1"/>
    <col min="4363" max="4365" width="4" style="258" bestFit="1" customWidth="1"/>
    <col min="4366" max="4366" width="16.7109375" style="258" bestFit="1" customWidth="1"/>
    <col min="4367" max="4608" width="11" style="258"/>
    <col min="4609" max="4609" width="7" style="258" customWidth="1"/>
    <col min="4610" max="4610" width="47.42578125" style="258" bestFit="1" customWidth="1"/>
    <col min="4611" max="4611" width="20.140625" style="258" bestFit="1" customWidth="1"/>
    <col min="4612" max="4612" width="6.42578125" style="258" customWidth="1"/>
    <col min="4613" max="4613" width="8.42578125" style="258" customWidth="1"/>
    <col min="4614" max="4614" width="2.42578125" style="258" customWidth="1"/>
    <col min="4615" max="4615" width="6.7109375" style="258" bestFit="1" customWidth="1"/>
    <col min="4616" max="4616" width="1.7109375" style="258" bestFit="1" customWidth="1"/>
    <col min="4617" max="4617" width="6.42578125" style="258" bestFit="1" customWidth="1"/>
    <col min="4618" max="4618" width="5.28515625" style="258" bestFit="1" customWidth="1"/>
    <col min="4619" max="4621" width="4" style="258" bestFit="1" customWidth="1"/>
    <col min="4622" max="4622" width="16.7109375" style="258" bestFit="1" customWidth="1"/>
    <col min="4623" max="4864" width="11" style="258"/>
    <col min="4865" max="4865" width="7" style="258" customWidth="1"/>
    <col min="4866" max="4866" width="47.42578125" style="258" bestFit="1" customWidth="1"/>
    <col min="4867" max="4867" width="20.140625" style="258" bestFit="1" customWidth="1"/>
    <col min="4868" max="4868" width="6.42578125" style="258" customWidth="1"/>
    <col min="4869" max="4869" width="8.42578125" style="258" customWidth="1"/>
    <col min="4870" max="4870" width="2.42578125" style="258" customWidth="1"/>
    <col min="4871" max="4871" width="6.7109375" style="258" bestFit="1" customWidth="1"/>
    <col min="4872" max="4872" width="1.7109375" style="258" bestFit="1" customWidth="1"/>
    <col min="4873" max="4873" width="6.42578125" style="258" bestFit="1" customWidth="1"/>
    <col min="4874" max="4874" width="5.28515625" style="258" bestFit="1" customWidth="1"/>
    <col min="4875" max="4877" width="4" style="258" bestFit="1" customWidth="1"/>
    <col min="4878" max="4878" width="16.7109375" style="258" bestFit="1" customWidth="1"/>
    <col min="4879" max="5120" width="11" style="258"/>
    <col min="5121" max="5121" width="7" style="258" customWidth="1"/>
    <col min="5122" max="5122" width="47.42578125" style="258" bestFit="1" customWidth="1"/>
    <col min="5123" max="5123" width="20.140625" style="258" bestFit="1" customWidth="1"/>
    <col min="5124" max="5124" width="6.42578125" style="258" customWidth="1"/>
    <col min="5125" max="5125" width="8.42578125" style="258" customWidth="1"/>
    <col min="5126" max="5126" width="2.42578125" style="258" customWidth="1"/>
    <col min="5127" max="5127" width="6.7109375" style="258" bestFit="1" customWidth="1"/>
    <col min="5128" max="5128" width="1.7109375" style="258" bestFit="1" customWidth="1"/>
    <col min="5129" max="5129" width="6.42578125" style="258" bestFit="1" customWidth="1"/>
    <col min="5130" max="5130" width="5.28515625" style="258" bestFit="1" customWidth="1"/>
    <col min="5131" max="5133" width="4" style="258" bestFit="1" customWidth="1"/>
    <col min="5134" max="5134" width="16.7109375" style="258" bestFit="1" customWidth="1"/>
    <col min="5135" max="5376" width="11" style="258"/>
    <col min="5377" max="5377" width="7" style="258" customWidth="1"/>
    <col min="5378" max="5378" width="47.42578125" style="258" bestFit="1" customWidth="1"/>
    <col min="5379" max="5379" width="20.140625" style="258" bestFit="1" customWidth="1"/>
    <col min="5380" max="5380" width="6.42578125" style="258" customWidth="1"/>
    <col min="5381" max="5381" width="8.42578125" style="258" customWidth="1"/>
    <col min="5382" max="5382" width="2.42578125" style="258" customWidth="1"/>
    <col min="5383" max="5383" width="6.7109375" style="258" bestFit="1" customWidth="1"/>
    <col min="5384" max="5384" width="1.7109375" style="258" bestFit="1" customWidth="1"/>
    <col min="5385" max="5385" width="6.42578125" style="258" bestFit="1" customWidth="1"/>
    <col min="5386" max="5386" width="5.28515625" style="258" bestFit="1" customWidth="1"/>
    <col min="5387" max="5389" width="4" style="258" bestFit="1" customWidth="1"/>
    <col min="5390" max="5390" width="16.7109375" style="258" bestFit="1" customWidth="1"/>
    <col min="5391" max="5632" width="11" style="258"/>
    <col min="5633" max="5633" width="7" style="258" customWidth="1"/>
    <col min="5634" max="5634" width="47.42578125" style="258" bestFit="1" customWidth="1"/>
    <col min="5635" max="5635" width="20.140625" style="258" bestFit="1" customWidth="1"/>
    <col min="5636" max="5636" width="6.42578125" style="258" customWidth="1"/>
    <col min="5637" max="5637" width="8.42578125" style="258" customWidth="1"/>
    <col min="5638" max="5638" width="2.42578125" style="258" customWidth="1"/>
    <col min="5639" max="5639" width="6.7109375" style="258" bestFit="1" customWidth="1"/>
    <col min="5640" max="5640" width="1.7109375" style="258" bestFit="1" customWidth="1"/>
    <col min="5641" max="5641" width="6.42578125" style="258" bestFit="1" customWidth="1"/>
    <col min="5642" max="5642" width="5.28515625" style="258" bestFit="1" customWidth="1"/>
    <col min="5643" max="5645" width="4" style="258" bestFit="1" customWidth="1"/>
    <col min="5646" max="5646" width="16.7109375" style="258" bestFit="1" customWidth="1"/>
    <col min="5647" max="5888" width="11" style="258"/>
    <col min="5889" max="5889" width="7" style="258" customWidth="1"/>
    <col min="5890" max="5890" width="47.42578125" style="258" bestFit="1" customWidth="1"/>
    <col min="5891" max="5891" width="20.140625" style="258" bestFit="1" customWidth="1"/>
    <col min="5892" max="5892" width="6.42578125" style="258" customWidth="1"/>
    <col min="5893" max="5893" width="8.42578125" style="258" customWidth="1"/>
    <col min="5894" max="5894" width="2.42578125" style="258" customWidth="1"/>
    <col min="5895" max="5895" width="6.7109375" style="258" bestFit="1" customWidth="1"/>
    <col min="5896" max="5896" width="1.7109375" style="258" bestFit="1" customWidth="1"/>
    <col min="5897" max="5897" width="6.42578125" style="258" bestFit="1" customWidth="1"/>
    <col min="5898" max="5898" width="5.28515625" style="258" bestFit="1" customWidth="1"/>
    <col min="5899" max="5901" width="4" style="258" bestFit="1" customWidth="1"/>
    <col min="5902" max="5902" width="16.7109375" style="258" bestFit="1" customWidth="1"/>
    <col min="5903" max="6144" width="11" style="258"/>
    <col min="6145" max="6145" width="7" style="258" customWidth="1"/>
    <col min="6146" max="6146" width="47.42578125" style="258" bestFit="1" customWidth="1"/>
    <col min="6147" max="6147" width="20.140625" style="258" bestFit="1" customWidth="1"/>
    <col min="6148" max="6148" width="6.42578125" style="258" customWidth="1"/>
    <col min="6149" max="6149" width="8.42578125" style="258" customWidth="1"/>
    <col min="6150" max="6150" width="2.42578125" style="258" customWidth="1"/>
    <col min="6151" max="6151" width="6.7109375" style="258" bestFit="1" customWidth="1"/>
    <col min="6152" max="6152" width="1.7109375" style="258" bestFit="1" customWidth="1"/>
    <col min="6153" max="6153" width="6.42578125" style="258" bestFit="1" customWidth="1"/>
    <col min="6154" max="6154" width="5.28515625" style="258" bestFit="1" customWidth="1"/>
    <col min="6155" max="6157" width="4" style="258" bestFit="1" customWidth="1"/>
    <col min="6158" max="6158" width="16.7109375" style="258" bestFit="1" customWidth="1"/>
    <col min="6159" max="6400" width="11" style="258"/>
    <col min="6401" max="6401" width="7" style="258" customWidth="1"/>
    <col min="6402" max="6402" width="47.42578125" style="258" bestFit="1" customWidth="1"/>
    <col min="6403" max="6403" width="20.140625" style="258" bestFit="1" customWidth="1"/>
    <col min="6404" max="6404" width="6.42578125" style="258" customWidth="1"/>
    <col min="6405" max="6405" width="8.42578125" style="258" customWidth="1"/>
    <col min="6406" max="6406" width="2.42578125" style="258" customWidth="1"/>
    <col min="6407" max="6407" width="6.7109375" style="258" bestFit="1" customWidth="1"/>
    <col min="6408" max="6408" width="1.7109375" style="258" bestFit="1" customWidth="1"/>
    <col min="6409" max="6409" width="6.42578125" style="258" bestFit="1" customWidth="1"/>
    <col min="6410" max="6410" width="5.28515625" style="258" bestFit="1" customWidth="1"/>
    <col min="6411" max="6413" width="4" style="258" bestFit="1" customWidth="1"/>
    <col min="6414" max="6414" width="16.7109375" style="258" bestFit="1" customWidth="1"/>
    <col min="6415" max="6656" width="11" style="258"/>
    <col min="6657" max="6657" width="7" style="258" customWidth="1"/>
    <col min="6658" max="6658" width="47.42578125" style="258" bestFit="1" customWidth="1"/>
    <col min="6659" max="6659" width="20.140625" style="258" bestFit="1" customWidth="1"/>
    <col min="6660" max="6660" width="6.42578125" style="258" customWidth="1"/>
    <col min="6661" max="6661" width="8.42578125" style="258" customWidth="1"/>
    <col min="6662" max="6662" width="2.42578125" style="258" customWidth="1"/>
    <col min="6663" max="6663" width="6.7109375" style="258" bestFit="1" customWidth="1"/>
    <col min="6664" max="6664" width="1.7109375" style="258" bestFit="1" customWidth="1"/>
    <col min="6665" max="6665" width="6.42578125" style="258" bestFit="1" customWidth="1"/>
    <col min="6666" max="6666" width="5.28515625" style="258" bestFit="1" customWidth="1"/>
    <col min="6667" max="6669" width="4" style="258" bestFit="1" customWidth="1"/>
    <col min="6670" max="6670" width="16.7109375" style="258" bestFit="1" customWidth="1"/>
    <col min="6671" max="6912" width="11" style="258"/>
    <col min="6913" max="6913" width="7" style="258" customWidth="1"/>
    <col min="6914" max="6914" width="47.42578125" style="258" bestFit="1" customWidth="1"/>
    <col min="6915" max="6915" width="20.140625" style="258" bestFit="1" customWidth="1"/>
    <col min="6916" max="6916" width="6.42578125" style="258" customWidth="1"/>
    <col min="6917" max="6917" width="8.42578125" style="258" customWidth="1"/>
    <col min="6918" max="6918" width="2.42578125" style="258" customWidth="1"/>
    <col min="6919" max="6919" width="6.7109375" style="258" bestFit="1" customWidth="1"/>
    <col min="6920" max="6920" width="1.7109375" style="258" bestFit="1" customWidth="1"/>
    <col min="6921" max="6921" width="6.42578125" style="258" bestFit="1" customWidth="1"/>
    <col min="6922" max="6922" width="5.28515625" style="258" bestFit="1" customWidth="1"/>
    <col min="6923" max="6925" width="4" style="258" bestFit="1" customWidth="1"/>
    <col min="6926" max="6926" width="16.7109375" style="258" bestFit="1" customWidth="1"/>
    <col min="6927" max="7168" width="11" style="258"/>
    <col min="7169" max="7169" width="7" style="258" customWidth="1"/>
    <col min="7170" max="7170" width="47.42578125" style="258" bestFit="1" customWidth="1"/>
    <col min="7171" max="7171" width="20.140625" style="258" bestFit="1" customWidth="1"/>
    <col min="7172" max="7172" width="6.42578125" style="258" customWidth="1"/>
    <col min="7173" max="7173" width="8.42578125" style="258" customWidth="1"/>
    <col min="7174" max="7174" width="2.42578125" style="258" customWidth="1"/>
    <col min="7175" max="7175" width="6.7109375" style="258" bestFit="1" customWidth="1"/>
    <col min="7176" max="7176" width="1.7109375" style="258" bestFit="1" customWidth="1"/>
    <col min="7177" max="7177" width="6.42578125" style="258" bestFit="1" customWidth="1"/>
    <col min="7178" max="7178" width="5.28515625" style="258" bestFit="1" customWidth="1"/>
    <col min="7179" max="7181" width="4" style="258" bestFit="1" customWidth="1"/>
    <col min="7182" max="7182" width="16.7109375" style="258" bestFit="1" customWidth="1"/>
    <col min="7183" max="7424" width="11" style="258"/>
    <col min="7425" max="7425" width="7" style="258" customWidth="1"/>
    <col min="7426" max="7426" width="47.42578125" style="258" bestFit="1" customWidth="1"/>
    <col min="7427" max="7427" width="20.140625" style="258" bestFit="1" customWidth="1"/>
    <col min="7428" max="7428" width="6.42578125" style="258" customWidth="1"/>
    <col min="7429" max="7429" width="8.42578125" style="258" customWidth="1"/>
    <col min="7430" max="7430" width="2.42578125" style="258" customWidth="1"/>
    <col min="7431" max="7431" width="6.7109375" style="258" bestFit="1" customWidth="1"/>
    <col min="7432" max="7432" width="1.7109375" style="258" bestFit="1" customWidth="1"/>
    <col min="7433" max="7433" width="6.42578125" style="258" bestFit="1" customWidth="1"/>
    <col min="7434" max="7434" width="5.28515625" style="258" bestFit="1" customWidth="1"/>
    <col min="7435" max="7437" width="4" style="258" bestFit="1" customWidth="1"/>
    <col min="7438" max="7438" width="16.7109375" style="258" bestFit="1" customWidth="1"/>
    <col min="7439" max="7680" width="11" style="258"/>
    <col min="7681" max="7681" width="7" style="258" customWidth="1"/>
    <col min="7682" max="7682" width="47.42578125" style="258" bestFit="1" customWidth="1"/>
    <col min="7683" max="7683" width="20.140625" style="258" bestFit="1" customWidth="1"/>
    <col min="7684" max="7684" width="6.42578125" style="258" customWidth="1"/>
    <col min="7685" max="7685" width="8.42578125" style="258" customWidth="1"/>
    <col min="7686" max="7686" width="2.42578125" style="258" customWidth="1"/>
    <col min="7687" max="7687" width="6.7109375" style="258" bestFit="1" customWidth="1"/>
    <col min="7688" max="7688" width="1.7109375" style="258" bestFit="1" customWidth="1"/>
    <col min="7689" max="7689" width="6.42578125" style="258" bestFit="1" customWidth="1"/>
    <col min="7690" max="7690" width="5.28515625" style="258" bestFit="1" customWidth="1"/>
    <col min="7691" max="7693" width="4" style="258" bestFit="1" customWidth="1"/>
    <col min="7694" max="7694" width="16.7109375" style="258" bestFit="1" customWidth="1"/>
    <col min="7695" max="7936" width="11" style="258"/>
    <col min="7937" max="7937" width="7" style="258" customWidth="1"/>
    <col min="7938" max="7938" width="47.42578125" style="258" bestFit="1" customWidth="1"/>
    <col min="7939" max="7939" width="20.140625" style="258" bestFit="1" customWidth="1"/>
    <col min="7940" max="7940" width="6.42578125" style="258" customWidth="1"/>
    <col min="7941" max="7941" width="8.42578125" style="258" customWidth="1"/>
    <col min="7942" max="7942" width="2.42578125" style="258" customWidth="1"/>
    <col min="7943" max="7943" width="6.7109375" style="258" bestFit="1" customWidth="1"/>
    <col min="7944" max="7944" width="1.7109375" style="258" bestFit="1" customWidth="1"/>
    <col min="7945" max="7945" width="6.42578125" style="258" bestFit="1" customWidth="1"/>
    <col min="7946" max="7946" width="5.28515625" style="258" bestFit="1" customWidth="1"/>
    <col min="7947" max="7949" width="4" style="258" bestFit="1" customWidth="1"/>
    <col min="7950" max="7950" width="16.7109375" style="258" bestFit="1" customWidth="1"/>
    <col min="7951" max="8192" width="11" style="258"/>
    <col min="8193" max="8193" width="7" style="258" customWidth="1"/>
    <col min="8194" max="8194" width="47.42578125" style="258" bestFit="1" customWidth="1"/>
    <col min="8195" max="8195" width="20.140625" style="258" bestFit="1" customWidth="1"/>
    <col min="8196" max="8196" width="6.42578125" style="258" customWidth="1"/>
    <col min="8197" max="8197" width="8.42578125" style="258" customWidth="1"/>
    <col min="8198" max="8198" width="2.42578125" style="258" customWidth="1"/>
    <col min="8199" max="8199" width="6.7109375" style="258" bestFit="1" customWidth="1"/>
    <col min="8200" max="8200" width="1.7109375" style="258" bestFit="1" customWidth="1"/>
    <col min="8201" max="8201" width="6.42578125" style="258" bestFit="1" customWidth="1"/>
    <col min="8202" max="8202" width="5.28515625" style="258" bestFit="1" customWidth="1"/>
    <col min="8203" max="8205" width="4" style="258" bestFit="1" customWidth="1"/>
    <col min="8206" max="8206" width="16.7109375" style="258" bestFit="1" customWidth="1"/>
    <col min="8207" max="8448" width="11" style="258"/>
    <col min="8449" max="8449" width="7" style="258" customWidth="1"/>
    <col min="8450" max="8450" width="47.42578125" style="258" bestFit="1" customWidth="1"/>
    <col min="8451" max="8451" width="20.140625" style="258" bestFit="1" customWidth="1"/>
    <col min="8452" max="8452" width="6.42578125" style="258" customWidth="1"/>
    <col min="8453" max="8453" width="8.42578125" style="258" customWidth="1"/>
    <col min="8454" max="8454" width="2.42578125" style="258" customWidth="1"/>
    <col min="8455" max="8455" width="6.7109375" style="258" bestFit="1" customWidth="1"/>
    <col min="8456" max="8456" width="1.7109375" style="258" bestFit="1" customWidth="1"/>
    <col min="8457" max="8457" width="6.42578125" style="258" bestFit="1" customWidth="1"/>
    <col min="8458" max="8458" width="5.28515625" style="258" bestFit="1" customWidth="1"/>
    <col min="8459" max="8461" width="4" style="258" bestFit="1" customWidth="1"/>
    <col min="8462" max="8462" width="16.7109375" style="258" bestFit="1" customWidth="1"/>
    <col min="8463" max="8704" width="11" style="258"/>
    <col min="8705" max="8705" width="7" style="258" customWidth="1"/>
    <col min="8706" max="8706" width="47.42578125" style="258" bestFit="1" customWidth="1"/>
    <col min="8707" max="8707" width="20.140625" style="258" bestFit="1" customWidth="1"/>
    <col min="8708" max="8708" width="6.42578125" style="258" customWidth="1"/>
    <col min="8709" max="8709" width="8.42578125" style="258" customWidth="1"/>
    <col min="8710" max="8710" width="2.42578125" style="258" customWidth="1"/>
    <col min="8711" max="8711" width="6.7109375" style="258" bestFit="1" customWidth="1"/>
    <col min="8712" max="8712" width="1.7109375" style="258" bestFit="1" customWidth="1"/>
    <col min="8713" max="8713" width="6.42578125" style="258" bestFit="1" customWidth="1"/>
    <col min="8714" max="8714" width="5.28515625" style="258" bestFit="1" customWidth="1"/>
    <col min="8715" max="8717" width="4" style="258" bestFit="1" customWidth="1"/>
    <col min="8718" max="8718" width="16.7109375" style="258" bestFit="1" customWidth="1"/>
    <col min="8719" max="8960" width="11" style="258"/>
    <col min="8961" max="8961" width="7" style="258" customWidth="1"/>
    <col min="8962" max="8962" width="47.42578125" style="258" bestFit="1" customWidth="1"/>
    <col min="8963" max="8963" width="20.140625" style="258" bestFit="1" customWidth="1"/>
    <col min="8964" max="8964" width="6.42578125" style="258" customWidth="1"/>
    <col min="8965" max="8965" width="8.42578125" style="258" customWidth="1"/>
    <col min="8966" max="8966" width="2.42578125" style="258" customWidth="1"/>
    <col min="8967" max="8967" width="6.7109375" style="258" bestFit="1" customWidth="1"/>
    <col min="8968" max="8968" width="1.7109375" style="258" bestFit="1" customWidth="1"/>
    <col min="8969" max="8969" width="6.42578125" style="258" bestFit="1" customWidth="1"/>
    <col min="8970" max="8970" width="5.28515625" style="258" bestFit="1" customWidth="1"/>
    <col min="8971" max="8973" width="4" style="258" bestFit="1" customWidth="1"/>
    <col min="8974" max="8974" width="16.7109375" style="258" bestFit="1" customWidth="1"/>
    <col min="8975" max="9216" width="11" style="258"/>
    <col min="9217" max="9217" width="7" style="258" customWidth="1"/>
    <col min="9218" max="9218" width="47.42578125" style="258" bestFit="1" customWidth="1"/>
    <col min="9219" max="9219" width="20.140625" style="258" bestFit="1" customWidth="1"/>
    <col min="9220" max="9220" width="6.42578125" style="258" customWidth="1"/>
    <col min="9221" max="9221" width="8.42578125" style="258" customWidth="1"/>
    <col min="9222" max="9222" width="2.42578125" style="258" customWidth="1"/>
    <col min="9223" max="9223" width="6.7109375" style="258" bestFit="1" customWidth="1"/>
    <col min="9224" max="9224" width="1.7109375" style="258" bestFit="1" customWidth="1"/>
    <col min="9225" max="9225" width="6.42578125" style="258" bestFit="1" customWidth="1"/>
    <col min="9226" max="9226" width="5.28515625" style="258" bestFit="1" customWidth="1"/>
    <col min="9227" max="9229" width="4" style="258" bestFit="1" customWidth="1"/>
    <col min="9230" max="9230" width="16.7109375" style="258" bestFit="1" customWidth="1"/>
    <col min="9231" max="9472" width="11" style="258"/>
    <col min="9473" max="9473" width="7" style="258" customWidth="1"/>
    <col min="9474" max="9474" width="47.42578125" style="258" bestFit="1" customWidth="1"/>
    <col min="9475" max="9475" width="20.140625" style="258" bestFit="1" customWidth="1"/>
    <col min="9476" max="9476" width="6.42578125" style="258" customWidth="1"/>
    <col min="9477" max="9477" width="8.42578125" style="258" customWidth="1"/>
    <col min="9478" max="9478" width="2.42578125" style="258" customWidth="1"/>
    <col min="9479" max="9479" width="6.7109375" style="258" bestFit="1" customWidth="1"/>
    <col min="9480" max="9480" width="1.7109375" style="258" bestFit="1" customWidth="1"/>
    <col min="9481" max="9481" width="6.42578125" style="258" bestFit="1" customWidth="1"/>
    <col min="9482" max="9482" width="5.28515625" style="258" bestFit="1" customWidth="1"/>
    <col min="9483" max="9485" width="4" style="258" bestFit="1" customWidth="1"/>
    <col min="9486" max="9486" width="16.7109375" style="258" bestFit="1" customWidth="1"/>
    <col min="9487" max="9728" width="11" style="258"/>
    <col min="9729" max="9729" width="7" style="258" customWidth="1"/>
    <col min="9730" max="9730" width="47.42578125" style="258" bestFit="1" customWidth="1"/>
    <col min="9731" max="9731" width="20.140625" style="258" bestFit="1" customWidth="1"/>
    <col min="9732" max="9732" width="6.42578125" style="258" customWidth="1"/>
    <col min="9733" max="9733" width="8.42578125" style="258" customWidth="1"/>
    <col min="9734" max="9734" width="2.42578125" style="258" customWidth="1"/>
    <col min="9735" max="9735" width="6.7109375" style="258" bestFit="1" customWidth="1"/>
    <col min="9736" max="9736" width="1.7109375" style="258" bestFit="1" customWidth="1"/>
    <col min="9737" max="9737" width="6.42578125" style="258" bestFit="1" customWidth="1"/>
    <col min="9738" max="9738" width="5.28515625" style="258" bestFit="1" customWidth="1"/>
    <col min="9739" max="9741" width="4" style="258" bestFit="1" customWidth="1"/>
    <col min="9742" max="9742" width="16.7109375" style="258" bestFit="1" customWidth="1"/>
    <col min="9743" max="9984" width="11" style="258"/>
    <col min="9985" max="9985" width="7" style="258" customWidth="1"/>
    <col min="9986" max="9986" width="47.42578125" style="258" bestFit="1" customWidth="1"/>
    <col min="9987" max="9987" width="20.140625" style="258" bestFit="1" customWidth="1"/>
    <col min="9988" max="9988" width="6.42578125" style="258" customWidth="1"/>
    <col min="9989" max="9989" width="8.42578125" style="258" customWidth="1"/>
    <col min="9990" max="9990" width="2.42578125" style="258" customWidth="1"/>
    <col min="9991" max="9991" width="6.7109375" style="258" bestFit="1" customWidth="1"/>
    <col min="9992" max="9992" width="1.7109375" style="258" bestFit="1" customWidth="1"/>
    <col min="9993" max="9993" width="6.42578125" style="258" bestFit="1" customWidth="1"/>
    <col min="9994" max="9994" width="5.28515625" style="258" bestFit="1" customWidth="1"/>
    <col min="9995" max="9997" width="4" style="258" bestFit="1" customWidth="1"/>
    <col min="9998" max="9998" width="16.7109375" style="258" bestFit="1" customWidth="1"/>
    <col min="9999" max="10240" width="11" style="258"/>
    <col min="10241" max="10241" width="7" style="258" customWidth="1"/>
    <col min="10242" max="10242" width="47.42578125" style="258" bestFit="1" customWidth="1"/>
    <col min="10243" max="10243" width="20.140625" style="258" bestFit="1" customWidth="1"/>
    <col min="10244" max="10244" width="6.42578125" style="258" customWidth="1"/>
    <col min="10245" max="10245" width="8.42578125" style="258" customWidth="1"/>
    <col min="10246" max="10246" width="2.42578125" style="258" customWidth="1"/>
    <col min="10247" max="10247" width="6.7109375" style="258" bestFit="1" customWidth="1"/>
    <col min="10248" max="10248" width="1.7109375" style="258" bestFit="1" customWidth="1"/>
    <col min="10249" max="10249" width="6.42578125" style="258" bestFit="1" customWidth="1"/>
    <col min="10250" max="10250" width="5.28515625" style="258" bestFit="1" customWidth="1"/>
    <col min="10251" max="10253" width="4" style="258" bestFit="1" customWidth="1"/>
    <col min="10254" max="10254" width="16.7109375" style="258" bestFit="1" customWidth="1"/>
    <col min="10255" max="10496" width="11" style="258"/>
    <col min="10497" max="10497" width="7" style="258" customWidth="1"/>
    <col min="10498" max="10498" width="47.42578125" style="258" bestFit="1" customWidth="1"/>
    <col min="10499" max="10499" width="20.140625" style="258" bestFit="1" customWidth="1"/>
    <col min="10500" max="10500" width="6.42578125" style="258" customWidth="1"/>
    <col min="10501" max="10501" width="8.42578125" style="258" customWidth="1"/>
    <col min="10502" max="10502" width="2.42578125" style="258" customWidth="1"/>
    <col min="10503" max="10503" width="6.7109375" style="258" bestFit="1" customWidth="1"/>
    <col min="10504" max="10504" width="1.7109375" style="258" bestFit="1" customWidth="1"/>
    <col min="10505" max="10505" width="6.42578125" style="258" bestFit="1" customWidth="1"/>
    <col min="10506" max="10506" width="5.28515625" style="258" bestFit="1" customWidth="1"/>
    <col min="10507" max="10509" width="4" style="258" bestFit="1" customWidth="1"/>
    <col min="10510" max="10510" width="16.7109375" style="258" bestFit="1" customWidth="1"/>
    <col min="10511" max="10752" width="11" style="258"/>
    <col min="10753" max="10753" width="7" style="258" customWidth="1"/>
    <col min="10754" max="10754" width="47.42578125" style="258" bestFit="1" customWidth="1"/>
    <col min="10755" max="10755" width="20.140625" style="258" bestFit="1" customWidth="1"/>
    <col min="10756" max="10756" width="6.42578125" style="258" customWidth="1"/>
    <col min="10757" max="10757" width="8.42578125" style="258" customWidth="1"/>
    <col min="10758" max="10758" width="2.42578125" style="258" customWidth="1"/>
    <col min="10759" max="10759" width="6.7109375" style="258" bestFit="1" customWidth="1"/>
    <col min="10760" max="10760" width="1.7109375" style="258" bestFit="1" customWidth="1"/>
    <col min="10761" max="10761" width="6.42578125" style="258" bestFit="1" customWidth="1"/>
    <col min="10762" max="10762" width="5.28515625" style="258" bestFit="1" customWidth="1"/>
    <col min="10763" max="10765" width="4" style="258" bestFit="1" customWidth="1"/>
    <col min="10766" max="10766" width="16.7109375" style="258" bestFit="1" customWidth="1"/>
    <col min="10767" max="11008" width="11" style="258"/>
    <col min="11009" max="11009" width="7" style="258" customWidth="1"/>
    <col min="11010" max="11010" width="47.42578125" style="258" bestFit="1" customWidth="1"/>
    <col min="11011" max="11011" width="20.140625" style="258" bestFit="1" customWidth="1"/>
    <col min="11012" max="11012" width="6.42578125" style="258" customWidth="1"/>
    <col min="11013" max="11013" width="8.42578125" style="258" customWidth="1"/>
    <col min="11014" max="11014" width="2.42578125" style="258" customWidth="1"/>
    <col min="11015" max="11015" width="6.7109375" style="258" bestFit="1" customWidth="1"/>
    <col min="11016" max="11016" width="1.7109375" style="258" bestFit="1" customWidth="1"/>
    <col min="11017" max="11017" width="6.42578125" style="258" bestFit="1" customWidth="1"/>
    <col min="11018" max="11018" width="5.28515625" style="258" bestFit="1" customWidth="1"/>
    <col min="11019" max="11021" width="4" style="258" bestFit="1" customWidth="1"/>
    <col min="11022" max="11022" width="16.7109375" style="258" bestFit="1" customWidth="1"/>
    <col min="11023" max="11264" width="11" style="258"/>
    <col min="11265" max="11265" width="7" style="258" customWidth="1"/>
    <col min="11266" max="11266" width="47.42578125" style="258" bestFit="1" customWidth="1"/>
    <col min="11267" max="11267" width="20.140625" style="258" bestFit="1" customWidth="1"/>
    <col min="11268" max="11268" width="6.42578125" style="258" customWidth="1"/>
    <col min="11269" max="11269" width="8.42578125" style="258" customWidth="1"/>
    <col min="11270" max="11270" width="2.42578125" style="258" customWidth="1"/>
    <col min="11271" max="11271" width="6.7109375" style="258" bestFit="1" customWidth="1"/>
    <col min="11272" max="11272" width="1.7109375" style="258" bestFit="1" customWidth="1"/>
    <col min="11273" max="11273" width="6.42578125" style="258" bestFit="1" customWidth="1"/>
    <col min="11274" max="11274" width="5.28515625" style="258" bestFit="1" customWidth="1"/>
    <col min="11275" max="11277" width="4" style="258" bestFit="1" customWidth="1"/>
    <col min="11278" max="11278" width="16.7109375" style="258" bestFit="1" customWidth="1"/>
    <col min="11279" max="11520" width="11" style="258"/>
    <col min="11521" max="11521" width="7" style="258" customWidth="1"/>
    <col min="11522" max="11522" width="47.42578125" style="258" bestFit="1" customWidth="1"/>
    <col min="11523" max="11523" width="20.140625" style="258" bestFit="1" customWidth="1"/>
    <col min="11524" max="11524" width="6.42578125" style="258" customWidth="1"/>
    <col min="11525" max="11525" width="8.42578125" style="258" customWidth="1"/>
    <col min="11526" max="11526" width="2.42578125" style="258" customWidth="1"/>
    <col min="11527" max="11527" width="6.7109375" style="258" bestFit="1" customWidth="1"/>
    <col min="11528" max="11528" width="1.7109375" style="258" bestFit="1" customWidth="1"/>
    <col min="11529" max="11529" width="6.42578125" style="258" bestFit="1" customWidth="1"/>
    <col min="11530" max="11530" width="5.28515625" style="258" bestFit="1" customWidth="1"/>
    <col min="11531" max="11533" width="4" style="258" bestFit="1" customWidth="1"/>
    <col min="11534" max="11534" width="16.7109375" style="258" bestFit="1" customWidth="1"/>
    <col min="11535" max="11776" width="11" style="258"/>
    <col min="11777" max="11777" width="7" style="258" customWidth="1"/>
    <col min="11778" max="11778" width="47.42578125" style="258" bestFit="1" customWidth="1"/>
    <col min="11779" max="11779" width="20.140625" style="258" bestFit="1" customWidth="1"/>
    <col min="11780" max="11780" width="6.42578125" style="258" customWidth="1"/>
    <col min="11781" max="11781" width="8.42578125" style="258" customWidth="1"/>
    <col min="11782" max="11782" width="2.42578125" style="258" customWidth="1"/>
    <col min="11783" max="11783" width="6.7109375" style="258" bestFit="1" customWidth="1"/>
    <col min="11784" max="11784" width="1.7109375" style="258" bestFit="1" customWidth="1"/>
    <col min="11785" max="11785" width="6.42578125" style="258" bestFit="1" customWidth="1"/>
    <col min="11786" max="11786" width="5.28515625" style="258" bestFit="1" customWidth="1"/>
    <col min="11787" max="11789" width="4" style="258" bestFit="1" customWidth="1"/>
    <col min="11790" max="11790" width="16.7109375" style="258" bestFit="1" customWidth="1"/>
    <col min="11791" max="12032" width="11" style="258"/>
    <col min="12033" max="12033" width="7" style="258" customWidth="1"/>
    <col min="12034" max="12034" width="47.42578125" style="258" bestFit="1" customWidth="1"/>
    <col min="12035" max="12035" width="20.140625" style="258" bestFit="1" customWidth="1"/>
    <col min="12036" max="12036" width="6.42578125" style="258" customWidth="1"/>
    <col min="12037" max="12037" width="8.42578125" style="258" customWidth="1"/>
    <col min="12038" max="12038" width="2.42578125" style="258" customWidth="1"/>
    <col min="12039" max="12039" width="6.7109375" style="258" bestFit="1" customWidth="1"/>
    <col min="12040" max="12040" width="1.7109375" style="258" bestFit="1" customWidth="1"/>
    <col min="12041" max="12041" width="6.42578125" style="258" bestFit="1" customWidth="1"/>
    <col min="12042" max="12042" width="5.28515625" style="258" bestFit="1" customWidth="1"/>
    <col min="12043" max="12045" width="4" style="258" bestFit="1" customWidth="1"/>
    <col min="12046" max="12046" width="16.7109375" style="258" bestFit="1" customWidth="1"/>
    <col min="12047" max="12288" width="11" style="258"/>
    <col min="12289" max="12289" width="7" style="258" customWidth="1"/>
    <col min="12290" max="12290" width="47.42578125" style="258" bestFit="1" customWidth="1"/>
    <col min="12291" max="12291" width="20.140625" style="258" bestFit="1" customWidth="1"/>
    <col min="12292" max="12292" width="6.42578125" style="258" customWidth="1"/>
    <col min="12293" max="12293" width="8.42578125" style="258" customWidth="1"/>
    <col min="12294" max="12294" width="2.42578125" style="258" customWidth="1"/>
    <col min="12295" max="12295" width="6.7109375" style="258" bestFit="1" customWidth="1"/>
    <col min="12296" max="12296" width="1.7109375" style="258" bestFit="1" customWidth="1"/>
    <col min="12297" max="12297" width="6.42578125" style="258" bestFit="1" customWidth="1"/>
    <col min="12298" max="12298" width="5.28515625" style="258" bestFit="1" customWidth="1"/>
    <col min="12299" max="12301" width="4" style="258" bestFit="1" customWidth="1"/>
    <col min="12302" max="12302" width="16.7109375" style="258" bestFit="1" customWidth="1"/>
    <col min="12303" max="12544" width="11" style="258"/>
    <col min="12545" max="12545" width="7" style="258" customWidth="1"/>
    <col min="12546" max="12546" width="47.42578125" style="258" bestFit="1" customWidth="1"/>
    <col min="12547" max="12547" width="20.140625" style="258" bestFit="1" customWidth="1"/>
    <col min="12548" max="12548" width="6.42578125" style="258" customWidth="1"/>
    <col min="12549" max="12549" width="8.42578125" style="258" customWidth="1"/>
    <col min="12550" max="12550" width="2.42578125" style="258" customWidth="1"/>
    <col min="12551" max="12551" width="6.7109375" style="258" bestFit="1" customWidth="1"/>
    <col min="12552" max="12552" width="1.7109375" style="258" bestFit="1" customWidth="1"/>
    <col min="12553" max="12553" width="6.42578125" style="258" bestFit="1" customWidth="1"/>
    <col min="12554" max="12554" width="5.28515625" style="258" bestFit="1" customWidth="1"/>
    <col min="12555" max="12557" width="4" style="258" bestFit="1" customWidth="1"/>
    <col min="12558" max="12558" width="16.7109375" style="258" bestFit="1" customWidth="1"/>
    <col min="12559" max="12800" width="11" style="258"/>
    <col min="12801" max="12801" width="7" style="258" customWidth="1"/>
    <col min="12802" max="12802" width="47.42578125" style="258" bestFit="1" customWidth="1"/>
    <col min="12803" max="12803" width="20.140625" style="258" bestFit="1" customWidth="1"/>
    <col min="12804" max="12804" width="6.42578125" style="258" customWidth="1"/>
    <col min="12805" max="12805" width="8.42578125" style="258" customWidth="1"/>
    <col min="12806" max="12806" width="2.42578125" style="258" customWidth="1"/>
    <col min="12807" max="12807" width="6.7109375" style="258" bestFit="1" customWidth="1"/>
    <col min="12808" max="12808" width="1.7109375" style="258" bestFit="1" customWidth="1"/>
    <col min="12809" max="12809" width="6.42578125" style="258" bestFit="1" customWidth="1"/>
    <col min="12810" max="12810" width="5.28515625" style="258" bestFit="1" customWidth="1"/>
    <col min="12811" max="12813" width="4" style="258" bestFit="1" customWidth="1"/>
    <col min="12814" max="12814" width="16.7109375" style="258" bestFit="1" customWidth="1"/>
    <col min="12815" max="13056" width="11" style="258"/>
    <col min="13057" max="13057" width="7" style="258" customWidth="1"/>
    <col min="13058" max="13058" width="47.42578125" style="258" bestFit="1" customWidth="1"/>
    <col min="13059" max="13059" width="20.140625" style="258" bestFit="1" customWidth="1"/>
    <col min="13060" max="13060" width="6.42578125" style="258" customWidth="1"/>
    <col min="13061" max="13061" width="8.42578125" style="258" customWidth="1"/>
    <col min="13062" max="13062" width="2.42578125" style="258" customWidth="1"/>
    <col min="13063" max="13063" width="6.7109375" style="258" bestFit="1" customWidth="1"/>
    <col min="13064" max="13064" width="1.7109375" style="258" bestFit="1" customWidth="1"/>
    <col min="13065" max="13065" width="6.42578125" style="258" bestFit="1" customWidth="1"/>
    <col min="13066" max="13066" width="5.28515625" style="258" bestFit="1" customWidth="1"/>
    <col min="13067" max="13069" width="4" style="258" bestFit="1" customWidth="1"/>
    <col min="13070" max="13070" width="16.7109375" style="258" bestFit="1" customWidth="1"/>
    <col min="13071" max="13312" width="11" style="258"/>
    <col min="13313" max="13313" width="7" style="258" customWidth="1"/>
    <col min="13314" max="13314" width="47.42578125" style="258" bestFit="1" customWidth="1"/>
    <col min="13315" max="13315" width="20.140625" style="258" bestFit="1" customWidth="1"/>
    <col min="13316" max="13316" width="6.42578125" style="258" customWidth="1"/>
    <col min="13317" max="13317" width="8.42578125" style="258" customWidth="1"/>
    <col min="13318" max="13318" width="2.42578125" style="258" customWidth="1"/>
    <col min="13319" max="13319" width="6.7109375" style="258" bestFit="1" customWidth="1"/>
    <col min="13320" max="13320" width="1.7109375" style="258" bestFit="1" customWidth="1"/>
    <col min="13321" max="13321" width="6.42578125" style="258" bestFit="1" customWidth="1"/>
    <col min="13322" max="13322" width="5.28515625" style="258" bestFit="1" customWidth="1"/>
    <col min="13323" max="13325" width="4" style="258" bestFit="1" customWidth="1"/>
    <col min="13326" max="13326" width="16.7109375" style="258" bestFit="1" customWidth="1"/>
    <col min="13327" max="13568" width="11" style="258"/>
    <col min="13569" max="13569" width="7" style="258" customWidth="1"/>
    <col min="13570" max="13570" width="47.42578125" style="258" bestFit="1" customWidth="1"/>
    <col min="13571" max="13571" width="20.140625" style="258" bestFit="1" customWidth="1"/>
    <col min="13572" max="13572" width="6.42578125" style="258" customWidth="1"/>
    <col min="13573" max="13573" width="8.42578125" style="258" customWidth="1"/>
    <col min="13574" max="13574" width="2.42578125" style="258" customWidth="1"/>
    <col min="13575" max="13575" width="6.7109375" style="258" bestFit="1" customWidth="1"/>
    <col min="13576" max="13576" width="1.7109375" style="258" bestFit="1" customWidth="1"/>
    <col min="13577" max="13577" width="6.42578125" style="258" bestFit="1" customWidth="1"/>
    <col min="13578" max="13578" width="5.28515625" style="258" bestFit="1" customWidth="1"/>
    <col min="13579" max="13581" width="4" style="258" bestFit="1" customWidth="1"/>
    <col min="13582" max="13582" width="16.7109375" style="258" bestFit="1" customWidth="1"/>
    <col min="13583" max="13824" width="11" style="258"/>
    <col min="13825" max="13825" width="7" style="258" customWidth="1"/>
    <col min="13826" max="13826" width="47.42578125" style="258" bestFit="1" customWidth="1"/>
    <col min="13827" max="13827" width="20.140625" style="258" bestFit="1" customWidth="1"/>
    <col min="13828" max="13828" width="6.42578125" style="258" customWidth="1"/>
    <col min="13829" max="13829" width="8.42578125" style="258" customWidth="1"/>
    <col min="13830" max="13830" width="2.42578125" style="258" customWidth="1"/>
    <col min="13831" max="13831" width="6.7109375" style="258" bestFit="1" customWidth="1"/>
    <col min="13832" max="13832" width="1.7109375" style="258" bestFit="1" customWidth="1"/>
    <col min="13833" max="13833" width="6.42578125" style="258" bestFit="1" customWidth="1"/>
    <col min="13834" max="13834" width="5.28515625" style="258" bestFit="1" customWidth="1"/>
    <col min="13835" max="13837" width="4" style="258" bestFit="1" customWidth="1"/>
    <col min="13838" max="13838" width="16.7109375" style="258" bestFit="1" customWidth="1"/>
    <col min="13839" max="14080" width="11" style="258"/>
    <col min="14081" max="14081" width="7" style="258" customWidth="1"/>
    <col min="14082" max="14082" width="47.42578125" style="258" bestFit="1" customWidth="1"/>
    <col min="14083" max="14083" width="20.140625" style="258" bestFit="1" customWidth="1"/>
    <col min="14084" max="14084" width="6.42578125" style="258" customWidth="1"/>
    <col min="14085" max="14085" width="8.42578125" style="258" customWidth="1"/>
    <col min="14086" max="14086" width="2.42578125" style="258" customWidth="1"/>
    <col min="14087" max="14087" width="6.7109375" style="258" bestFit="1" customWidth="1"/>
    <col min="14088" max="14088" width="1.7109375" style="258" bestFit="1" customWidth="1"/>
    <col min="14089" max="14089" width="6.42578125" style="258" bestFit="1" customWidth="1"/>
    <col min="14090" max="14090" width="5.28515625" style="258" bestFit="1" customWidth="1"/>
    <col min="14091" max="14093" width="4" style="258" bestFit="1" customWidth="1"/>
    <col min="14094" max="14094" width="16.7109375" style="258" bestFit="1" customWidth="1"/>
    <col min="14095" max="14336" width="11" style="258"/>
    <col min="14337" max="14337" width="7" style="258" customWidth="1"/>
    <col min="14338" max="14338" width="47.42578125" style="258" bestFit="1" customWidth="1"/>
    <col min="14339" max="14339" width="20.140625" style="258" bestFit="1" customWidth="1"/>
    <col min="14340" max="14340" width="6.42578125" style="258" customWidth="1"/>
    <col min="14341" max="14341" width="8.42578125" style="258" customWidth="1"/>
    <col min="14342" max="14342" width="2.42578125" style="258" customWidth="1"/>
    <col min="14343" max="14343" width="6.7109375" style="258" bestFit="1" customWidth="1"/>
    <col min="14344" max="14344" width="1.7109375" style="258" bestFit="1" customWidth="1"/>
    <col min="14345" max="14345" width="6.42578125" style="258" bestFit="1" customWidth="1"/>
    <col min="14346" max="14346" width="5.28515625" style="258" bestFit="1" customWidth="1"/>
    <col min="14347" max="14349" width="4" style="258" bestFit="1" customWidth="1"/>
    <col min="14350" max="14350" width="16.7109375" style="258" bestFit="1" customWidth="1"/>
    <col min="14351" max="14592" width="11" style="258"/>
    <col min="14593" max="14593" width="7" style="258" customWidth="1"/>
    <col min="14594" max="14594" width="47.42578125" style="258" bestFit="1" customWidth="1"/>
    <col min="14595" max="14595" width="20.140625" style="258" bestFit="1" customWidth="1"/>
    <col min="14596" max="14596" width="6.42578125" style="258" customWidth="1"/>
    <col min="14597" max="14597" width="8.42578125" style="258" customWidth="1"/>
    <col min="14598" max="14598" width="2.42578125" style="258" customWidth="1"/>
    <col min="14599" max="14599" width="6.7109375" style="258" bestFit="1" customWidth="1"/>
    <col min="14600" max="14600" width="1.7109375" style="258" bestFit="1" customWidth="1"/>
    <col min="14601" max="14601" width="6.42578125" style="258" bestFit="1" customWidth="1"/>
    <col min="14602" max="14602" width="5.28515625" style="258" bestFit="1" customWidth="1"/>
    <col min="14603" max="14605" width="4" style="258" bestFit="1" customWidth="1"/>
    <col min="14606" max="14606" width="16.7109375" style="258" bestFit="1" customWidth="1"/>
    <col min="14607" max="14848" width="11" style="258"/>
    <col min="14849" max="14849" width="7" style="258" customWidth="1"/>
    <col min="14850" max="14850" width="47.42578125" style="258" bestFit="1" customWidth="1"/>
    <col min="14851" max="14851" width="20.140625" style="258" bestFit="1" customWidth="1"/>
    <col min="14852" max="14852" width="6.42578125" style="258" customWidth="1"/>
    <col min="14853" max="14853" width="8.42578125" style="258" customWidth="1"/>
    <col min="14854" max="14854" width="2.42578125" style="258" customWidth="1"/>
    <col min="14855" max="14855" width="6.7109375" style="258" bestFit="1" customWidth="1"/>
    <col min="14856" max="14856" width="1.7109375" style="258" bestFit="1" customWidth="1"/>
    <col min="14857" max="14857" width="6.42578125" style="258" bestFit="1" customWidth="1"/>
    <col min="14858" max="14858" width="5.28515625" style="258" bestFit="1" customWidth="1"/>
    <col min="14859" max="14861" width="4" style="258" bestFit="1" customWidth="1"/>
    <col min="14862" max="14862" width="16.7109375" style="258" bestFit="1" customWidth="1"/>
    <col min="14863" max="15104" width="11" style="258"/>
    <col min="15105" max="15105" width="7" style="258" customWidth="1"/>
    <col min="15106" max="15106" width="47.42578125" style="258" bestFit="1" customWidth="1"/>
    <col min="15107" max="15107" width="20.140625" style="258" bestFit="1" customWidth="1"/>
    <col min="15108" max="15108" width="6.42578125" style="258" customWidth="1"/>
    <col min="15109" max="15109" width="8.42578125" style="258" customWidth="1"/>
    <col min="15110" max="15110" width="2.42578125" style="258" customWidth="1"/>
    <col min="15111" max="15111" width="6.7109375" style="258" bestFit="1" customWidth="1"/>
    <col min="15112" max="15112" width="1.7109375" style="258" bestFit="1" customWidth="1"/>
    <col min="15113" max="15113" width="6.42578125" style="258" bestFit="1" customWidth="1"/>
    <col min="15114" max="15114" width="5.28515625" style="258" bestFit="1" customWidth="1"/>
    <col min="15115" max="15117" width="4" style="258" bestFit="1" customWidth="1"/>
    <col min="15118" max="15118" width="16.7109375" style="258" bestFit="1" customWidth="1"/>
    <col min="15119" max="15360" width="11" style="258"/>
    <col min="15361" max="15361" width="7" style="258" customWidth="1"/>
    <col min="15362" max="15362" width="47.42578125" style="258" bestFit="1" customWidth="1"/>
    <col min="15363" max="15363" width="20.140625" style="258" bestFit="1" customWidth="1"/>
    <col min="15364" max="15364" width="6.42578125" style="258" customWidth="1"/>
    <col min="15365" max="15365" width="8.42578125" style="258" customWidth="1"/>
    <col min="15366" max="15366" width="2.42578125" style="258" customWidth="1"/>
    <col min="15367" max="15367" width="6.7109375" style="258" bestFit="1" customWidth="1"/>
    <col min="15368" max="15368" width="1.7109375" style="258" bestFit="1" customWidth="1"/>
    <col min="15369" max="15369" width="6.42578125" style="258" bestFit="1" customWidth="1"/>
    <col min="15370" max="15370" width="5.28515625" style="258" bestFit="1" customWidth="1"/>
    <col min="15371" max="15373" width="4" style="258" bestFit="1" customWidth="1"/>
    <col min="15374" max="15374" width="16.7109375" style="258" bestFit="1" customWidth="1"/>
    <col min="15375" max="15616" width="11" style="258"/>
    <col min="15617" max="15617" width="7" style="258" customWidth="1"/>
    <col min="15618" max="15618" width="47.42578125" style="258" bestFit="1" customWidth="1"/>
    <col min="15619" max="15619" width="20.140625" style="258" bestFit="1" customWidth="1"/>
    <col min="15620" max="15620" width="6.42578125" style="258" customWidth="1"/>
    <col min="15621" max="15621" width="8.42578125" style="258" customWidth="1"/>
    <col min="15622" max="15622" width="2.42578125" style="258" customWidth="1"/>
    <col min="15623" max="15623" width="6.7109375" style="258" bestFit="1" customWidth="1"/>
    <col min="15624" max="15624" width="1.7109375" style="258" bestFit="1" customWidth="1"/>
    <col min="15625" max="15625" width="6.42578125" style="258" bestFit="1" customWidth="1"/>
    <col min="15626" max="15626" width="5.28515625" style="258" bestFit="1" customWidth="1"/>
    <col min="15627" max="15629" width="4" style="258" bestFit="1" customWidth="1"/>
    <col min="15630" max="15630" width="16.7109375" style="258" bestFit="1" customWidth="1"/>
    <col min="15631" max="15872" width="11" style="258"/>
    <col min="15873" max="15873" width="7" style="258" customWidth="1"/>
    <col min="15874" max="15874" width="47.42578125" style="258" bestFit="1" customWidth="1"/>
    <col min="15875" max="15875" width="20.140625" style="258" bestFit="1" customWidth="1"/>
    <col min="15876" max="15876" width="6.42578125" style="258" customWidth="1"/>
    <col min="15877" max="15877" width="8.42578125" style="258" customWidth="1"/>
    <col min="15878" max="15878" width="2.42578125" style="258" customWidth="1"/>
    <col min="15879" max="15879" width="6.7109375" style="258" bestFit="1" customWidth="1"/>
    <col min="15880" max="15880" width="1.7109375" style="258" bestFit="1" customWidth="1"/>
    <col min="15881" max="15881" width="6.42578125" style="258" bestFit="1" customWidth="1"/>
    <col min="15882" max="15882" width="5.28515625" style="258" bestFit="1" customWidth="1"/>
    <col min="15883" max="15885" width="4" style="258" bestFit="1" customWidth="1"/>
    <col min="15886" max="15886" width="16.7109375" style="258" bestFit="1" customWidth="1"/>
    <col min="15887" max="16128" width="11" style="258"/>
    <col min="16129" max="16129" width="7" style="258" customWidth="1"/>
    <col min="16130" max="16130" width="47.42578125" style="258" bestFit="1" customWidth="1"/>
    <col min="16131" max="16131" width="20.140625" style="258" bestFit="1" customWidth="1"/>
    <col min="16132" max="16132" width="6.42578125" style="258" customWidth="1"/>
    <col min="16133" max="16133" width="8.42578125" style="258" customWidth="1"/>
    <col min="16134" max="16134" width="2.42578125" style="258" customWidth="1"/>
    <col min="16135" max="16135" width="6.7109375" style="258" bestFit="1" customWidth="1"/>
    <col min="16136" max="16136" width="1.7109375" style="258" bestFit="1" customWidth="1"/>
    <col min="16137" max="16137" width="6.42578125" style="258" bestFit="1" customWidth="1"/>
    <col min="16138" max="16138" width="5.28515625" style="258" bestFit="1" customWidth="1"/>
    <col min="16139" max="16141" width="4" style="258" bestFit="1" customWidth="1"/>
    <col min="16142" max="16142" width="16.7109375" style="258" bestFit="1" customWidth="1"/>
    <col min="16143" max="16384" width="11" style="258"/>
  </cols>
  <sheetData>
    <row r="1" spans="1:14" ht="13.5">
      <c r="B1" s="259" t="s">
        <v>299</v>
      </c>
      <c r="J1" s="262"/>
    </row>
    <row r="2" spans="1:14">
      <c r="A2" s="1479" t="s">
        <v>770</v>
      </c>
      <c r="B2" s="1479"/>
      <c r="C2" s="1479"/>
      <c r="D2" s="1479"/>
      <c r="E2" s="1479"/>
      <c r="F2" s="1479"/>
      <c r="G2" s="1479"/>
      <c r="H2" s="1479"/>
      <c r="I2" s="1479"/>
      <c r="J2" s="1479"/>
    </row>
    <row r="4" spans="1:14">
      <c r="A4" s="1480" t="s">
        <v>300</v>
      </c>
      <c r="B4" s="1480"/>
      <c r="C4" s="1480"/>
      <c r="D4" s="1480"/>
      <c r="E4" s="1480"/>
      <c r="F4" s="1480"/>
      <c r="G4" s="1480"/>
      <c r="H4" s="1480"/>
      <c r="I4" s="1480"/>
      <c r="J4" s="1480"/>
    </row>
    <row r="6" spans="1:14" ht="49.5" customHeight="1">
      <c r="A6" s="263"/>
      <c r="B6" s="264" t="s">
        <v>301</v>
      </c>
      <c r="C6" s="1481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6" s="1482"/>
      <c r="E6" s="1482"/>
      <c r="F6" s="1482"/>
      <c r="G6" s="1482"/>
      <c r="H6" s="1482"/>
      <c r="I6" s="1482"/>
      <c r="J6" s="1482"/>
      <c r="K6" s="1482"/>
      <c r="L6" s="1482"/>
      <c r="M6" s="1482"/>
      <c r="N6" s="265"/>
    </row>
    <row r="7" spans="1:14">
      <c r="A7" s="266"/>
      <c r="B7" s="267" t="s">
        <v>302</v>
      </c>
      <c r="C7" s="268" t="s">
        <v>303</v>
      </c>
      <c r="F7" s="269"/>
      <c r="G7" s="269"/>
      <c r="H7" s="269"/>
      <c r="I7" s="269"/>
      <c r="J7" s="269"/>
    </row>
    <row r="8" spans="1:14" ht="13.5">
      <c r="F8" s="270"/>
      <c r="G8" s="271"/>
    </row>
    <row r="9" spans="1:14" ht="13.5">
      <c r="B9" s="273" t="s">
        <v>304</v>
      </c>
      <c r="C9" s="273"/>
      <c r="D9" s="274"/>
      <c r="G9" s="275"/>
      <c r="H9" s="276"/>
      <c r="I9" s="275"/>
    </row>
    <row r="10" spans="1:14" ht="13.5">
      <c r="B10" s="273" t="s">
        <v>305</v>
      </c>
      <c r="C10" s="273"/>
      <c r="D10" s="274"/>
      <c r="F10" s="276"/>
      <c r="G10" s="275"/>
      <c r="H10" s="276"/>
      <c r="I10" s="275"/>
    </row>
    <row r="11" spans="1:14" ht="13.5">
      <c r="B11" s="273"/>
      <c r="C11" s="273"/>
      <c r="D11" s="274"/>
      <c r="F11" s="276"/>
      <c r="G11" s="275"/>
      <c r="H11" s="276"/>
      <c r="I11" s="275"/>
    </row>
    <row r="12" spans="1:14" ht="14.25" thickBot="1">
      <c r="B12" s="277" t="s">
        <v>306</v>
      </c>
      <c r="C12" s="273"/>
      <c r="D12" s="274"/>
      <c r="F12" s="270" t="s">
        <v>1136</v>
      </c>
      <c r="G12" s="275"/>
      <c r="H12" s="276"/>
      <c r="I12" s="275"/>
    </row>
    <row r="13" spans="1:14" ht="13.5" thickBot="1">
      <c r="A13" s="1483" t="s">
        <v>307</v>
      </c>
      <c r="B13" s="1484"/>
      <c r="C13" s="1483" t="s">
        <v>308</v>
      </c>
      <c r="D13" s="1485"/>
      <c r="E13" s="1485"/>
      <c r="F13" s="1485"/>
      <c r="G13" s="1485"/>
      <c r="H13" s="1485"/>
      <c r="I13" s="1485"/>
      <c r="J13" s="1485"/>
      <c r="K13" s="1485"/>
      <c r="L13" s="1485"/>
      <c r="M13" s="1485"/>
      <c r="N13" s="1484"/>
    </row>
    <row r="14" spans="1:14">
      <c r="A14" s="278" t="s">
        <v>138</v>
      </c>
      <c r="B14" s="279"/>
      <c r="C14" s="1486" t="s">
        <v>21</v>
      </c>
      <c r="D14" s="1487"/>
      <c r="E14" s="1492" t="s">
        <v>309</v>
      </c>
      <c r="F14" s="1493"/>
      <c r="G14" s="1493"/>
      <c r="H14" s="1493"/>
      <c r="I14" s="1493"/>
      <c r="J14" s="1493"/>
      <c r="K14" s="1493"/>
      <c r="L14" s="1493"/>
      <c r="M14" s="1493"/>
      <c r="N14" s="1498" t="s">
        <v>310</v>
      </c>
    </row>
    <row r="15" spans="1:14">
      <c r="A15" s="280" t="s">
        <v>311</v>
      </c>
      <c r="B15" s="281"/>
      <c r="C15" s="1488"/>
      <c r="D15" s="1489"/>
      <c r="E15" s="1494"/>
      <c r="F15" s="1495"/>
      <c r="G15" s="1495"/>
      <c r="H15" s="1495"/>
      <c r="I15" s="1495"/>
      <c r="J15" s="1495"/>
      <c r="K15" s="1495"/>
      <c r="L15" s="1495"/>
      <c r="M15" s="1495"/>
      <c r="N15" s="1499"/>
    </row>
    <row r="16" spans="1:14">
      <c r="A16" s="282"/>
      <c r="B16" s="281" t="s">
        <v>312</v>
      </c>
      <c r="C16" s="1488"/>
      <c r="D16" s="1489"/>
      <c r="E16" s="1494"/>
      <c r="F16" s="1495"/>
      <c r="G16" s="1495"/>
      <c r="H16" s="1495"/>
      <c r="I16" s="1495"/>
      <c r="J16" s="1495"/>
      <c r="K16" s="1495"/>
      <c r="L16" s="1495"/>
      <c r="M16" s="1495"/>
      <c r="N16" s="1499"/>
    </row>
    <row r="17" spans="1:15" ht="13.5" thickBot="1">
      <c r="A17" s="283"/>
      <c r="B17" s="284"/>
      <c r="C17" s="1490"/>
      <c r="D17" s="1491"/>
      <c r="E17" s="1496"/>
      <c r="F17" s="1497"/>
      <c r="G17" s="1497"/>
      <c r="H17" s="1497"/>
      <c r="I17" s="1497"/>
      <c r="J17" s="1497"/>
      <c r="K17" s="1497"/>
      <c r="L17" s="1497"/>
      <c r="M17" s="1497"/>
      <c r="N17" s="1500"/>
    </row>
    <row r="18" spans="1:15" ht="16.5" customHeight="1" thickBot="1">
      <c r="A18" s="765">
        <v>1</v>
      </c>
      <c r="B18" s="285">
        <v>2</v>
      </c>
      <c r="C18" s="1501">
        <v>3</v>
      </c>
      <c r="D18" s="1502"/>
      <c r="E18" s="1501">
        <v>4</v>
      </c>
      <c r="F18" s="1503"/>
      <c r="G18" s="1503"/>
      <c r="H18" s="1503"/>
      <c r="I18" s="1503"/>
      <c r="J18" s="1503"/>
      <c r="K18" s="1503"/>
      <c r="L18" s="1503"/>
      <c r="M18" s="1503"/>
      <c r="N18" s="791">
        <v>5</v>
      </c>
    </row>
    <row r="19" spans="1:15" ht="13.5" thickBot="1">
      <c r="A19" s="1501" t="s">
        <v>313</v>
      </c>
      <c r="B19" s="1503"/>
      <c r="C19" s="1503"/>
      <c r="D19" s="1503"/>
      <c r="E19" s="1504"/>
      <c r="F19" s="1504"/>
      <c r="G19" s="1504"/>
      <c r="H19" s="1504"/>
      <c r="I19" s="1504"/>
      <c r="J19" s="1504"/>
      <c r="K19" s="1504"/>
      <c r="L19" s="1504"/>
      <c r="M19" s="1504"/>
      <c r="N19" s="1502"/>
      <c r="O19" s="258" t="s">
        <v>77</v>
      </c>
    </row>
    <row r="20" spans="1:15" ht="21" customHeight="1">
      <c r="A20" s="1505">
        <v>1</v>
      </c>
      <c r="B20" s="286" t="s">
        <v>314</v>
      </c>
      <c r="C20" s="287" t="s">
        <v>315</v>
      </c>
      <c r="D20" s="288">
        <v>6897</v>
      </c>
      <c r="E20" s="1508">
        <f>D20</f>
        <v>6897</v>
      </c>
      <c r="F20" s="1510" t="s">
        <v>316</v>
      </c>
      <c r="G20" s="1510">
        <f>D21</f>
        <v>4</v>
      </c>
      <c r="H20" s="1510" t="s">
        <v>316</v>
      </c>
      <c r="I20" s="1510">
        <f>D22</f>
        <v>0.7</v>
      </c>
      <c r="J20" s="1510"/>
      <c r="K20" s="1512">
        <f>D23</f>
        <v>1.2</v>
      </c>
      <c r="L20" s="1510"/>
      <c r="M20" s="289"/>
      <c r="N20" s="1514">
        <f>D20*D21*D22*K20</f>
        <v>23174</v>
      </c>
    </row>
    <row r="21" spans="1:15" ht="23.25" customHeight="1">
      <c r="A21" s="1506"/>
      <c r="B21" s="290" t="s">
        <v>317</v>
      </c>
      <c r="C21" s="291" t="s">
        <v>318</v>
      </c>
      <c r="D21" s="292">
        <v>4</v>
      </c>
      <c r="E21" s="1509"/>
      <c r="F21" s="1511"/>
      <c r="G21" s="1511"/>
      <c r="H21" s="1511"/>
      <c r="I21" s="1511"/>
      <c r="J21" s="1511"/>
      <c r="K21" s="1513"/>
      <c r="L21" s="1511"/>
      <c r="M21" s="293"/>
      <c r="N21" s="1515"/>
    </row>
    <row r="22" spans="1:15" ht="17.25" customHeight="1">
      <c r="A22" s="1506"/>
      <c r="B22" s="792" t="s">
        <v>319</v>
      </c>
      <c r="C22" s="793" t="s">
        <v>320</v>
      </c>
      <c r="D22" s="794">
        <v>0.7</v>
      </c>
      <c r="E22" s="1509"/>
      <c r="F22" s="1511"/>
      <c r="G22" s="1511"/>
      <c r="H22" s="1511"/>
      <c r="I22" s="1511"/>
      <c r="J22" s="1511"/>
      <c r="K22" s="1513"/>
      <c r="L22" s="1511"/>
      <c r="M22" s="293"/>
      <c r="N22" s="1515"/>
    </row>
    <row r="23" spans="1:15" ht="13.5" thickBot="1">
      <c r="A23" s="1507"/>
      <c r="B23" s="294" t="s">
        <v>1035</v>
      </c>
      <c r="C23" s="295" t="s">
        <v>1036</v>
      </c>
      <c r="D23" s="296">
        <v>1.2</v>
      </c>
      <c r="E23" s="1509"/>
      <c r="F23" s="1511"/>
      <c r="G23" s="1511"/>
      <c r="H23" s="1511"/>
      <c r="I23" s="1511"/>
      <c r="J23" s="1511"/>
      <c r="K23" s="1513"/>
      <c r="L23" s="1511"/>
      <c r="M23" s="293"/>
      <c r="N23" s="1516"/>
    </row>
    <row r="24" spans="1:15">
      <c r="A24" s="1505">
        <v>2</v>
      </c>
      <c r="B24" s="286" t="s">
        <v>321</v>
      </c>
      <c r="C24" s="287" t="s">
        <v>322</v>
      </c>
      <c r="D24" s="288">
        <v>1897</v>
      </c>
      <c r="E24" s="1508">
        <f>D24</f>
        <v>1897</v>
      </c>
      <c r="F24" s="1510" t="s">
        <v>316</v>
      </c>
      <c r="G24" s="1510">
        <f>D25</f>
        <v>4</v>
      </c>
      <c r="H24" s="1519" t="s">
        <v>316</v>
      </c>
      <c r="I24" s="1510">
        <f>D27</f>
        <v>0.4</v>
      </c>
      <c r="J24" s="1510"/>
      <c r="K24" s="1512">
        <f>D23</f>
        <v>1.2</v>
      </c>
      <c r="L24" s="1510"/>
      <c r="M24" s="289"/>
      <c r="N24" s="1514">
        <f>D24*D25*D27*K24</f>
        <v>3642</v>
      </c>
    </row>
    <row r="25" spans="1:15">
      <c r="A25" s="1506"/>
      <c r="B25" s="290" t="s">
        <v>317</v>
      </c>
      <c r="C25" s="291" t="s">
        <v>323</v>
      </c>
      <c r="D25" s="297">
        <v>4</v>
      </c>
      <c r="E25" s="1509"/>
      <c r="F25" s="1511"/>
      <c r="G25" s="1511"/>
      <c r="H25" s="1520"/>
      <c r="I25" s="1511"/>
      <c r="J25" s="1511"/>
      <c r="K25" s="1513"/>
      <c r="L25" s="1511"/>
      <c r="M25" s="293"/>
      <c r="N25" s="1515"/>
    </row>
    <row r="26" spans="1:15" ht="14.25" customHeight="1">
      <c r="A26" s="1506"/>
      <c r="B26" s="795" t="s">
        <v>319</v>
      </c>
      <c r="C26" s="291"/>
      <c r="D26" s="292"/>
      <c r="E26" s="1509"/>
      <c r="F26" s="1511"/>
      <c r="G26" s="1511"/>
      <c r="H26" s="1520"/>
      <c r="I26" s="1511"/>
      <c r="J26" s="1511"/>
      <c r="K26" s="1513"/>
      <c r="L26" s="1511"/>
      <c r="M26" s="293"/>
      <c r="N26" s="1515"/>
    </row>
    <row r="27" spans="1:15" ht="18" customHeight="1" thickBot="1">
      <c r="A27" s="1506"/>
      <c r="B27" s="299" t="s">
        <v>1037</v>
      </c>
      <c r="C27" s="300" t="s">
        <v>320</v>
      </c>
      <c r="D27" s="301">
        <v>0.4</v>
      </c>
      <c r="E27" s="1517"/>
      <c r="F27" s="1518"/>
      <c r="G27" s="1518"/>
      <c r="H27" s="1521"/>
      <c r="I27" s="1518"/>
      <c r="J27" s="1511"/>
      <c r="K27" s="1513"/>
      <c r="L27" s="1518"/>
      <c r="M27" s="302"/>
      <c r="N27" s="1516"/>
    </row>
    <row r="28" spans="1:15">
      <c r="A28" s="1505">
        <v>3</v>
      </c>
      <c r="B28" s="286" t="s">
        <v>324</v>
      </c>
      <c r="C28" s="303" t="s">
        <v>325</v>
      </c>
      <c r="D28" s="304">
        <v>1380</v>
      </c>
      <c r="E28" s="1508">
        <f>D28</f>
        <v>1380</v>
      </c>
      <c r="F28" s="1510" t="s">
        <v>316</v>
      </c>
      <c r="G28" s="1510">
        <f>D29</f>
        <v>14</v>
      </c>
      <c r="H28" s="1519" t="s">
        <v>316</v>
      </c>
      <c r="I28" s="1510">
        <f>D30</f>
        <v>1.1000000000000001</v>
      </c>
      <c r="J28" s="1519"/>
      <c r="K28" s="1512">
        <f>D32</f>
        <v>1.2</v>
      </c>
      <c r="L28" s="766"/>
      <c r="M28" s="305"/>
      <c r="N28" s="1514">
        <f>D28*D29*D30*K28</f>
        <v>25502</v>
      </c>
    </row>
    <row r="29" spans="1:15">
      <c r="A29" s="1506"/>
      <c r="B29" s="290" t="s">
        <v>326</v>
      </c>
      <c r="C29" s="306" t="s">
        <v>327</v>
      </c>
      <c r="D29" s="307">
        <v>14</v>
      </c>
      <c r="E29" s="1509"/>
      <c r="F29" s="1511"/>
      <c r="G29" s="1511"/>
      <c r="H29" s="1520"/>
      <c r="I29" s="1511"/>
      <c r="J29" s="1520"/>
      <c r="K29" s="1513"/>
      <c r="L29" s="767"/>
      <c r="M29" s="308"/>
      <c r="N29" s="1515"/>
    </row>
    <row r="30" spans="1:15">
      <c r="A30" s="1506"/>
      <c r="B30" s="290" t="s">
        <v>1038</v>
      </c>
      <c r="C30" s="306" t="s">
        <v>329</v>
      </c>
      <c r="D30" s="307">
        <v>1.1000000000000001</v>
      </c>
      <c r="E30" s="1509"/>
      <c r="F30" s="1511"/>
      <c r="G30" s="1511"/>
      <c r="H30" s="1520"/>
      <c r="I30" s="1511"/>
      <c r="J30" s="1520"/>
      <c r="K30" s="1513"/>
      <c r="L30" s="767"/>
      <c r="M30" s="308"/>
      <c r="N30" s="1515"/>
    </row>
    <row r="31" spans="1:15">
      <c r="A31" s="1506"/>
      <c r="B31" s="290" t="s">
        <v>1039</v>
      </c>
      <c r="C31" s="306"/>
      <c r="D31" s="307"/>
      <c r="E31" s="1509"/>
      <c r="F31" s="1511"/>
      <c r="G31" s="1511"/>
      <c r="H31" s="1520"/>
      <c r="I31" s="1511"/>
      <c r="J31" s="1520"/>
      <c r="K31" s="1513"/>
      <c r="L31" s="767"/>
      <c r="M31" s="308"/>
      <c r="N31" s="1515"/>
    </row>
    <row r="32" spans="1:15" ht="13.5" thickBot="1">
      <c r="A32" s="1507"/>
      <c r="B32" s="294" t="s">
        <v>331</v>
      </c>
      <c r="C32" s="295" t="s">
        <v>1036</v>
      </c>
      <c r="D32" s="296">
        <v>1.2</v>
      </c>
      <c r="E32" s="1517"/>
      <c r="F32" s="1518"/>
      <c r="G32" s="1518"/>
      <c r="H32" s="1521"/>
      <c r="I32" s="1518"/>
      <c r="J32" s="1521"/>
      <c r="K32" s="1522"/>
      <c r="L32" s="768"/>
      <c r="M32" s="309"/>
      <c r="N32" s="1516"/>
    </row>
    <row r="33" spans="1:14">
      <c r="A33" s="1505">
        <v>4</v>
      </c>
      <c r="B33" s="286" t="s">
        <v>324</v>
      </c>
      <c r="C33" s="303" t="s">
        <v>332</v>
      </c>
      <c r="D33" s="304">
        <v>3288</v>
      </c>
      <c r="E33" s="1508">
        <f>D33</f>
        <v>3288</v>
      </c>
      <c r="F33" s="1510" t="s">
        <v>316</v>
      </c>
      <c r="G33" s="1510">
        <f>D34</f>
        <v>1.6</v>
      </c>
      <c r="H33" s="1519" t="s">
        <v>316</v>
      </c>
      <c r="I33" s="1510">
        <f>D35</f>
        <v>1.1000000000000001</v>
      </c>
      <c r="J33" s="1519"/>
      <c r="K33" s="1512">
        <f>D37</f>
        <v>1.2</v>
      </c>
      <c r="L33" s="766"/>
      <c r="M33" s="305"/>
      <c r="N33" s="1514">
        <f>D33*D34*D35*K33</f>
        <v>6944</v>
      </c>
    </row>
    <row r="34" spans="1:14">
      <c r="A34" s="1506"/>
      <c r="B34" s="290" t="s">
        <v>326</v>
      </c>
      <c r="C34" s="306" t="s">
        <v>327</v>
      </c>
      <c r="D34" s="307">
        <v>1.6</v>
      </c>
      <c r="E34" s="1509"/>
      <c r="F34" s="1511"/>
      <c r="G34" s="1511"/>
      <c r="H34" s="1520"/>
      <c r="I34" s="1511"/>
      <c r="J34" s="1520"/>
      <c r="K34" s="1513"/>
      <c r="L34" s="767"/>
      <c r="M34" s="308"/>
      <c r="N34" s="1515"/>
    </row>
    <row r="35" spans="1:14">
      <c r="A35" s="1506"/>
      <c r="B35" s="290" t="s">
        <v>1040</v>
      </c>
      <c r="C35" s="306" t="s">
        <v>329</v>
      </c>
      <c r="D35" s="307">
        <v>1.1000000000000001</v>
      </c>
      <c r="E35" s="1509"/>
      <c r="F35" s="1511"/>
      <c r="G35" s="1511"/>
      <c r="H35" s="1520"/>
      <c r="I35" s="1511"/>
      <c r="J35" s="1520"/>
      <c r="K35" s="1513"/>
      <c r="L35" s="767"/>
      <c r="M35" s="308"/>
      <c r="N35" s="1515"/>
    </row>
    <row r="36" spans="1:14">
      <c r="A36" s="1506"/>
      <c r="B36" s="290" t="s">
        <v>1039</v>
      </c>
      <c r="C36" s="306"/>
      <c r="D36" s="307"/>
      <c r="E36" s="1509"/>
      <c r="F36" s="1511"/>
      <c r="G36" s="1511"/>
      <c r="H36" s="1520"/>
      <c r="I36" s="1511"/>
      <c r="J36" s="1520"/>
      <c r="K36" s="1513"/>
      <c r="L36" s="767"/>
      <c r="M36" s="308"/>
      <c r="N36" s="1515"/>
    </row>
    <row r="37" spans="1:14" ht="13.5" thickBot="1">
      <c r="A37" s="1507"/>
      <c r="B37" s="294" t="s">
        <v>331</v>
      </c>
      <c r="C37" s="295" t="s">
        <v>1036</v>
      </c>
      <c r="D37" s="296">
        <v>1.2</v>
      </c>
      <c r="E37" s="1517"/>
      <c r="F37" s="1518"/>
      <c r="G37" s="1518"/>
      <c r="H37" s="1521"/>
      <c r="I37" s="1518"/>
      <c r="J37" s="1521"/>
      <c r="K37" s="1522"/>
      <c r="L37" s="768"/>
      <c r="M37" s="309"/>
      <c r="N37" s="1516"/>
    </row>
    <row r="38" spans="1:14" ht="13.5" thickBot="1">
      <c r="A38" s="1523" t="s">
        <v>1041</v>
      </c>
      <c r="B38" s="1524"/>
      <c r="C38" s="1524"/>
      <c r="D38" s="1524"/>
      <c r="E38" s="1524"/>
      <c r="F38" s="1524"/>
      <c r="G38" s="1524"/>
      <c r="H38" s="1524"/>
      <c r="I38" s="1524"/>
      <c r="J38" s="1524"/>
      <c r="K38" s="1524"/>
      <c r="L38" s="1524"/>
      <c r="M38" s="1525"/>
      <c r="N38" s="796">
        <f>SUM(N20:N33)</f>
        <v>59262</v>
      </c>
    </row>
    <row r="39" spans="1:14" ht="11.25" customHeight="1" thickBot="1">
      <c r="A39" s="1526" t="s">
        <v>334</v>
      </c>
      <c r="B39" s="1527"/>
      <c r="C39" s="1527"/>
      <c r="D39" s="1527"/>
      <c r="E39" s="1527"/>
      <c r="F39" s="1527"/>
      <c r="G39" s="1527"/>
      <c r="H39" s="1527"/>
      <c r="I39" s="1527"/>
      <c r="J39" s="1527"/>
      <c r="K39" s="1527"/>
      <c r="L39" s="1527"/>
      <c r="M39" s="1527"/>
      <c r="N39" s="1528"/>
    </row>
    <row r="40" spans="1:14" ht="3.75" hidden="1" customHeight="1" thickBot="1">
      <c r="A40" s="1529">
        <v>6</v>
      </c>
      <c r="B40" s="286" t="s">
        <v>314</v>
      </c>
      <c r="C40" s="310" t="s">
        <v>315</v>
      </c>
      <c r="D40" s="311">
        <v>2705</v>
      </c>
      <c r="E40" s="1531">
        <f>D40</f>
        <v>2705</v>
      </c>
      <c r="F40" s="1519" t="s">
        <v>316</v>
      </c>
      <c r="G40" s="1519">
        <f>D41</f>
        <v>0</v>
      </c>
      <c r="H40" s="1519" t="s">
        <v>316</v>
      </c>
      <c r="I40" s="1534">
        <f>D42</f>
        <v>1</v>
      </c>
      <c r="J40" s="1519" t="s">
        <v>316</v>
      </c>
      <c r="K40" s="1534">
        <f>D43</f>
        <v>1.2</v>
      </c>
      <c r="L40" s="1519"/>
      <c r="M40" s="312"/>
      <c r="N40" s="1537">
        <f>D40*D41*D42*D43</f>
        <v>0</v>
      </c>
    </row>
    <row r="41" spans="1:14" ht="13.5" hidden="1" thickBot="1">
      <c r="A41" s="1530"/>
      <c r="B41" s="290" t="s">
        <v>317</v>
      </c>
      <c r="C41" s="313" t="s">
        <v>318</v>
      </c>
      <c r="D41" s="314">
        <v>0</v>
      </c>
      <c r="E41" s="1532"/>
      <c r="F41" s="1520"/>
      <c r="G41" s="1520"/>
      <c r="H41" s="1520"/>
      <c r="I41" s="1535"/>
      <c r="J41" s="1520"/>
      <c r="K41" s="1535"/>
      <c r="L41" s="1520"/>
      <c r="M41" s="315"/>
      <c r="N41" s="1538"/>
    </row>
    <row r="42" spans="1:14" ht="39" hidden="1" thickBot="1">
      <c r="A42" s="1530"/>
      <c r="B42" s="298" t="s">
        <v>319</v>
      </c>
      <c r="C42" s="316" t="s">
        <v>335</v>
      </c>
      <c r="D42" s="317">
        <v>1</v>
      </c>
      <c r="E42" s="1532"/>
      <c r="F42" s="1520"/>
      <c r="G42" s="1520"/>
      <c r="H42" s="1520"/>
      <c r="I42" s="1535"/>
      <c r="J42" s="1520"/>
      <c r="K42" s="1535"/>
      <c r="L42" s="1520"/>
      <c r="M42" s="315"/>
      <c r="N42" s="1538"/>
    </row>
    <row r="43" spans="1:14" ht="13.5" hidden="1" thickBot="1">
      <c r="A43" s="1530"/>
      <c r="B43" s="294" t="s">
        <v>336</v>
      </c>
      <c r="C43" s="300" t="s">
        <v>337</v>
      </c>
      <c r="D43" s="318">
        <v>1.2</v>
      </c>
      <c r="E43" s="1533"/>
      <c r="F43" s="1521"/>
      <c r="G43" s="1521"/>
      <c r="H43" s="1521"/>
      <c r="I43" s="1536"/>
      <c r="J43" s="1521"/>
      <c r="K43" s="1536"/>
      <c r="L43" s="1521"/>
      <c r="M43" s="319"/>
      <c r="N43" s="1538"/>
    </row>
    <row r="44" spans="1:14" ht="13.5" hidden="1" thickBot="1">
      <c r="A44" s="1541">
        <v>7</v>
      </c>
      <c r="B44" s="286" t="s">
        <v>321</v>
      </c>
      <c r="C44" s="320" t="s">
        <v>322</v>
      </c>
      <c r="D44" s="321">
        <v>485</v>
      </c>
      <c r="E44" s="1543">
        <f>D44</f>
        <v>485</v>
      </c>
      <c r="F44" s="1546" t="s">
        <v>316</v>
      </c>
      <c r="G44" s="1546">
        <f>D45</f>
        <v>0</v>
      </c>
      <c r="H44" s="1546" t="s">
        <v>316</v>
      </c>
      <c r="I44" s="1546">
        <f>D47</f>
        <v>1.2</v>
      </c>
      <c r="J44" s="1546"/>
      <c r="K44" s="1546"/>
      <c r="L44" s="1546"/>
      <c r="M44" s="322"/>
      <c r="N44" s="1539">
        <f>D44*D45*D47</f>
        <v>0</v>
      </c>
    </row>
    <row r="45" spans="1:14" ht="13.5" hidden="1" thickBot="1">
      <c r="A45" s="1542"/>
      <c r="B45" s="290" t="s">
        <v>317</v>
      </c>
      <c r="C45" s="316" t="s">
        <v>323</v>
      </c>
      <c r="D45" s="323">
        <v>0</v>
      </c>
      <c r="E45" s="1544"/>
      <c r="F45" s="1547"/>
      <c r="G45" s="1547"/>
      <c r="H45" s="1547"/>
      <c r="I45" s="1547"/>
      <c r="J45" s="1547"/>
      <c r="K45" s="1547"/>
      <c r="L45" s="1547"/>
      <c r="M45" s="324"/>
      <c r="N45" s="1540"/>
    </row>
    <row r="46" spans="1:14" ht="13.5" hidden="1" thickBot="1">
      <c r="A46" s="1542"/>
      <c r="B46" s="298" t="s">
        <v>338</v>
      </c>
      <c r="C46" s="325"/>
      <c r="D46" s="326"/>
      <c r="E46" s="1544"/>
      <c r="F46" s="1547"/>
      <c r="G46" s="1547"/>
      <c r="H46" s="1547"/>
      <c r="I46" s="1547"/>
      <c r="J46" s="1547"/>
      <c r="K46" s="1547"/>
      <c r="L46" s="1547"/>
      <c r="M46" s="324"/>
      <c r="N46" s="1540"/>
    </row>
    <row r="47" spans="1:14" ht="13.5" hidden="1" thickBot="1">
      <c r="A47" s="1542"/>
      <c r="B47" s="294" t="s">
        <v>336</v>
      </c>
      <c r="C47" s="325" t="s">
        <v>337</v>
      </c>
      <c r="D47" s="326">
        <v>1.2</v>
      </c>
      <c r="E47" s="1545"/>
      <c r="F47" s="1548"/>
      <c r="G47" s="1548"/>
      <c r="H47" s="1548"/>
      <c r="I47" s="1548"/>
      <c r="J47" s="1548"/>
      <c r="K47" s="1548"/>
      <c r="L47" s="1548"/>
      <c r="M47" s="327"/>
      <c r="N47" s="1540"/>
    </row>
    <row r="48" spans="1:14">
      <c r="A48" s="1505">
        <v>5</v>
      </c>
      <c r="B48" s="286" t="s">
        <v>314</v>
      </c>
      <c r="C48" s="287" t="s">
        <v>315</v>
      </c>
      <c r="D48" s="288">
        <v>2538</v>
      </c>
      <c r="E48" s="1508">
        <f>D48</f>
        <v>2538</v>
      </c>
      <c r="F48" s="1510" t="s">
        <v>316</v>
      </c>
      <c r="G48" s="1510">
        <f>D49</f>
        <v>3</v>
      </c>
      <c r="H48" s="1510" t="s">
        <v>316</v>
      </c>
      <c r="I48" s="1510">
        <f>D50</f>
        <v>0.7</v>
      </c>
      <c r="J48" s="1510"/>
      <c r="K48" s="1512"/>
      <c r="L48" s="1510"/>
      <c r="M48" s="289"/>
      <c r="N48" s="1514">
        <f>D48*D49*D50</f>
        <v>5330</v>
      </c>
    </row>
    <row r="49" spans="1:14">
      <c r="A49" s="1506"/>
      <c r="B49" s="290" t="s">
        <v>317</v>
      </c>
      <c r="C49" s="291" t="s">
        <v>318</v>
      </c>
      <c r="D49" s="292">
        <v>3</v>
      </c>
      <c r="E49" s="1509"/>
      <c r="F49" s="1511"/>
      <c r="G49" s="1511"/>
      <c r="H49" s="1511"/>
      <c r="I49" s="1511"/>
      <c r="J49" s="1511"/>
      <c r="K49" s="1513"/>
      <c r="L49" s="1511"/>
      <c r="M49" s="293"/>
      <c r="N49" s="1515"/>
    </row>
    <row r="50" spans="1:14" ht="15" customHeight="1">
      <c r="A50" s="1506"/>
      <c r="B50" s="792" t="s">
        <v>319</v>
      </c>
      <c r="C50" s="793" t="s">
        <v>320</v>
      </c>
      <c r="D50" s="794">
        <v>0.7</v>
      </c>
      <c r="E50" s="1509"/>
      <c r="F50" s="1511"/>
      <c r="G50" s="1511"/>
      <c r="H50" s="1511"/>
      <c r="I50" s="1511"/>
      <c r="J50" s="1511"/>
      <c r="K50" s="1513"/>
      <c r="L50" s="1511"/>
      <c r="M50" s="293"/>
      <c r="N50" s="1515"/>
    </row>
    <row r="51" spans="1:14" ht="13.5" thickBot="1">
      <c r="A51" s="1507"/>
      <c r="B51" s="294" t="s">
        <v>1042</v>
      </c>
      <c r="C51" s="295"/>
      <c r="D51" s="296"/>
      <c r="E51" s="1509"/>
      <c r="F51" s="1511"/>
      <c r="G51" s="1511"/>
      <c r="H51" s="1511"/>
      <c r="I51" s="1511"/>
      <c r="J51" s="1511"/>
      <c r="K51" s="1513"/>
      <c r="L51" s="1511"/>
      <c r="M51" s="293"/>
      <c r="N51" s="1516"/>
    </row>
    <row r="52" spans="1:14">
      <c r="A52" s="1505">
        <v>6</v>
      </c>
      <c r="B52" s="286" t="s">
        <v>321</v>
      </c>
      <c r="C52" s="287" t="s">
        <v>322</v>
      </c>
      <c r="D52" s="288">
        <v>428</v>
      </c>
      <c r="E52" s="1508">
        <f>D52</f>
        <v>428</v>
      </c>
      <c r="F52" s="1510" t="s">
        <v>316</v>
      </c>
      <c r="G52" s="1510">
        <f>D53</f>
        <v>3</v>
      </c>
      <c r="H52" s="1519" t="s">
        <v>316</v>
      </c>
      <c r="I52" s="1510">
        <f>D55</f>
        <v>0.4</v>
      </c>
      <c r="J52" s="1510"/>
      <c r="K52" s="1512"/>
      <c r="L52" s="1510"/>
      <c r="M52" s="289"/>
      <c r="N52" s="1514">
        <f>D52*D53*D55</f>
        <v>514</v>
      </c>
    </row>
    <row r="53" spans="1:14">
      <c r="A53" s="1506"/>
      <c r="B53" s="290" t="s">
        <v>317</v>
      </c>
      <c r="C53" s="291" t="s">
        <v>323</v>
      </c>
      <c r="D53" s="297">
        <v>3</v>
      </c>
      <c r="E53" s="1509"/>
      <c r="F53" s="1511"/>
      <c r="G53" s="1511"/>
      <c r="H53" s="1520"/>
      <c r="I53" s="1511"/>
      <c r="J53" s="1511"/>
      <c r="K53" s="1513"/>
      <c r="L53" s="1511"/>
      <c r="M53" s="293"/>
      <c r="N53" s="1515"/>
    </row>
    <row r="54" spans="1:14" ht="15" customHeight="1">
      <c r="A54" s="1506"/>
      <c r="B54" s="795" t="s">
        <v>319</v>
      </c>
      <c r="C54" s="291"/>
      <c r="D54" s="292"/>
      <c r="E54" s="1509"/>
      <c r="F54" s="1511"/>
      <c r="G54" s="1511"/>
      <c r="H54" s="1520"/>
      <c r="I54" s="1511"/>
      <c r="J54" s="1511"/>
      <c r="K54" s="1513"/>
      <c r="L54" s="1511"/>
      <c r="M54" s="293"/>
      <c r="N54" s="1515"/>
    </row>
    <row r="55" spans="1:14" ht="13.5" thickBot="1">
      <c r="A55" s="1506"/>
      <c r="B55" s="299" t="s">
        <v>1043</v>
      </c>
      <c r="C55" s="300" t="s">
        <v>320</v>
      </c>
      <c r="D55" s="301">
        <v>0.4</v>
      </c>
      <c r="E55" s="1517"/>
      <c r="F55" s="1518"/>
      <c r="G55" s="1518"/>
      <c r="H55" s="1521"/>
      <c r="I55" s="1518"/>
      <c r="J55" s="1511"/>
      <c r="K55" s="1513"/>
      <c r="L55" s="1518"/>
      <c r="M55" s="302"/>
      <c r="N55" s="1516"/>
    </row>
    <row r="56" spans="1:14">
      <c r="A56" s="1549">
        <v>7</v>
      </c>
      <c r="B56" s="286" t="s">
        <v>324</v>
      </c>
      <c r="C56" s="328" t="s">
        <v>325</v>
      </c>
      <c r="D56" s="329">
        <v>422</v>
      </c>
      <c r="E56" s="1543">
        <f>D56</f>
        <v>422</v>
      </c>
      <c r="F56" s="1546" t="s">
        <v>316</v>
      </c>
      <c r="G56" s="1546">
        <f>D57</f>
        <v>14</v>
      </c>
      <c r="H56" s="1546" t="s">
        <v>316</v>
      </c>
      <c r="I56" s="1552">
        <f>D58</f>
        <v>1</v>
      </c>
      <c r="J56" s="1546" t="s">
        <v>316</v>
      </c>
      <c r="K56" s="1552">
        <f>D59</f>
        <v>1</v>
      </c>
      <c r="L56" s="1546" t="s">
        <v>316</v>
      </c>
      <c r="M56" s="1555">
        <f>D60</f>
        <v>1.2</v>
      </c>
      <c r="N56" s="1539">
        <f>D56*D57*D58*D59*D60</f>
        <v>7090</v>
      </c>
    </row>
    <row r="57" spans="1:14">
      <c r="A57" s="1550"/>
      <c r="B57" s="298" t="s">
        <v>326</v>
      </c>
      <c r="C57" s="330" t="s">
        <v>327</v>
      </c>
      <c r="D57" s="331">
        <f>D29</f>
        <v>14</v>
      </c>
      <c r="E57" s="1544"/>
      <c r="F57" s="1547"/>
      <c r="G57" s="1547"/>
      <c r="H57" s="1547"/>
      <c r="I57" s="1553"/>
      <c r="J57" s="1547"/>
      <c r="K57" s="1553"/>
      <c r="L57" s="1547"/>
      <c r="M57" s="1556"/>
      <c r="N57" s="1540"/>
    </row>
    <row r="58" spans="1:14">
      <c r="A58" s="1550"/>
      <c r="B58" s="290" t="s">
        <v>328</v>
      </c>
      <c r="C58" s="330" t="s">
        <v>339</v>
      </c>
      <c r="D58" s="331">
        <v>1</v>
      </c>
      <c r="E58" s="1544"/>
      <c r="F58" s="1547"/>
      <c r="G58" s="1547"/>
      <c r="H58" s="1547"/>
      <c r="I58" s="1553"/>
      <c r="J58" s="1547"/>
      <c r="K58" s="1553"/>
      <c r="L58" s="1547"/>
      <c r="M58" s="1556"/>
      <c r="N58" s="1540"/>
    </row>
    <row r="59" spans="1:14">
      <c r="A59" s="1550"/>
      <c r="B59" s="290" t="s">
        <v>330</v>
      </c>
      <c r="C59" s="330" t="s">
        <v>340</v>
      </c>
      <c r="D59" s="331">
        <v>1</v>
      </c>
      <c r="E59" s="1544"/>
      <c r="F59" s="1547"/>
      <c r="G59" s="1547"/>
      <c r="H59" s="1547"/>
      <c r="I59" s="1553"/>
      <c r="J59" s="1547"/>
      <c r="K59" s="1553"/>
      <c r="L59" s="1547"/>
      <c r="M59" s="1556"/>
      <c r="N59" s="1540"/>
    </row>
    <row r="60" spans="1:14" ht="13.5" thickBot="1">
      <c r="A60" s="1551"/>
      <c r="B60" s="332"/>
      <c r="C60" s="333" t="s">
        <v>341</v>
      </c>
      <c r="D60" s="334">
        <v>1.2</v>
      </c>
      <c r="E60" s="1545"/>
      <c r="F60" s="1548"/>
      <c r="G60" s="1548"/>
      <c r="H60" s="1548"/>
      <c r="I60" s="1554"/>
      <c r="J60" s="1548"/>
      <c r="K60" s="1554"/>
      <c r="L60" s="1548"/>
      <c r="M60" s="1557"/>
      <c r="N60" s="1558"/>
    </row>
    <row r="61" spans="1:14">
      <c r="A61" s="1549">
        <v>8</v>
      </c>
      <c r="B61" s="286" t="s">
        <v>324</v>
      </c>
      <c r="C61" s="328" t="s">
        <v>332</v>
      </c>
      <c r="D61" s="329">
        <v>791</v>
      </c>
      <c r="E61" s="1543">
        <f>D61</f>
        <v>791</v>
      </c>
      <c r="F61" s="1546" t="s">
        <v>316</v>
      </c>
      <c r="G61" s="1546">
        <f>D62</f>
        <v>1.6</v>
      </c>
      <c r="H61" s="1546" t="s">
        <v>316</v>
      </c>
      <c r="I61" s="1552">
        <f>D63</f>
        <v>1</v>
      </c>
      <c r="J61" s="1546" t="s">
        <v>316</v>
      </c>
      <c r="K61" s="1552">
        <f>D64</f>
        <v>1</v>
      </c>
      <c r="L61" s="1546" t="s">
        <v>316</v>
      </c>
      <c r="M61" s="1555">
        <f>D65</f>
        <v>1.2</v>
      </c>
      <c r="N61" s="1539">
        <f>D61*D62*D63*D64*D65</f>
        <v>1519</v>
      </c>
    </row>
    <row r="62" spans="1:14">
      <c r="A62" s="1550"/>
      <c r="B62" s="298" t="s">
        <v>326</v>
      </c>
      <c r="C62" s="330" t="s">
        <v>327</v>
      </c>
      <c r="D62" s="331">
        <f>D34</f>
        <v>1.6</v>
      </c>
      <c r="E62" s="1544"/>
      <c r="F62" s="1547"/>
      <c r="G62" s="1547"/>
      <c r="H62" s="1547"/>
      <c r="I62" s="1553"/>
      <c r="J62" s="1547"/>
      <c r="K62" s="1553"/>
      <c r="L62" s="1547"/>
      <c r="M62" s="1556"/>
      <c r="N62" s="1540"/>
    </row>
    <row r="63" spans="1:14">
      <c r="A63" s="1550"/>
      <c r="B63" s="290" t="s">
        <v>333</v>
      </c>
      <c r="C63" s="330" t="s">
        <v>339</v>
      </c>
      <c r="D63" s="331">
        <v>1</v>
      </c>
      <c r="E63" s="1544"/>
      <c r="F63" s="1547"/>
      <c r="G63" s="1547"/>
      <c r="H63" s="1547"/>
      <c r="I63" s="1553"/>
      <c r="J63" s="1547"/>
      <c r="K63" s="1553"/>
      <c r="L63" s="1547"/>
      <c r="M63" s="1556"/>
      <c r="N63" s="1540"/>
    </row>
    <row r="64" spans="1:14">
      <c r="A64" s="1550"/>
      <c r="B64" s="290" t="s">
        <v>330</v>
      </c>
      <c r="C64" s="330" t="s">
        <v>340</v>
      </c>
      <c r="D64" s="331">
        <v>1</v>
      </c>
      <c r="E64" s="1544"/>
      <c r="F64" s="1547"/>
      <c r="G64" s="1547"/>
      <c r="H64" s="1547"/>
      <c r="I64" s="1553"/>
      <c r="J64" s="1547"/>
      <c r="K64" s="1553"/>
      <c r="L64" s="1547"/>
      <c r="M64" s="1556"/>
      <c r="N64" s="1540"/>
    </row>
    <row r="65" spans="1:14" ht="13.5" thickBot="1">
      <c r="A65" s="1551"/>
      <c r="B65" s="332"/>
      <c r="C65" s="333" t="s">
        <v>341</v>
      </c>
      <c r="D65" s="334">
        <v>1.2</v>
      </c>
      <c r="E65" s="1545"/>
      <c r="F65" s="1548"/>
      <c r="G65" s="1548"/>
      <c r="H65" s="1548"/>
      <c r="I65" s="1554"/>
      <c r="J65" s="1548"/>
      <c r="K65" s="1554"/>
      <c r="L65" s="1548"/>
      <c r="M65" s="1557"/>
      <c r="N65" s="1558"/>
    </row>
    <row r="66" spans="1:14" ht="13.5" thickBot="1">
      <c r="A66" s="1559" t="s">
        <v>139</v>
      </c>
      <c r="B66" s="1560"/>
      <c r="C66" s="1560"/>
      <c r="D66" s="1560"/>
      <c r="E66" s="1560"/>
      <c r="F66" s="1560"/>
      <c r="G66" s="1560"/>
      <c r="H66" s="1560"/>
      <c r="I66" s="1560"/>
      <c r="J66" s="1560"/>
      <c r="K66" s="1560"/>
      <c r="L66" s="1560"/>
      <c r="M66" s="1561"/>
      <c r="N66" s="797">
        <f>SUM(N40:N61)</f>
        <v>14453</v>
      </c>
    </row>
    <row r="67" spans="1:14" ht="13.5" hidden="1" thickBot="1">
      <c r="A67" s="1580">
        <v>9</v>
      </c>
      <c r="B67" s="335" t="s">
        <v>342</v>
      </c>
      <c r="C67" s="287"/>
      <c r="D67" s="336"/>
      <c r="E67" s="1582">
        <f>N66</f>
        <v>14453</v>
      </c>
      <c r="F67" s="1583"/>
      <c r="G67" s="1583"/>
      <c r="H67" s="1583" t="s">
        <v>316</v>
      </c>
      <c r="I67" s="1586">
        <v>0.5</v>
      </c>
      <c r="J67" s="1588" t="s">
        <v>316</v>
      </c>
      <c r="K67" s="1512">
        <v>0.3</v>
      </c>
      <c r="L67" s="1512"/>
      <c r="M67" s="337"/>
      <c r="N67" s="1574">
        <f>N66*I67*K67*0</f>
        <v>0</v>
      </c>
    </row>
    <row r="68" spans="1:14" ht="13.5" hidden="1" thickBot="1">
      <c r="A68" s="1581"/>
      <c r="B68" s="338" t="s">
        <v>343</v>
      </c>
      <c r="C68" s="295" t="s">
        <v>344</v>
      </c>
      <c r="D68" s="339">
        <v>1</v>
      </c>
      <c r="E68" s="1584"/>
      <c r="F68" s="1585"/>
      <c r="G68" s="1585"/>
      <c r="H68" s="1585"/>
      <c r="I68" s="1587"/>
      <c r="J68" s="1589"/>
      <c r="K68" s="1522"/>
      <c r="L68" s="1522"/>
      <c r="M68" s="340"/>
      <c r="N68" s="1575"/>
    </row>
    <row r="69" spans="1:14" ht="15" thickBot="1">
      <c r="A69" s="1523" t="s">
        <v>345</v>
      </c>
      <c r="B69" s="1524"/>
      <c r="C69" s="1524"/>
      <c r="D69" s="1524"/>
      <c r="E69" s="1524"/>
      <c r="F69" s="1524"/>
      <c r="G69" s="1524"/>
      <c r="H69" s="1524"/>
      <c r="I69" s="1524"/>
      <c r="J69" s="1524"/>
      <c r="K69" s="1524"/>
      <c r="L69" s="1524"/>
      <c r="M69" s="1524"/>
      <c r="N69" s="798">
        <f>N66</f>
        <v>14453</v>
      </c>
    </row>
    <row r="70" spans="1:14" ht="13.5" thickBot="1">
      <c r="A70" s="1576" t="s">
        <v>346</v>
      </c>
      <c r="B70" s="1577"/>
      <c r="C70" s="1577"/>
      <c r="D70" s="1577"/>
      <c r="E70" s="1578"/>
      <c r="F70" s="1578"/>
      <c r="G70" s="1578"/>
      <c r="H70" s="1578"/>
      <c r="I70" s="1578"/>
      <c r="J70" s="1578"/>
      <c r="K70" s="1578"/>
      <c r="L70" s="1578"/>
      <c r="M70" s="1578"/>
      <c r="N70" s="1579"/>
    </row>
    <row r="71" spans="1:14">
      <c r="A71" s="1549">
        <v>7</v>
      </c>
      <c r="B71" s="799" t="s">
        <v>1044</v>
      </c>
      <c r="C71" s="800" t="s">
        <v>347</v>
      </c>
      <c r="D71" s="801">
        <v>0.1125</v>
      </c>
      <c r="E71" s="341">
        <f>N38</f>
        <v>59262</v>
      </c>
      <c r="F71" s="342" t="s">
        <v>316</v>
      </c>
      <c r="G71" s="343">
        <f>D71</f>
        <v>0.1125</v>
      </c>
      <c r="H71" s="342"/>
      <c r="I71" s="342"/>
      <c r="J71" s="342">
        <f>D71</f>
        <v>0.1125</v>
      </c>
      <c r="K71" s="342"/>
      <c r="L71" s="342"/>
      <c r="M71" s="344"/>
      <c r="N71" s="1565">
        <f>N38*D71</f>
        <v>6667</v>
      </c>
    </row>
    <row r="72" spans="1:14">
      <c r="A72" s="1550"/>
      <c r="B72" s="345" t="s">
        <v>348</v>
      </c>
      <c r="C72" s="316"/>
      <c r="D72" s="317"/>
      <c r="E72" s="346"/>
      <c r="F72" s="347"/>
      <c r="G72" s="347"/>
      <c r="H72" s="347"/>
      <c r="I72" s="347"/>
      <c r="J72" s="347"/>
      <c r="K72" s="347"/>
      <c r="L72" s="347"/>
      <c r="M72" s="348"/>
      <c r="N72" s="1566"/>
    </row>
    <row r="73" spans="1:14" ht="13.5" thickBot="1">
      <c r="A73" s="1551"/>
      <c r="B73" s="802" t="s">
        <v>1045</v>
      </c>
      <c r="C73" s="349"/>
      <c r="D73" s="350"/>
      <c r="E73" s="351"/>
      <c r="F73" s="352"/>
      <c r="G73" s="352"/>
      <c r="H73" s="352"/>
      <c r="I73" s="352"/>
      <c r="J73" s="352"/>
      <c r="K73" s="352"/>
      <c r="L73" s="352"/>
      <c r="M73" s="353"/>
      <c r="N73" s="1567"/>
    </row>
    <row r="74" spans="1:14">
      <c r="A74" s="1562">
        <v>8</v>
      </c>
      <c r="B74" s="354" t="s">
        <v>349</v>
      </c>
      <c r="C74" s="355" t="s">
        <v>350</v>
      </c>
      <c r="D74" s="803">
        <v>0.19600000000000001</v>
      </c>
      <c r="E74" s="356">
        <f>N38</f>
        <v>59262</v>
      </c>
      <c r="F74" s="357" t="s">
        <v>351</v>
      </c>
      <c r="G74" s="358">
        <f>N67</f>
        <v>0</v>
      </c>
      <c r="H74" s="357" t="s">
        <v>316</v>
      </c>
      <c r="I74" s="359">
        <f>D74</f>
        <v>0.19600000000000001</v>
      </c>
      <c r="J74" s="357">
        <f>D74</f>
        <v>0.19600000000000001</v>
      </c>
      <c r="K74" s="357"/>
      <c r="L74" s="357"/>
      <c r="M74" s="360"/>
      <c r="N74" s="1565">
        <f>(N38+N71+N67)*D74</f>
        <v>12922</v>
      </c>
    </row>
    <row r="75" spans="1:14">
      <c r="A75" s="1563"/>
      <c r="B75" s="804" t="s">
        <v>1046</v>
      </c>
      <c r="C75" s="361"/>
      <c r="D75" s="362"/>
      <c r="E75" s="346" t="s">
        <v>351</v>
      </c>
      <c r="F75" s="347"/>
      <c r="G75" s="363"/>
      <c r="H75" s="347"/>
      <c r="I75" s="347"/>
      <c r="J75" s="347"/>
      <c r="K75" s="347"/>
      <c r="L75" s="347"/>
      <c r="M75" s="348"/>
      <c r="N75" s="1566"/>
    </row>
    <row r="76" spans="1:14" ht="13.5" thickBot="1">
      <c r="A76" s="1563"/>
      <c r="B76" s="805" t="s">
        <v>1047</v>
      </c>
      <c r="C76" s="364"/>
      <c r="D76" s="365"/>
      <c r="E76" s="366">
        <f>N71</f>
        <v>6667</v>
      </c>
      <c r="F76" s="352"/>
      <c r="G76" s="352"/>
      <c r="H76" s="352"/>
      <c r="I76" s="352"/>
      <c r="J76" s="352"/>
      <c r="K76" s="352"/>
      <c r="L76" s="352"/>
      <c r="M76" s="353"/>
      <c r="N76" s="1567"/>
    </row>
    <row r="77" spans="1:14" s="371" customFormat="1">
      <c r="A77" s="1562">
        <v>9</v>
      </c>
      <c r="B77" s="367" t="s">
        <v>352</v>
      </c>
      <c r="C77" s="368" t="s">
        <v>353</v>
      </c>
      <c r="D77" s="369">
        <v>0.06</v>
      </c>
      <c r="E77" s="356">
        <f>N38</f>
        <v>59262</v>
      </c>
      <c r="F77" s="358" t="s">
        <v>351</v>
      </c>
      <c r="G77" s="358">
        <f>N67</f>
        <v>0</v>
      </c>
      <c r="H77" s="357" t="s">
        <v>316</v>
      </c>
      <c r="I77" s="359">
        <f>D77</f>
        <v>0.06</v>
      </c>
      <c r="J77" s="357"/>
      <c r="K77" s="357"/>
      <c r="L77" s="370"/>
      <c r="M77" s="360"/>
      <c r="N77" s="1565">
        <f>(N38+N71+N67)*D77</f>
        <v>3956</v>
      </c>
    </row>
    <row r="78" spans="1:14">
      <c r="A78" s="1563"/>
      <c r="B78" s="372"/>
      <c r="C78" s="330"/>
      <c r="D78" s="373"/>
      <c r="E78" s="346" t="s">
        <v>351</v>
      </c>
      <c r="F78" s="374"/>
      <c r="G78" s="374"/>
      <c r="H78" s="347"/>
      <c r="I78" s="363"/>
      <c r="J78" s="347"/>
      <c r="K78" s="347"/>
      <c r="L78" s="347"/>
      <c r="M78" s="348"/>
      <c r="N78" s="1566"/>
    </row>
    <row r="79" spans="1:14" ht="13.5" thickBot="1">
      <c r="A79" s="1564"/>
      <c r="B79" s="375"/>
      <c r="C79" s="364"/>
      <c r="D79" s="365"/>
      <c r="E79" s="366">
        <f>N71</f>
        <v>6667</v>
      </c>
      <c r="F79" s="352"/>
      <c r="G79" s="352"/>
      <c r="H79" s="352"/>
      <c r="I79" s="352"/>
      <c r="J79" s="352"/>
      <c r="K79" s="352"/>
      <c r="L79" s="352"/>
      <c r="M79" s="353"/>
      <c r="N79" s="1567"/>
    </row>
    <row r="80" spans="1:14">
      <c r="A80" s="1563">
        <v>10</v>
      </c>
      <c r="B80" s="367" t="s">
        <v>354</v>
      </c>
      <c r="C80" s="287" t="s">
        <v>355</v>
      </c>
      <c r="D80" s="376">
        <v>80</v>
      </c>
      <c r="E80" s="1568">
        <f>D80</f>
        <v>80</v>
      </c>
      <c r="F80" s="1569"/>
      <c r="G80" s="1569"/>
      <c r="H80" s="1569" t="s">
        <v>316</v>
      </c>
      <c r="I80" s="1569">
        <f>D81</f>
        <v>3</v>
      </c>
      <c r="J80" s="377"/>
      <c r="K80" s="377"/>
      <c r="L80" s="377"/>
      <c r="M80" s="378"/>
      <c r="N80" s="1572">
        <f>D80*D81</f>
        <v>240</v>
      </c>
    </row>
    <row r="81" spans="1:14" ht="13.5" thickBot="1">
      <c r="A81" s="1563"/>
      <c r="B81" s="375" t="s">
        <v>356</v>
      </c>
      <c r="C81" s="379" t="s">
        <v>357</v>
      </c>
      <c r="D81" s="380">
        <v>3</v>
      </c>
      <c r="E81" s="1570"/>
      <c r="F81" s="1571"/>
      <c r="G81" s="1571"/>
      <c r="H81" s="1571"/>
      <c r="I81" s="1571"/>
      <c r="J81" s="381"/>
      <c r="K81" s="381"/>
      <c r="L81" s="381"/>
      <c r="M81" s="382"/>
      <c r="N81" s="1573"/>
    </row>
    <row r="82" spans="1:14">
      <c r="A82" s="1562">
        <v>11</v>
      </c>
      <c r="B82" s="383" t="s">
        <v>358</v>
      </c>
      <c r="C82" s="384" t="s">
        <v>359</v>
      </c>
      <c r="D82" s="376">
        <v>80</v>
      </c>
      <c r="E82" s="1568">
        <f>D82</f>
        <v>80</v>
      </c>
      <c r="F82" s="1569"/>
      <c r="G82" s="1569"/>
      <c r="H82" s="1569" t="s">
        <v>316</v>
      </c>
      <c r="I82" s="1569">
        <f>D83</f>
        <v>3</v>
      </c>
      <c r="J82" s="377"/>
      <c r="K82" s="377"/>
      <c r="L82" s="377"/>
      <c r="M82" s="378"/>
      <c r="N82" s="1572">
        <f>D82*D83</f>
        <v>240</v>
      </c>
    </row>
    <row r="83" spans="1:14">
      <c r="A83" s="1563"/>
      <c r="B83" s="385" t="s">
        <v>360</v>
      </c>
      <c r="C83" s="386" t="s">
        <v>357</v>
      </c>
      <c r="D83" s="387">
        <v>3</v>
      </c>
      <c r="E83" s="1607"/>
      <c r="F83" s="1608"/>
      <c r="G83" s="1608"/>
      <c r="H83" s="1608"/>
      <c r="I83" s="1608"/>
      <c r="J83" s="381"/>
      <c r="K83" s="381"/>
      <c r="L83" s="381"/>
      <c r="M83" s="382"/>
      <c r="N83" s="1609"/>
    </row>
    <row r="84" spans="1:14">
      <c r="A84" s="1563"/>
      <c r="B84" s="388" t="s">
        <v>361</v>
      </c>
      <c r="C84" s="389"/>
      <c r="D84" s="380"/>
      <c r="E84" s="1607"/>
      <c r="F84" s="1608"/>
      <c r="G84" s="1608"/>
      <c r="H84" s="1608"/>
      <c r="I84" s="1608"/>
      <c r="J84" s="381"/>
      <c r="K84" s="381"/>
      <c r="L84" s="381"/>
      <c r="M84" s="382"/>
      <c r="N84" s="1609"/>
    </row>
    <row r="85" spans="1:14" ht="15" thickBot="1">
      <c r="A85" s="1610" t="s">
        <v>362</v>
      </c>
      <c r="B85" s="1611"/>
      <c r="C85" s="1611"/>
      <c r="D85" s="1611"/>
      <c r="E85" s="1611"/>
      <c r="F85" s="1611"/>
      <c r="G85" s="1611"/>
      <c r="H85" s="1611"/>
      <c r="I85" s="1611"/>
      <c r="J85" s="1611"/>
      <c r="K85" s="1611"/>
      <c r="L85" s="1611"/>
      <c r="M85" s="1612"/>
      <c r="N85" s="806">
        <f>SUM(N71:N84)</f>
        <v>24025</v>
      </c>
    </row>
    <row r="86" spans="1:14" ht="15.75">
      <c r="A86" s="1590" t="s">
        <v>363</v>
      </c>
      <c r="B86" s="1591"/>
      <c r="C86" s="1591"/>
      <c r="D86" s="1591"/>
      <c r="E86" s="1591"/>
      <c r="F86" s="1591"/>
      <c r="G86" s="1591"/>
      <c r="H86" s="1591"/>
      <c r="I86" s="1591"/>
      <c r="J86" s="1591"/>
      <c r="K86" s="1591"/>
      <c r="L86" s="1591"/>
      <c r="M86" s="1591"/>
      <c r="N86" s="807">
        <f>N38+N69+N85</f>
        <v>97740</v>
      </c>
    </row>
    <row r="87" spans="1:14">
      <c r="A87" s="390">
        <v>12</v>
      </c>
      <c r="B87" s="391" t="s">
        <v>364</v>
      </c>
      <c r="C87" s="392"/>
      <c r="D87" s="393">
        <v>0.1</v>
      </c>
      <c r="E87" s="394">
        <f>N86</f>
        <v>97740</v>
      </c>
      <c r="F87" s="395"/>
      <c r="G87" s="395"/>
      <c r="H87" s="395"/>
      <c r="I87" s="395"/>
      <c r="J87" s="396"/>
      <c r="K87" s="396"/>
      <c r="L87" s="396"/>
      <c r="M87" s="397"/>
      <c r="N87" s="808">
        <f>E87*D87</f>
        <v>9774</v>
      </c>
    </row>
    <row r="88" spans="1:14" ht="16.5" thickBot="1">
      <c r="A88" s="398"/>
      <c r="B88" s="399" t="s">
        <v>1048</v>
      </c>
      <c r="C88" s="399"/>
      <c r="D88" s="400"/>
      <c r="E88" s="401"/>
      <c r="F88" s="401"/>
      <c r="G88" s="401"/>
      <c r="H88" s="401"/>
      <c r="I88" s="1592" t="s">
        <v>139</v>
      </c>
      <c r="J88" s="1592"/>
      <c r="K88" s="1592"/>
      <c r="L88" s="1592"/>
      <c r="M88" s="1593"/>
      <c r="N88" s="809">
        <f>N86+N87</f>
        <v>107514</v>
      </c>
    </row>
    <row r="89" spans="1:14" ht="31.5" customHeight="1" thickBot="1">
      <c r="A89" s="402">
        <v>13</v>
      </c>
      <c r="B89" s="1594" t="s">
        <v>1139</v>
      </c>
      <c r="C89" s="1595"/>
      <c r="D89" s="403">
        <v>5.12</v>
      </c>
      <c r="E89" s="404"/>
      <c r="F89" s="404"/>
      <c r="G89" s="404"/>
      <c r="H89" s="404"/>
      <c r="I89" s="404"/>
      <c r="J89" s="404"/>
      <c r="K89" s="404"/>
      <c r="L89" s="404"/>
      <c r="M89" s="404"/>
      <c r="N89" s="810">
        <f>N88*D89</f>
        <v>550472</v>
      </c>
    </row>
    <row r="90" spans="1:14" ht="16.5" thickBot="1">
      <c r="A90" s="1596" t="s">
        <v>365</v>
      </c>
      <c r="B90" s="1597"/>
      <c r="C90" s="1597"/>
      <c r="D90" s="1597"/>
      <c r="E90" s="1597"/>
      <c r="F90" s="1597"/>
      <c r="G90" s="1597"/>
      <c r="H90" s="1597"/>
      <c r="I90" s="1597"/>
      <c r="J90" s="1598">
        <v>0.2</v>
      </c>
      <c r="K90" s="1599"/>
      <c r="L90" s="1599"/>
      <c r="M90" s="1600"/>
      <c r="N90" s="811">
        <f>N89*J90</f>
        <v>110094</v>
      </c>
    </row>
    <row r="91" spans="1:14" ht="16.5" thickBot="1">
      <c r="A91" s="1601" t="s">
        <v>366</v>
      </c>
      <c r="B91" s="1602"/>
      <c r="C91" s="1602"/>
      <c r="D91" s="1602"/>
      <c r="E91" s="1602"/>
      <c r="F91" s="1602"/>
      <c r="G91" s="1602"/>
      <c r="H91" s="1602"/>
      <c r="I91" s="1602"/>
      <c r="J91" s="1602"/>
      <c r="K91" s="1603"/>
      <c r="L91" s="1604">
        <f>N89+N90</f>
        <v>660566</v>
      </c>
      <c r="M91" s="1605" t="e">
        <f>#REF!+N90</f>
        <v>#REF!</v>
      </c>
      <c r="N91" s="1606"/>
    </row>
    <row r="155" spans="32:36">
      <c r="AG155" s="405"/>
      <c r="AH155" s="405"/>
    </row>
    <row r="156" spans="32:36">
      <c r="AF156" s="405"/>
      <c r="AG156" s="405"/>
      <c r="AH156" s="405"/>
    </row>
    <row r="157" spans="32:36">
      <c r="AF157" s="406"/>
      <c r="AI157" s="405"/>
      <c r="AJ157" s="405"/>
    </row>
    <row r="158" spans="32:36">
      <c r="AF158" s="406"/>
      <c r="AG158" s="405"/>
      <c r="AH158" s="405"/>
      <c r="AJ158" s="405"/>
    </row>
    <row r="159" spans="32:36">
      <c r="AF159" s="406"/>
      <c r="AG159" s="405"/>
      <c r="AH159" s="405"/>
      <c r="AJ159" s="405"/>
    </row>
    <row r="160" spans="32:36">
      <c r="AF160" s="406"/>
      <c r="AG160" s="405"/>
      <c r="AH160" s="405"/>
      <c r="AJ160" s="405"/>
    </row>
    <row r="161" spans="32:36">
      <c r="AF161" s="406"/>
      <c r="AG161" s="405"/>
      <c r="AH161" s="405"/>
      <c r="AJ161" s="405"/>
    </row>
    <row r="162" spans="32:36">
      <c r="AF162" s="406"/>
      <c r="AG162" s="405"/>
      <c r="AH162" s="405"/>
      <c r="AJ162" s="405"/>
    </row>
    <row r="163" spans="32:36">
      <c r="AF163" s="406"/>
      <c r="AG163" s="405"/>
      <c r="AH163" s="405"/>
      <c r="AJ163" s="405"/>
    </row>
    <row r="164" spans="32:36">
      <c r="AF164" s="406"/>
      <c r="AG164" s="405"/>
      <c r="AH164" s="405"/>
      <c r="AJ164" s="405"/>
    </row>
    <row r="165" spans="32:36">
      <c r="AF165" s="406"/>
      <c r="AG165" s="405"/>
      <c r="AH165" s="405"/>
      <c r="AJ165" s="405"/>
    </row>
    <row r="166" spans="32:36">
      <c r="AF166" s="406"/>
      <c r="AG166" s="405"/>
      <c r="AH166" s="405"/>
      <c r="AJ166" s="405"/>
    </row>
    <row r="167" spans="32:36">
      <c r="AF167" s="405"/>
      <c r="AJ167" s="405"/>
    </row>
    <row r="168" spans="32:36">
      <c r="AF168" s="406"/>
      <c r="AG168" s="405"/>
    </row>
    <row r="169" spans="32:36">
      <c r="AF169" s="406"/>
      <c r="AG169" s="405"/>
      <c r="AH169" s="405"/>
    </row>
    <row r="170" spans="32:36">
      <c r="AF170" s="406"/>
      <c r="AG170" s="405"/>
      <c r="AH170" s="405"/>
      <c r="AI170" s="405"/>
      <c r="AJ170" s="405"/>
    </row>
    <row r="171" spans="32:36">
      <c r="AF171" s="406"/>
      <c r="AG171" s="405"/>
      <c r="AH171" s="405"/>
    </row>
    <row r="172" spans="32:36">
      <c r="AF172" s="406"/>
      <c r="AG172" s="405"/>
      <c r="AH172" s="405"/>
      <c r="AI172" s="405"/>
      <c r="AJ172" s="405"/>
    </row>
    <row r="173" spans="32:36">
      <c r="AF173" s="406"/>
      <c r="AG173" s="405"/>
      <c r="AH173" s="405"/>
      <c r="AJ173" s="405"/>
    </row>
    <row r="174" spans="32:36">
      <c r="AF174" s="406"/>
      <c r="AG174" s="405"/>
      <c r="AH174" s="405"/>
      <c r="AJ174" s="405"/>
    </row>
    <row r="175" spans="32:36">
      <c r="AF175" s="406"/>
      <c r="AG175" s="405"/>
      <c r="AH175" s="405"/>
      <c r="AJ175" s="405"/>
    </row>
    <row r="176" spans="32:36">
      <c r="AF176" s="406"/>
      <c r="AG176" s="405"/>
      <c r="AH176" s="405"/>
      <c r="AJ176" s="405"/>
    </row>
    <row r="177" spans="32:36">
      <c r="AF177" s="406"/>
      <c r="AG177" s="405"/>
      <c r="AH177" s="405"/>
      <c r="AJ177" s="405"/>
    </row>
    <row r="178" spans="32:36">
      <c r="AF178" s="405"/>
      <c r="AJ178" s="405"/>
    </row>
    <row r="179" spans="32:36">
      <c r="AF179" s="406"/>
    </row>
    <row r="180" spans="32:36">
      <c r="AF180" s="406"/>
      <c r="AG180" s="405"/>
    </row>
    <row r="181" spans="32:36">
      <c r="AF181" s="406"/>
      <c r="AG181" s="405"/>
      <c r="AH181" s="405"/>
    </row>
    <row r="182" spans="32:36">
      <c r="AF182" s="406"/>
      <c r="AG182" s="405"/>
      <c r="AH182" s="405"/>
    </row>
    <row r="183" spans="32:36">
      <c r="AF183" s="406"/>
      <c r="AG183" s="405"/>
    </row>
    <row r="184" spans="32:36">
      <c r="AF184" s="406"/>
      <c r="AG184" s="405"/>
      <c r="AH184" s="405"/>
    </row>
    <row r="185" spans="32:36">
      <c r="AF185" s="406"/>
      <c r="AG185" s="405"/>
      <c r="AH185" s="405"/>
    </row>
    <row r="186" spans="32:36">
      <c r="AF186" s="406"/>
      <c r="AG186" s="405"/>
      <c r="AH186" s="405"/>
    </row>
    <row r="187" spans="32:36">
      <c r="AF187" s="406"/>
      <c r="AG187" s="405"/>
      <c r="AH187" s="405"/>
    </row>
    <row r="188" spans="32:36">
      <c r="AF188" s="406"/>
      <c r="AG188" s="405"/>
      <c r="AH188" s="405"/>
    </row>
    <row r="191" spans="32:36">
      <c r="AF191" s="405"/>
    </row>
    <row r="192" spans="32:36">
      <c r="AF192" s="406"/>
    </row>
    <row r="193" spans="32:34">
      <c r="AF193" s="406"/>
      <c r="AH193" s="405"/>
    </row>
    <row r="194" spans="32:34">
      <c r="AF194" s="406"/>
      <c r="AG194" s="405"/>
      <c r="AH194" s="405"/>
    </row>
    <row r="195" spans="32:34">
      <c r="AF195" s="406"/>
      <c r="AG195" s="405"/>
      <c r="AH195" s="405"/>
    </row>
    <row r="196" spans="32:34">
      <c r="AF196" s="406"/>
      <c r="AG196" s="405"/>
      <c r="AH196" s="405"/>
    </row>
    <row r="197" spans="32:34">
      <c r="AF197" s="406"/>
      <c r="AG197" s="405"/>
      <c r="AH197" s="405"/>
    </row>
    <row r="198" spans="32:34">
      <c r="AF198" s="406"/>
      <c r="AG198" s="405"/>
      <c r="AH198" s="405"/>
    </row>
    <row r="199" spans="32:34">
      <c r="AF199" s="406"/>
      <c r="AG199" s="405"/>
      <c r="AH199" s="405"/>
    </row>
    <row r="200" spans="32:34">
      <c r="AF200" s="406"/>
      <c r="AG200" s="405"/>
      <c r="AH200" s="405"/>
    </row>
    <row r="201" spans="32:34">
      <c r="AF201" s="406"/>
      <c r="AG201" s="405"/>
      <c r="AH201" s="405"/>
    </row>
    <row r="204" spans="32:34">
      <c r="AG204" s="405"/>
      <c r="AH204" s="405"/>
    </row>
    <row r="205" spans="32:34">
      <c r="AH205" s="405"/>
    </row>
    <row r="206" spans="32:34">
      <c r="AF206" s="406"/>
      <c r="AG206" s="405"/>
      <c r="AH206" s="405"/>
    </row>
    <row r="207" spans="32:34">
      <c r="AF207" s="406"/>
      <c r="AG207" s="405"/>
    </row>
    <row r="208" spans="32:34">
      <c r="AF208" s="406"/>
      <c r="AG208" s="405"/>
      <c r="AH208" s="405"/>
    </row>
    <row r="209" spans="32:39">
      <c r="AF209" s="406"/>
      <c r="AG209" s="405"/>
      <c r="AH209" s="405"/>
    </row>
    <row r="210" spans="32:39">
      <c r="AF210" s="406"/>
      <c r="AG210" s="405"/>
      <c r="AH210" s="405"/>
    </row>
    <row r="211" spans="32:39">
      <c r="AF211" s="406"/>
      <c r="AG211" s="405"/>
      <c r="AH211" s="405"/>
    </row>
    <row r="212" spans="32:39">
      <c r="AF212" s="406"/>
      <c r="AG212" s="405"/>
      <c r="AH212" s="405"/>
      <c r="AJ212" s="407"/>
    </row>
    <row r="213" spans="32:39">
      <c r="AG213" s="405"/>
      <c r="AI213" s="405"/>
    </row>
    <row r="214" spans="32:39">
      <c r="AF214" s="408"/>
      <c r="AG214" s="407"/>
      <c r="AI214" s="408"/>
      <c r="AJ214" s="405"/>
    </row>
    <row r="215" spans="32:39">
      <c r="AH215" s="405"/>
      <c r="AJ215" s="405"/>
    </row>
    <row r="216" spans="32:39">
      <c r="AH216" s="405"/>
      <c r="AJ216" s="405"/>
    </row>
    <row r="217" spans="32:39">
      <c r="AF217" s="405"/>
      <c r="AG217" s="407"/>
      <c r="AH217" s="407"/>
      <c r="AI217" s="407"/>
      <c r="AK217" s="407"/>
      <c r="AL217" s="406"/>
      <c r="AM217" s="406"/>
    </row>
    <row r="218" spans="32:39">
      <c r="AF218" s="406"/>
      <c r="AG218" s="406"/>
      <c r="AH218" s="406"/>
      <c r="AK218" s="407"/>
      <c r="AL218" s="406"/>
    </row>
    <row r="219" spans="32:39">
      <c r="AF219" s="406"/>
      <c r="AG219" s="405"/>
      <c r="AH219" s="406"/>
      <c r="AI219" s="405"/>
      <c r="AK219" s="407"/>
      <c r="AL219" s="406"/>
    </row>
    <row r="220" spans="32:39">
      <c r="AF220" s="406"/>
      <c r="AG220" s="405"/>
      <c r="AH220" s="405"/>
      <c r="AI220" s="405"/>
      <c r="AJ220" s="405"/>
      <c r="AK220" s="407"/>
      <c r="AL220" s="406"/>
    </row>
    <row r="221" spans="32:39">
      <c r="AF221" s="405"/>
      <c r="AG221" s="405"/>
      <c r="AH221" s="407"/>
      <c r="AI221" s="407"/>
      <c r="AJ221" s="405"/>
      <c r="AK221" s="407"/>
      <c r="AL221" s="406"/>
    </row>
    <row r="222" spans="32:39">
      <c r="AK222" s="407"/>
      <c r="AL222" s="406"/>
    </row>
    <row r="223" spans="32:39">
      <c r="AK223" s="407"/>
      <c r="AL223" s="406"/>
    </row>
    <row r="224" spans="32:39">
      <c r="AF224" s="405"/>
      <c r="AG224" s="407"/>
      <c r="AH224" s="407"/>
      <c r="AI224" s="407"/>
      <c r="AK224" s="407"/>
      <c r="AL224" s="406"/>
    </row>
    <row r="225" spans="32:38">
      <c r="AF225" s="406"/>
      <c r="AG225" s="406"/>
      <c r="AH225" s="406"/>
      <c r="AK225" s="407"/>
      <c r="AL225" s="406"/>
    </row>
    <row r="226" spans="32:38">
      <c r="AF226" s="406"/>
      <c r="AG226" s="405"/>
      <c r="AH226" s="406"/>
      <c r="AI226" s="405"/>
      <c r="AK226" s="407"/>
      <c r="AL226" s="406"/>
    </row>
    <row r="227" spans="32:38">
      <c r="AF227" s="406"/>
      <c r="AG227" s="405"/>
      <c r="AH227" s="405"/>
      <c r="AI227" s="405"/>
      <c r="AJ227" s="405"/>
      <c r="AK227" s="407"/>
      <c r="AL227" s="406"/>
    </row>
    <row r="228" spans="32:38">
      <c r="AF228" s="405"/>
      <c r="AG228" s="405"/>
      <c r="AH228" s="407"/>
      <c r="AI228" s="407"/>
      <c r="AJ228" s="405"/>
      <c r="AK228" s="407"/>
      <c r="AL228" s="406"/>
    </row>
    <row r="229" spans="32:38">
      <c r="AK229" s="407"/>
      <c r="AL229" s="406"/>
    </row>
    <row r="230" spans="32:38">
      <c r="AK230" s="407"/>
      <c r="AL230" s="406"/>
    </row>
    <row r="231" spans="32:38">
      <c r="AF231" s="405"/>
      <c r="AG231" s="407"/>
      <c r="AH231" s="407"/>
      <c r="AI231" s="407"/>
      <c r="AK231" s="407"/>
      <c r="AL231" s="406"/>
    </row>
    <row r="232" spans="32:38">
      <c r="AF232" s="406"/>
      <c r="AG232" s="406"/>
      <c r="AH232" s="406"/>
      <c r="AK232" s="407"/>
      <c r="AL232" s="406"/>
    </row>
    <row r="233" spans="32:38">
      <c r="AF233" s="406"/>
      <c r="AG233" s="405"/>
      <c r="AH233" s="406"/>
      <c r="AI233" s="405"/>
      <c r="AK233" s="407"/>
      <c r="AL233" s="406"/>
    </row>
    <row r="234" spans="32:38">
      <c r="AF234" s="406"/>
      <c r="AG234" s="405"/>
      <c r="AH234" s="405"/>
      <c r="AI234" s="405"/>
      <c r="AJ234" s="405"/>
    </row>
    <row r="235" spans="32:38">
      <c r="AF235" s="405"/>
      <c r="AG235" s="405"/>
      <c r="AH235" s="405"/>
      <c r="AI235" s="405"/>
      <c r="AJ235" s="405"/>
    </row>
    <row r="239" spans="32:38">
      <c r="AF239" s="405"/>
      <c r="AG239" s="407"/>
      <c r="AH239" s="407"/>
    </row>
    <row r="240" spans="32:38">
      <c r="AF240" s="407"/>
      <c r="AG240" s="406"/>
      <c r="AH240" s="406"/>
    </row>
    <row r="241" spans="32:36">
      <c r="AF241" s="405"/>
      <c r="AG241" s="405"/>
      <c r="AH241" s="405"/>
    </row>
    <row r="242" spans="32:36">
      <c r="AF242" s="405"/>
      <c r="AG242" s="405"/>
      <c r="AH242" s="405"/>
      <c r="AJ242" s="405"/>
    </row>
    <row r="243" spans="32:36">
      <c r="AF243" s="405"/>
      <c r="AG243" s="405"/>
      <c r="AH243" s="405"/>
      <c r="AJ243" s="405"/>
    </row>
  </sheetData>
  <mergeCells count="147">
    <mergeCell ref="A86:M86"/>
    <mergeCell ref="I88:M88"/>
    <mergeCell ref="B89:C89"/>
    <mergeCell ref="A90:I90"/>
    <mergeCell ref="J90:M90"/>
    <mergeCell ref="A91:K91"/>
    <mergeCell ref="L91:N91"/>
    <mergeCell ref="A82:A84"/>
    <mergeCell ref="E82:G84"/>
    <mergeCell ref="H82:H84"/>
    <mergeCell ref="I82:I84"/>
    <mergeCell ref="N82:N84"/>
    <mergeCell ref="A85:M85"/>
    <mergeCell ref="A77:A79"/>
    <mergeCell ref="N77:N79"/>
    <mergeCell ref="A80:A81"/>
    <mergeCell ref="E80:G81"/>
    <mergeCell ref="H80:H81"/>
    <mergeCell ref="I80:I81"/>
    <mergeCell ref="N80:N81"/>
    <mergeCell ref="N67:N68"/>
    <mergeCell ref="A69:M69"/>
    <mergeCell ref="A70:N70"/>
    <mergeCell ref="A71:A73"/>
    <mergeCell ref="N71:N73"/>
    <mergeCell ref="A74:A76"/>
    <mergeCell ref="N74:N76"/>
    <mergeCell ref="A67:A68"/>
    <mergeCell ref="E67:G68"/>
    <mergeCell ref="H67:H68"/>
    <mergeCell ref="I67:I68"/>
    <mergeCell ref="J67:J68"/>
    <mergeCell ref="K67:L68"/>
    <mergeCell ref="A66:M66"/>
    <mergeCell ref="K56:K60"/>
    <mergeCell ref="L56:L60"/>
    <mergeCell ref="M56:M60"/>
    <mergeCell ref="N56:N60"/>
    <mergeCell ref="A61:A65"/>
    <mergeCell ref="E61:E65"/>
    <mergeCell ref="F61:F65"/>
    <mergeCell ref="G61:G65"/>
    <mergeCell ref="H61:H65"/>
    <mergeCell ref="I61:I65"/>
    <mergeCell ref="N52:N55"/>
    <mergeCell ref="A56:A60"/>
    <mergeCell ref="E56:E60"/>
    <mergeCell ref="F56:F60"/>
    <mergeCell ref="G56:G60"/>
    <mergeCell ref="H56:H60"/>
    <mergeCell ref="I56:I60"/>
    <mergeCell ref="J56:J60"/>
    <mergeCell ref="J61:J65"/>
    <mergeCell ref="K61:K65"/>
    <mergeCell ref="L61:L65"/>
    <mergeCell ref="M61:M65"/>
    <mergeCell ref="N61:N65"/>
    <mergeCell ref="A52:A55"/>
    <mergeCell ref="E52:E55"/>
    <mergeCell ref="F52:F55"/>
    <mergeCell ref="G52:G55"/>
    <mergeCell ref="H52:H55"/>
    <mergeCell ref="I52:I55"/>
    <mergeCell ref="J52:J55"/>
    <mergeCell ref="K52:K55"/>
    <mergeCell ref="L52:L55"/>
    <mergeCell ref="N44:N47"/>
    <mergeCell ref="A48:A51"/>
    <mergeCell ref="E48:E51"/>
    <mergeCell ref="F48:F51"/>
    <mergeCell ref="G48:G51"/>
    <mergeCell ref="H48:H51"/>
    <mergeCell ref="I48:I51"/>
    <mergeCell ref="J48:J51"/>
    <mergeCell ref="K48:K51"/>
    <mergeCell ref="L48:L51"/>
    <mergeCell ref="N48:N51"/>
    <mergeCell ref="A44:A47"/>
    <mergeCell ref="E44:E47"/>
    <mergeCell ref="F44:F47"/>
    <mergeCell ref="G44:G47"/>
    <mergeCell ref="H44:H47"/>
    <mergeCell ref="I44:I47"/>
    <mergeCell ref="J44:J47"/>
    <mergeCell ref="K44:K47"/>
    <mergeCell ref="L44:L47"/>
    <mergeCell ref="A38:M38"/>
    <mergeCell ref="A39:N39"/>
    <mergeCell ref="A40:A43"/>
    <mergeCell ref="E40:E43"/>
    <mergeCell ref="F40:F43"/>
    <mergeCell ref="G40:G43"/>
    <mergeCell ref="H40:H43"/>
    <mergeCell ref="I40:I43"/>
    <mergeCell ref="J40:J43"/>
    <mergeCell ref="K40:K43"/>
    <mergeCell ref="L40:L43"/>
    <mergeCell ref="N40:N43"/>
    <mergeCell ref="A33:A37"/>
    <mergeCell ref="E33:E37"/>
    <mergeCell ref="F33:F37"/>
    <mergeCell ref="G33:G37"/>
    <mergeCell ref="H33:H37"/>
    <mergeCell ref="I33:I37"/>
    <mergeCell ref="J33:J37"/>
    <mergeCell ref="K33:K37"/>
    <mergeCell ref="N33:N37"/>
    <mergeCell ref="N24:N27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24:A27"/>
    <mergeCell ref="E24:E27"/>
    <mergeCell ref="F24:F27"/>
    <mergeCell ref="G24:G27"/>
    <mergeCell ref="H24:H27"/>
    <mergeCell ref="I24:I27"/>
    <mergeCell ref="J24:J27"/>
    <mergeCell ref="K24:K27"/>
    <mergeCell ref="L24:L27"/>
    <mergeCell ref="A19:N19"/>
    <mergeCell ref="A20:A23"/>
    <mergeCell ref="E20:E23"/>
    <mergeCell ref="F20:F23"/>
    <mergeCell ref="G20:G23"/>
    <mergeCell ref="H20:H23"/>
    <mergeCell ref="I20:I23"/>
    <mergeCell ref="J20:J23"/>
    <mergeCell ref="K20:K23"/>
    <mergeCell ref="L20:L23"/>
    <mergeCell ref="N20:N23"/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7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9"/>
  <sheetViews>
    <sheetView topLeftCell="A58" zoomScale="98" zoomScaleNormal="98" workbookViewId="0">
      <selection activeCell="A51" sqref="A51"/>
    </sheetView>
  </sheetViews>
  <sheetFormatPr defaultColWidth="9.28515625" defaultRowHeight="15"/>
  <cols>
    <col min="1" max="1" width="3.7109375" style="812" customWidth="1"/>
    <col min="2" max="2" width="38.28515625" style="812" customWidth="1"/>
    <col min="3" max="3" width="8.140625" style="812" customWidth="1"/>
    <col min="4" max="4" width="12.28515625" style="812" customWidth="1"/>
    <col min="5" max="5" width="19" style="812" customWidth="1"/>
    <col min="6" max="6" width="9.28515625" style="812"/>
    <col min="7" max="7" width="10" style="812" bestFit="1" customWidth="1"/>
    <col min="8" max="11" width="9.28515625" style="812"/>
    <col min="12" max="12" width="14" style="812" customWidth="1"/>
    <col min="13" max="13" width="46.28515625" style="812" customWidth="1"/>
    <col min="14" max="14" width="14.7109375" style="812" bestFit="1" customWidth="1"/>
    <col min="15" max="16" width="9.28515625" style="812"/>
    <col min="17" max="17" width="9.28515625" style="812" customWidth="1"/>
    <col min="18" max="18" width="9.28515625" style="812"/>
    <col min="19" max="19" width="9.28515625" style="812" customWidth="1"/>
    <col min="20" max="26" width="9.28515625" style="812"/>
    <col min="27" max="27" width="9.28515625" style="812" customWidth="1"/>
    <col min="28" max="16384" width="9.28515625" style="812"/>
  </cols>
  <sheetData>
    <row r="1" spans="1:16">
      <c r="A1" s="1615" t="s">
        <v>818</v>
      </c>
      <c r="B1" s="1615"/>
      <c r="C1" s="1615"/>
      <c r="D1" s="1615"/>
      <c r="E1" s="1615"/>
      <c r="F1" s="1615"/>
      <c r="G1" s="1615"/>
      <c r="H1" s="1615"/>
      <c r="I1" s="1615"/>
      <c r="J1" s="1615"/>
      <c r="K1" s="1615"/>
      <c r="L1" s="1615"/>
      <c r="M1" s="409"/>
    </row>
    <row r="2" spans="1:16">
      <c r="A2" s="1615" t="s">
        <v>367</v>
      </c>
      <c r="B2" s="1615"/>
      <c r="C2" s="1615"/>
      <c r="D2" s="1615"/>
      <c r="E2" s="1615"/>
      <c r="F2" s="1615"/>
      <c r="G2" s="1615"/>
      <c r="H2" s="1615"/>
      <c r="I2" s="1615"/>
      <c r="J2" s="1615"/>
      <c r="K2" s="1615"/>
      <c r="L2" s="1615"/>
      <c r="M2" s="409"/>
    </row>
    <row r="3" spans="1:16" ht="26.25" customHeight="1">
      <c r="A3" s="1616" t="s">
        <v>1049</v>
      </c>
      <c r="B3" s="1617"/>
      <c r="C3" s="1617"/>
      <c r="D3" s="1617"/>
      <c r="E3" s="1617"/>
      <c r="F3" s="1617"/>
      <c r="G3" s="1617"/>
      <c r="H3" s="1617"/>
      <c r="I3" s="1617"/>
      <c r="J3" s="1617"/>
      <c r="K3" s="1617"/>
      <c r="L3" s="1617"/>
      <c r="M3" s="409"/>
    </row>
    <row r="4" spans="1:16">
      <c r="A4" s="1613" t="s">
        <v>368</v>
      </c>
      <c r="B4" s="1614"/>
      <c r="C4" s="1614"/>
      <c r="D4" s="1613"/>
      <c r="E4" s="1614"/>
      <c r="F4" s="1614"/>
      <c r="G4" s="1614"/>
      <c r="H4" s="1614"/>
      <c r="I4" s="1614"/>
      <c r="J4" s="1614"/>
      <c r="K4" s="1614"/>
      <c r="L4" s="1614"/>
      <c r="M4" s="6"/>
    </row>
    <row r="5" spans="1:16">
      <c r="A5" s="1613" t="s">
        <v>212</v>
      </c>
      <c r="B5" s="1614"/>
      <c r="C5" s="1614"/>
      <c r="D5" s="1613" t="s">
        <v>1136</v>
      </c>
      <c r="E5" s="1614"/>
      <c r="F5" s="1614"/>
      <c r="G5" s="1614"/>
      <c r="H5" s="1614"/>
      <c r="I5" s="1614"/>
      <c r="J5" s="1614"/>
      <c r="K5" s="1614"/>
      <c r="L5" s="1614"/>
      <c r="M5" s="17"/>
    </row>
    <row r="6" spans="1:16">
      <c r="A6" s="813" t="s">
        <v>369</v>
      </c>
      <c r="B6" s="814"/>
      <c r="C6" s="814"/>
      <c r="D6" s="815"/>
      <c r="E6" s="814"/>
      <c r="F6" s="814"/>
      <c r="G6" s="814"/>
      <c r="H6" s="814"/>
      <c r="I6" s="814"/>
      <c r="J6" s="814"/>
      <c r="K6" s="814"/>
      <c r="L6" s="816"/>
      <c r="M6" s="1621"/>
    </row>
    <row r="7" spans="1:16" ht="21" customHeight="1">
      <c r="A7" s="1624" t="s">
        <v>17</v>
      </c>
      <c r="B7" s="1624" t="s">
        <v>18</v>
      </c>
      <c r="C7" s="1624" t="s">
        <v>19</v>
      </c>
      <c r="D7" s="1624" t="s">
        <v>20</v>
      </c>
      <c r="E7" s="1624" t="s">
        <v>21</v>
      </c>
      <c r="F7" s="1624" t="s">
        <v>22</v>
      </c>
      <c r="G7" s="1624"/>
      <c r="H7" s="1624"/>
      <c r="I7" s="1624"/>
      <c r="J7" s="1624"/>
      <c r="K7" s="1625"/>
      <c r="L7" s="1624" t="s">
        <v>23</v>
      </c>
      <c r="M7" s="1622"/>
    </row>
    <row r="8" spans="1:16" ht="20.25" customHeight="1">
      <c r="A8" s="1625"/>
      <c r="B8" s="1625"/>
      <c r="C8" s="1625"/>
      <c r="D8" s="1625"/>
      <c r="E8" s="1625"/>
      <c r="F8" s="771" t="s">
        <v>24</v>
      </c>
      <c r="G8" s="771" t="s">
        <v>25</v>
      </c>
      <c r="H8" s="771" t="s">
        <v>26</v>
      </c>
      <c r="I8" s="771" t="s">
        <v>27</v>
      </c>
      <c r="J8" s="771" t="s">
        <v>28</v>
      </c>
      <c r="K8" s="771" t="s">
        <v>29</v>
      </c>
      <c r="L8" s="1625"/>
      <c r="M8" s="1623"/>
    </row>
    <row r="9" spans="1:16">
      <c r="A9" s="410">
        <v>1</v>
      </c>
      <c r="B9" s="410">
        <v>2</v>
      </c>
      <c r="C9" s="410">
        <v>3</v>
      </c>
      <c r="D9" s="410">
        <v>4</v>
      </c>
      <c r="E9" s="410">
        <v>5</v>
      </c>
      <c r="F9" s="410">
        <v>6</v>
      </c>
      <c r="G9" s="410">
        <v>7</v>
      </c>
      <c r="H9" s="410">
        <v>8</v>
      </c>
      <c r="I9" s="410">
        <v>9</v>
      </c>
      <c r="J9" s="410">
        <v>10</v>
      </c>
      <c r="K9" s="410">
        <v>11</v>
      </c>
      <c r="L9" s="410">
        <v>12</v>
      </c>
      <c r="M9" s="817"/>
    </row>
    <row r="10" spans="1:16">
      <c r="A10" s="1626" t="s">
        <v>30</v>
      </c>
      <c r="B10" s="1627"/>
      <c r="C10" s="1627"/>
      <c r="D10" s="1627"/>
      <c r="E10" s="1627"/>
      <c r="F10" s="1627"/>
      <c r="G10" s="1627"/>
      <c r="H10" s="1627"/>
      <c r="I10" s="1627"/>
      <c r="J10" s="1627"/>
      <c r="K10" s="1627"/>
      <c r="L10" s="1628"/>
      <c r="M10" s="818"/>
    </row>
    <row r="11" spans="1:16" ht="38.25">
      <c r="A11" s="411">
        <v>1</v>
      </c>
      <c r="B11" s="3" t="s">
        <v>370</v>
      </c>
      <c r="C11" s="410" t="s">
        <v>371</v>
      </c>
      <c r="D11" s="412">
        <v>2</v>
      </c>
      <c r="E11" s="413" t="s">
        <v>1050</v>
      </c>
      <c r="F11" s="414">
        <v>47.2</v>
      </c>
      <c r="G11" s="415">
        <v>1.2</v>
      </c>
      <c r="H11" s="411"/>
      <c r="I11" s="411"/>
      <c r="J11" s="411"/>
      <c r="K11" s="4"/>
      <c r="L11" s="416">
        <f>D11*F11*G11</f>
        <v>113.28</v>
      </c>
      <c r="M11" s="819"/>
    </row>
    <row r="12" spans="1:16" ht="51">
      <c r="A12" s="411">
        <v>2</v>
      </c>
      <c r="B12" s="3" t="s">
        <v>372</v>
      </c>
      <c r="C12" s="410" t="s">
        <v>371</v>
      </c>
      <c r="D12" s="412">
        <v>2</v>
      </c>
      <c r="E12" s="413" t="s">
        <v>373</v>
      </c>
      <c r="F12" s="414">
        <v>33.6</v>
      </c>
      <c r="G12" s="415"/>
      <c r="H12" s="411"/>
      <c r="I12" s="411"/>
      <c r="J12" s="411"/>
      <c r="K12" s="4"/>
      <c r="L12" s="416">
        <f>D12*F12</f>
        <v>67.2</v>
      </c>
      <c r="M12" s="819"/>
    </row>
    <row r="13" spans="1:16" ht="38.25">
      <c r="A13" s="411">
        <v>3</v>
      </c>
      <c r="B13" s="3" t="s">
        <v>1051</v>
      </c>
      <c r="C13" s="410" t="s">
        <v>374</v>
      </c>
      <c r="D13" s="412">
        <v>40</v>
      </c>
      <c r="E13" s="413" t="s">
        <v>375</v>
      </c>
      <c r="F13" s="414">
        <v>16.399999999999999</v>
      </c>
      <c r="G13" s="415"/>
      <c r="H13" s="411"/>
      <c r="I13" s="411"/>
      <c r="J13" s="411"/>
      <c r="K13" s="4"/>
      <c r="L13" s="416">
        <f>D13*F13</f>
        <v>656</v>
      </c>
      <c r="M13" s="819"/>
    </row>
    <row r="14" spans="1:16" ht="25.5">
      <c r="A14" s="417">
        <v>4</v>
      </c>
      <c r="B14" s="418" t="s">
        <v>376</v>
      </c>
      <c r="C14" s="52" t="s">
        <v>377</v>
      </c>
      <c r="D14" s="973">
        <v>18</v>
      </c>
      <c r="E14" s="419" t="s">
        <v>378</v>
      </c>
      <c r="F14" s="52">
        <v>149</v>
      </c>
      <c r="G14" s="52"/>
      <c r="H14" s="52"/>
      <c r="I14" s="52"/>
      <c r="J14" s="52"/>
      <c r="K14" s="52"/>
      <c r="L14" s="420">
        <f>D14*F14</f>
        <v>2682</v>
      </c>
      <c r="M14" s="420"/>
      <c r="N14" s="818"/>
    </row>
    <row r="15" spans="1:16" s="820" customFormat="1" ht="38.25">
      <c r="A15" s="411">
        <v>5</v>
      </c>
      <c r="B15" s="3" t="s">
        <v>379</v>
      </c>
      <c r="C15" s="410" t="s">
        <v>380</v>
      </c>
      <c r="D15" s="47">
        <v>400</v>
      </c>
      <c r="E15" s="413" t="s">
        <v>381</v>
      </c>
      <c r="F15" s="414">
        <v>74.400000000000006</v>
      </c>
      <c r="G15" s="414">
        <v>1.1000000000000001</v>
      </c>
      <c r="H15" s="415"/>
      <c r="I15" s="411"/>
      <c r="J15" s="411"/>
      <c r="K15" s="4"/>
      <c r="L15" s="416">
        <f>D15*F15*G15</f>
        <v>32736</v>
      </c>
      <c r="M15" s="421"/>
      <c r="P15" s="820" t="s">
        <v>77</v>
      </c>
    </row>
    <row r="16" spans="1:16" s="820" customFormat="1" ht="38.25">
      <c r="A16" s="411">
        <v>6</v>
      </c>
      <c r="B16" s="3" t="s">
        <v>382</v>
      </c>
      <c r="C16" s="410" t="s">
        <v>380</v>
      </c>
      <c r="D16" s="47">
        <v>651</v>
      </c>
      <c r="E16" s="413" t="s">
        <v>383</v>
      </c>
      <c r="F16" s="414">
        <v>99.7</v>
      </c>
      <c r="G16" s="414">
        <v>1.1000000000000001</v>
      </c>
      <c r="H16" s="415"/>
      <c r="I16" s="411"/>
      <c r="J16" s="411"/>
      <c r="K16" s="4"/>
      <c r="L16" s="416">
        <f>D16*F16*G16</f>
        <v>71395.17</v>
      </c>
      <c r="M16" s="421"/>
    </row>
    <row r="17" spans="1:14" ht="51">
      <c r="A17" s="411">
        <v>7</v>
      </c>
      <c r="B17" s="422" t="s">
        <v>384</v>
      </c>
      <c r="C17" s="47" t="s">
        <v>385</v>
      </c>
      <c r="D17" s="974">
        <v>81</v>
      </c>
      <c r="E17" s="40" t="s">
        <v>386</v>
      </c>
      <c r="F17" s="423">
        <v>10.8</v>
      </c>
      <c r="G17" s="424">
        <v>0.5</v>
      </c>
      <c r="H17" s="417"/>
      <c r="I17" s="417"/>
      <c r="J17" s="417"/>
      <c r="K17" s="52"/>
      <c r="L17" s="420">
        <f>D17*F17*G17</f>
        <v>437.4</v>
      </c>
      <c r="M17" s="425"/>
    </row>
    <row r="18" spans="1:14" ht="51">
      <c r="A18" s="411">
        <v>8</v>
      </c>
      <c r="B18" s="422" t="s">
        <v>387</v>
      </c>
      <c r="C18" s="47" t="s">
        <v>385</v>
      </c>
      <c r="D18" s="974">
        <v>87</v>
      </c>
      <c r="E18" s="40" t="s">
        <v>388</v>
      </c>
      <c r="F18" s="423">
        <v>10.8</v>
      </c>
      <c r="G18" s="424"/>
      <c r="H18" s="417"/>
      <c r="I18" s="417"/>
      <c r="J18" s="417"/>
      <c r="K18" s="52"/>
      <c r="L18" s="420">
        <f>D18*F18</f>
        <v>939.6</v>
      </c>
      <c r="M18" s="425"/>
    </row>
    <row r="19" spans="1:14" ht="51">
      <c r="A19" s="411">
        <v>9</v>
      </c>
      <c r="B19" s="422" t="s">
        <v>389</v>
      </c>
      <c r="C19" s="47" t="s">
        <v>385</v>
      </c>
      <c r="D19" s="974">
        <v>8</v>
      </c>
      <c r="E19" s="40" t="s">
        <v>390</v>
      </c>
      <c r="F19" s="423">
        <v>13.6</v>
      </c>
      <c r="G19" s="424">
        <v>0.5</v>
      </c>
      <c r="H19" s="417"/>
      <c r="I19" s="417"/>
      <c r="J19" s="417"/>
      <c r="K19" s="52"/>
      <c r="L19" s="420">
        <f>D19*F19*G19</f>
        <v>54.4</v>
      </c>
      <c r="M19" s="426"/>
    </row>
    <row r="20" spans="1:14" ht="51">
      <c r="A20" s="411">
        <v>10</v>
      </c>
      <c r="B20" s="422" t="s">
        <v>391</v>
      </c>
      <c r="C20" s="47" t="s">
        <v>385</v>
      </c>
      <c r="D20" s="974">
        <v>8</v>
      </c>
      <c r="E20" s="40" t="s">
        <v>392</v>
      </c>
      <c r="F20" s="423">
        <v>13.6</v>
      </c>
      <c r="G20" s="424"/>
      <c r="H20" s="417"/>
      <c r="I20" s="417"/>
      <c r="J20" s="417"/>
      <c r="K20" s="52"/>
      <c r="L20" s="420">
        <f>D20*F20</f>
        <v>108.8</v>
      </c>
      <c r="M20" s="426"/>
    </row>
    <row r="21" spans="1:14" ht="38.25">
      <c r="A21" s="411">
        <v>11</v>
      </c>
      <c r="B21" s="418" t="s">
        <v>393</v>
      </c>
      <c r="C21" s="52" t="s">
        <v>394</v>
      </c>
      <c r="D21" s="52">
        <v>18</v>
      </c>
      <c r="E21" s="419" t="s">
        <v>395</v>
      </c>
      <c r="F21" s="52">
        <v>60.2</v>
      </c>
      <c r="G21" s="52"/>
      <c r="H21" s="52"/>
      <c r="I21" s="52"/>
      <c r="J21" s="52"/>
      <c r="K21" s="52"/>
      <c r="L21" s="420">
        <f>D21*F21</f>
        <v>1083.5999999999999</v>
      </c>
      <c r="M21" s="420"/>
      <c r="N21" s="818"/>
    </row>
    <row r="22" spans="1:14" s="822" customFormat="1" ht="38.25">
      <c r="A22" s="411">
        <v>12</v>
      </c>
      <c r="B22" s="418" t="s">
        <v>396</v>
      </c>
      <c r="C22" s="52" t="s">
        <v>397</v>
      </c>
      <c r="D22" s="52">
        <v>1.7</v>
      </c>
      <c r="E22" s="40" t="s">
        <v>398</v>
      </c>
      <c r="F22" s="769">
        <v>17</v>
      </c>
      <c r="G22" s="420"/>
      <c r="H22" s="769"/>
      <c r="I22" s="52"/>
      <c r="J22" s="52"/>
      <c r="K22" s="52"/>
      <c r="L22" s="420">
        <f>D22*F22</f>
        <v>28.9</v>
      </c>
      <c r="M22" s="420"/>
      <c r="N22" s="821"/>
    </row>
    <row r="23" spans="1:14" ht="89.25">
      <c r="A23" s="411">
        <v>13</v>
      </c>
      <c r="B23" s="418" t="s">
        <v>399</v>
      </c>
      <c r="C23" s="52" t="s">
        <v>397</v>
      </c>
      <c r="D23" s="52">
        <v>1.7</v>
      </c>
      <c r="E23" s="419" t="s">
        <v>400</v>
      </c>
      <c r="F23" s="52">
        <v>160.19999999999999</v>
      </c>
      <c r="G23" s="52"/>
      <c r="H23" s="52"/>
      <c r="I23" s="52"/>
      <c r="J23" s="52"/>
      <c r="K23" s="52"/>
      <c r="L23" s="420">
        <f>D23*F23</f>
        <v>272.33999999999997</v>
      </c>
      <c r="M23" s="420"/>
      <c r="N23" s="819"/>
    </row>
    <row r="24" spans="1:14" ht="38.25">
      <c r="A24" s="411">
        <v>14</v>
      </c>
      <c r="B24" s="427" t="s">
        <v>401</v>
      </c>
      <c r="C24" s="52" t="s">
        <v>402</v>
      </c>
      <c r="D24" s="52">
        <v>80</v>
      </c>
      <c r="E24" s="428" t="s">
        <v>403</v>
      </c>
      <c r="F24" s="52">
        <v>48.4</v>
      </c>
      <c r="G24" s="4"/>
      <c r="H24" s="4"/>
      <c r="I24" s="4"/>
      <c r="J24" s="4"/>
      <c r="K24" s="4"/>
      <c r="L24" s="416">
        <f>D24*F24</f>
        <v>3872</v>
      </c>
      <c r="M24" s="818"/>
    </row>
    <row r="25" spans="1:14" ht="25.5">
      <c r="A25" s="411">
        <v>15</v>
      </c>
      <c r="B25" s="427" t="s">
        <v>404</v>
      </c>
      <c r="C25" s="4" t="s">
        <v>405</v>
      </c>
      <c r="D25" s="52">
        <v>30</v>
      </c>
      <c r="E25" s="413" t="s">
        <v>406</v>
      </c>
      <c r="F25" s="4">
        <v>22.9</v>
      </c>
      <c r="G25" s="4">
        <v>0.7</v>
      </c>
      <c r="H25" s="4"/>
      <c r="I25" s="4"/>
      <c r="J25" s="4"/>
      <c r="K25" s="4"/>
      <c r="L25" s="416">
        <f>D25*F25*G25</f>
        <v>480.9</v>
      </c>
      <c r="M25" s="818"/>
    </row>
    <row r="26" spans="1:14" ht="38.25">
      <c r="A26" s="411">
        <v>16</v>
      </c>
      <c r="B26" s="427" t="s">
        <v>802</v>
      </c>
      <c r="C26" s="4" t="s">
        <v>803</v>
      </c>
      <c r="D26" s="52">
        <v>6</v>
      </c>
      <c r="E26" s="413" t="s">
        <v>804</v>
      </c>
      <c r="F26" s="4">
        <v>840</v>
      </c>
      <c r="G26" s="4"/>
      <c r="H26" s="4"/>
      <c r="I26" s="4"/>
      <c r="J26" s="4"/>
      <c r="K26" s="4"/>
      <c r="L26" s="416">
        <f>D26*F26</f>
        <v>5040</v>
      </c>
      <c r="M26" s="818"/>
    </row>
    <row r="27" spans="1:14">
      <c r="A27" s="429"/>
      <c r="B27" s="7" t="s">
        <v>407</v>
      </c>
      <c r="C27" s="7"/>
      <c r="D27" s="50"/>
      <c r="E27" s="48"/>
      <c r="F27" s="769"/>
      <c r="G27" s="48"/>
      <c r="H27" s="769"/>
      <c r="I27" s="52"/>
      <c r="J27" s="52"/>
      <c r="K27" s="52"/>
      <c r="L27" s="430">
        <f>SUM(L11:L26)</f>
        <v>119967.59</v>
      </c>
      <c r="M27" s="431"/>
    </row>
    <row r="28" spans="1:14" ht="38.25">
      <c r="A28" s="975">
        <v>17</v>
      </c>
      <c r="B28" s="3" t="s">
        <v>408</v>
      </c>
      <c r="C28" s="826"/>
      <c r="D28" s="823">
        <f>L27</f>
        <v>119967.59</v>
      </c>
      <c r="E28" s="52" t="s">
        <v>1052</v>
      </c>
      <c r="F28" s="432">
        <v>0.25</v>
      </c>
      <c r="G28" s="824"/>
      <c r="H28" s="824"/>
      <c r="I28" s="824"/>
      <c r="J28" s="824"/>
      <c r="K28" s="825"/>
      <c r="L28" s="823">
        <f>D28*F28</f>
        <v>29991.9</v>
      </c>
      <c r="M28" s="431"/>
    </row>
    <row r="29" spans="1:14" ht="25.5">
      <c r="A29" s="975">
        <v>18</v>
      </c>
      <c r="B29" s="3" t="s">
        <v>805</v>
      </c>
      <c r="C29" s="826"/>
      <c r="D29" s="823">
        <f>L27+L28</f>
        <v>149959.49</v>
      </c>
      <c r="E29" s="52" t="s">
        <v>1053</v>
      </c>
      <c r="F29" s="432">
        <v>0.4</v>
      </c>
      <c r="G29" s="824"/>
      <c r="H29" s="824"/>
      <c r="I29" s="824"/>
      <c r="J29" s="824"/>
      <c r="K29" s="825"/>
      <c r="L29" s="823">
        <f>D29*F29</f>
        <v>59983.8</v>
      </c>
      <c r="M29" s="431"/>
    </row>
    <row r="30" spans="1:14">
      <c r="A30" s="429"/>
      <c r="B30" s="7" t="s">
        <v>31</v>
      </c>
      <c r="C30" s="7"/>
      <c r="D30" s="433"/>
      <c r="E30" s="429"/>
      <c r="F30" s="434"/>
      <c r="G30" s="429"/>
      <c r="H30" s="4"/>
      <c r="I30" s="4"/>
      <c r="J30" s="4"/>
      <c r="K30" s="4"/>
      <c r="L30" s="435">
        <f>SUM(L27:L29)</f>
        <v>209943.29</v>
      </c>
      <c r="M30" s="431"/>
    </row>
    <row r="31" spans="1:14">
      <c r="A31" s="1626" t="s">
        <v>409</v>
      </c>
      <c r="B31" s="1627"/>
      <c r="C31" s="1627"/>
      <c r="D31" s="1627"/>
      <c r="E31" s="1627"/>
      <c r="F31" s="1627"/>
      <c r="G31" s="1627"/>
      <c r="H31" s="1627"/>
      <c r="I31" s="1627"/>
      <c r="J31" s="1627"/>
      <c r="K31" s="1627"/>
      <c r="L31" s="1628"/>
      <c r="M31" s="818"/>
    </row>
    <row r="32" spans="1:14" ht="25.5">
      <c r="A32" s="436">
        <v>19</v>
      </c>
      <c r="B32" s="413" t="s">
        <v>410</v>
      </c>
      <c r="C32" s="415" t="s">
        <v>411</v>
      </c>
      <c r="D32" s="415">
        <v>30</v>
      </c>
      <c r="E32" s="428" t="s">
        <v>412</v>
      </c>
      <c r="F32" s="437">
        <v>48.9</v>
      </c>
      <c r="G32" s="410"/>
      <c r="H32" s="410"/>
      <c r="I32" s="410"/>
      <c r="J32" s="410"/>
      <c r="K32" s="415"/>
      <c r="L32" s="416">
        <f>D32*F32</f>
        <v>1467</v>
      </c>
      <c r="M32" s="827"/>
    </row>
    <row r="33" spans="1:16" ht="38.25">
      <c r="A33" s="436">
        <v>20</v>
      </c>
      <c r="B33" s="413" t="s">
        <v>413</v>
      </c>
      <c r="C33" s="415" t="s">
        <v>411</v>
      </c>
      <c r="D33" s="415">
        <v>60</v>
      </c>
      <c r="E33" s="428" t="s">
        <v>414</v>
      </c>
      <c r="F33" s="437">
        <v>1.8</v>
      </c>
      <c r="G33" s="410"/>
      <c r="H33" s="410"/>
      <c r="I33" s="410"/>
      <c r="J33" s="410"/>
      <c r="K33" s="415"/>
      <c r="L33" s="416">
        <f t="shared" ref="L33:L44" si="0">D33*F33</f>
        <v>108</v>
      </c>
      <c r="M33" s="827"/>
    </row>
    <row r="34" spans="1:16" ht="25.5">
      <c r="A34" s="436">
        <v>21</v>
      </c>
      <c r="B34" s="413" t="s">
        <v>415</v>
      </c>
      <c r="C34" s="415" t="s">
        <v>411</v>
      </c>
      <c r="D34" s="415">
        <v>200</v>
      </c>
      <c r="E34" s="428" t="s">
        <v>416</v>
      </c>
      <c r="F34" s="437">
        <v>1.9</v>
      </c>
      <c r="G34" s="410"/>
      <c r="H34" s="410"/>
      <c r="I34" s="410"/>
      <c r="J34" s="410"/>
      <c r="K34" s="415"/>
      <c r="L34" s="416">
        <f t="shared" si="0"/>
        <v>380</v>
      </c>
      <c r="M34" s="827"/>
    </row>
    <row r="35" spans="1:16" ht="25.5">
      <c r="A35" s="436">
        <v>22</v>
      </c>
      <c r="B35" s="413" t="s">
        <v>417</v>
      </c>
      <c r="C35" s="415" t="s">
        <v>411</v>
      </c>
      <c r="D35" s="415">
        <v>250</v>
      </c>
      <c r="E35" s="428" t="s">
        <v>418</v>
      </c>
      <c r="F35" s="437">
        <v>2.9</v>
      </c>
      <c r="G35" s="410"/>
      <c r="H35" s="410"/>
      <c r="I35" s="410"/>
      <c r="J35" s="410"/>
      <c r="K35" s="415"/>
      <c r="L35" s="416">
        <f t="shared" si="0"/>
        <v>725</v>
      </c>
      <c r="M35" s="827"/>
    </row>
    <row r="36" spans="1:16" ht="38.25">
      <c r="A36" s="436">
        <v>23</v>
      </c>
      <c r="B36" s="413" t="s">
        <v>419</v>
      </c>
      <c r="C36" s="415" t="s">
        <v>411</v>
      </c>
      <c r="D36" s="415">
        <v>150</v>
      </c>
      <c r="E36" s="428" t="s">
        <v>420</v>
      </c>
      <c r="F36" s="437">
        <v>4.8</v>
      </c>
      <c r="G36" s="410"/>
      <c r="H36" s="410"/>
      <c r="I36" s="410"/>
      <c r="J36" s="410"/>
      <c r="K36" s="415"/>
      <c r="L36" s="416">
        <f t="shared" si="0"/>
        <v>720</v>
      </c>
      <c r="M36" s="827"/>
    </row>
    <row r="37" spans="1:16" ht="51">
      <c r="A37" s="436">
        <v>24</v>
      </c>
      <c r="B37" s="413" t="s">
        <v>421</v>
      </c>
      <c r="C37" s="415" t="s">
        <v>411</v>
      </c>
      <c r="D37" s="415">
        <v>200</v>
      </c>
      <c r="E37" s="428" t="s">
        <v>422</v>
      </c>
      <c r="F37" s="437">
        <v>13.7</v>
      </c>
      <c r="G37" s="410"/>
      <c r="H37" s="410"/>
      <c r="I37" s="410"/>
      <c r="J37" s="410"/>
      <c r="K37" s="415"/>
      <c r="L37" s="416">
        <f t="shared" si="0"/>
        <v>2740</v>
      </c>
      <c r="M37" s="827"/>
    </row>
    <row r="38" spans="1:16" ht="76.5">
      <c r="A38" s="436">
        <v>25</v>
      </c>
      <c r="B38" s="413" t="s">
        <v>423</v>
      </c>
      <c r="C38" s="415" t="s">
        <v>411</v>
      </c>
      <c r="D38" s="415">
        <v>60</v>
      </c>
      <c r="E38" s="428" t="s">
        <v>424</v>
      </c>
      <c r="F38" s="437">
        <v>78.099999999999994</v>
      </c>
      <c r="G38" s="410"/>
      <c r="H38" s="410"/>
      <c r="I38" s="410"/>
      <c r="J38" s="410"/>
      <c r="K38" s="415"/>
      <c r="L38" s="416">
        <f t="shared" si="0"/>
        <v>4686</v>
      </c>
      <c r="M38" s="827"/>
    </row>
    <row r="39" spans="1:16" ht="76.5">
      <c r="A39" s="436">
        <v>26</v>
      </c>
      <c r="B39" s="413" t="s">
        <v>425</v>
      </c>
      <c r="C39" s="415" t="s">
        <v>411</v>
      </c>
      <c r="D39" s="415">
        <v>60</v>
      </c>
      <c r="E39" s="428" t="s">
        <v>424</v>
      </c>
      <c r="F39" s="437">
        <v>78.099999999999994</v>
      </c>
      <c r="G39" s="410"/>
      <c r="H39" s="410"/>
      <c r="I39" s="410"/>
      <c r="J39" s="410"/>
      <c r="K39" s="415"/>
      <c r="L39" s="416">
        <f t="shared" si="0"/>
        <v>4686</v>
      </c>
      <c r="M39" s="827"/>
    </row>
    <row r="40" spans="1:16" ht="25.5">
      <c r="A40" s="436">
        <v>27</v>
      </c>
      <c r="B40" s="413" t="s">
        <v>426</v>
      </c>
      <c r="C40" s="415" t="s">
        <v>427</v>
      </c>
      <c r="D40" s="415">
        <v>70</v>
      </c>
      <c r="E40" s="428" t="s">
        <v>428</v>
      </c>
      <c r="F40" s="437">
        <v>11.3</v>
      </c>
      <c r="G40" s="410"/>
      <c r="H40" s="410"/>
      <c r="I40" s="410"/>
      <c r="J40" s="410"/>
      <c r="K40" s="415"/>
      <c r="L40" s="416">
        <f t="shared" si="0"/>
        <v>791</v>
      </c>
      <c r="M40" s="827"/>
    </row>
    <row r="41" spans="1:16" ht="25.5">
      <c r="A41" s="436">
        <v>28</v>
      </c>
      <c r="B41" s="413" t="s">
        <v>429</v>
      </c>
      <c r="C41" s="415" t="s">
        <v>427</v>
      </c>
      <c r="D41" s="415">
        <v>70</v>
      </c>
      <c r="E41" s="428" t="s">
        <v>430</v>
      </c>
      <c r="F41" s="438">
        <v>13.3</v>
      </c>
      <c r="G41" s="428"/>
      <c r="H41" s="428"/>
      <c r="I41" s="428"/>
      <c r="J41" s="428"/>
      <c r="K41" s="415"/>
      <c r="L41" s="416">
        <f t="shared" si="0"/>
        <v>931</v>
      </c>
      <c r="M41" s="827"/>
    </row>
    <row r="42" spans="1:16">
      <c r="A42" s="436">
        <v>29</v>
      </c>
      <c r="B42" s="413" t="s">
        <v>431</v>
      </c>
      <c r="C42" s="415" t="s">
        <v>411</v>
      </c>
      <c r="D42" s="415">
        <v>16</v>
      </c>
      <c r="E42" s="413" t="s">
        <v>432</v>
      </c>
      <c r="F42" s="438">
        <v>3.8</v>
      </c>
      <c r="G42" s="428"/>
      <c r="H42" s="428"/>
      <c r="I42" s="428"/>
      <c r="J42" s="428"/>
      <c r="K42" s="415"/>
      <c r="L42" s="416">
        <f t="shared" si="0"/>
        <v>60.8</v>
      </c>
      <c r="M42" s="827"/>
    </row>
    <row r="43" spans="1:16" ht="38.25">
      <c r="A43" s="436">
        <v>30</v>
      </c>
      <c r="B43" s="413" t="s">
        <v>433</v>
      </c>
      <c r="C43" s="415" t="s">
        <v>434</v>
      </c>
      <c r="D43" s="415">
        <v>16</v>
      </c>
      <c r="E43" s="413" t="s">
        <v>435</v>
      </c>
      <c r="F43" s="438">
        <v>48.8</v>
      </c>
      <c r="G43" s="410"/>
      <c r="H43" s="410"/>
      <c r="I43" s="410"/>
      <c r="J43" s="410"/>
      <c r="K43" s="415"/>
      <c r="L43" s="416">
        <f t="shared" si="0"/>
        <v>780.8</v>
      </c>
      <c r="M43" s="827"/>
    </row>
    <row r="44" spans="1:16" ht="25.5">
      <c r="A44" s="436">
        <v>31</v>
      </c>
      <c r="B44" s="413" t="s">
        <v>436</v>
      </c>
      <c r="C44" s="415" t="s">
        <v>437</v>
      </c>
      <c r="D44" s="415">
        <v>16</v>
      </c>
      <c r="E44" s="428" t="s">
        <v>438</v>
      </c>
      <c r="F44" s="438">
        <v>18.2</v>
      </c>
      <c r="G44" s="410"/>
      <c r="H44" s="410"/>
      <c r="I44" s="410"/>
      <c r="J44" s="410"/>
      <c r="K44" s="415"/>
      <c r="L44" s="416">
        <f t="shared" si="0"/>
        <v>291.2</v>
      </c>
      <c r="M44" s="827"/>
    </row>
    <row r="45" spans="1:16">
      <c r="A45" s="439"/>
      <c r="B45" s="49" t="s">
        <v>439</v>
      </c>
      <c r="C45" s="49"/>
      <c r="D45" s="50"/>
      <c r="E45" s="52"/>
      <c r="F45" s="52"/>
      <c r="G45" s="52"/>
      <c r="H45" s="52"/>
      <c r="I45" s="52"/>
      <c r="J45" s="52"/>
      <c r="K45" s="52"/>
      <c r="L45" s="430">
        <f>L32+L33+L34+L35+L36+L37+L38+L39+L40+L41+L42+L43+L44</f>
        <v>18366.8</v>
      </c>
      <c r="M45" s="440"/>
      <c r="N45" s="441"/>
      <c r="P45" s="441"/>
    </row>
    <row r="46" spans="1:16">
      <c r="A46" s="1629" t="s">
        <v>440</v>
      </c>
      <c r="B46" s="1630"/>
      <c r="C46" s="1630"/>
      <c r="D46" s="1630"/>
      <c r="E46" s="1630"/>
      <c r="F46" s="1630"/>
      <c r="G46" s="1630"/>
      <c r="H46" s="1630"/>
      <c r="I46" s="1630"/>
      <c r="J46" s="1630"/>
      <c r="K46" s="1630"/>
      <c r="L46" s="1631"/>
      <c r="M46" s="818"/>
      <c r="N46" s="441"/>
      <c r="P46" s="441"/>
    </row>
    <row r="47" spans="1:16" ht="38.25">
      <c r="A47" s="442">
        <v>32</v>
      </c>
      <c r="B47" s="422" t="s">
        <v>370</v>
      </c>
      <c r="C47" s="47" t="s">
        <v>371</v>
      </c>
      <c r="D47" s="47">
        <f>D11</f>
        <v>2</v>
      </c>
      <c r="E47" s="40" t="s">
        <v>1050</v>
      </c>
      <c r="F47" s="423">
        <v>23.4</v>
      </c>
      <c r="G47" s="424">
        <v>1.2</v>
      </c>
      <c r="H47" s="417"/>
      <c r="I47" s="417"/>
      <c r="J47" s="417"/>
      <c r="K47" s="52"/>
      <c r="L47" s="420">
        <f>D47*F47*G47</f>
        <v>56.16</v>
      </c>
      <c r="M47" s="818"/>
      <c r="N47" s="441"/>
      <c r="P47" s="441"/>
    </row>
    <row r="48" spans="1:16" ht="51">
      <c r="A48" s="442">
        <v>33</v>
      </c>
      <c r="B48" s="422" t="s">
        <v>372</v>
      </c>
      <c r="C48" s="47" t="s">
        <v>371</v>
      </c>
      <c r="D48" s="47">
        <f>D12</f>
        <v>2</v>
      </c>
      <c r="E48" s="40" t="s">
        <v>441</v>
      </c>
      <c r="F48" s="423">
        <v>3.4</v>
      </c>
      <c r="G48" s="424"/>
      <c r="H48" s="417"/>
      <c r="I48" s="417"/>
      <c r="J48" s="417"/>
      <c r="K48" s="52"/>
      <c r="L48" s="420">
        <f t="shared" ref="L48:L56" si="1">D48*F48</f>
        <v>6.8</v>
      </c>
      <c r="M48" s="818"/>
      <c r="N48" s="441"/>
      <c r="P48" s="441"/>
    </row>
    <row r="49" spans="1:16" ht="38.25">
      <c r="A49" s="442">
        <v>34</v>
      </c>
      <c r="B49" s="422" t="s">
        <v>442</v>
      </c>
      <c r="C49" s="47" t="s">
        <v>374</v>
      </c>
      <c r="D49" s="47">
        <v>40</v>
      </c>
      <c r="E49" s="47" t="str">
        <f>E13</f>
        <v xml:space="preserve">СБЦ-99, т.11, п.1                           </v>
      </c>
      <c r="F49" s="423">
        <v>10.199999999999999</v>
      </c>
      <c r="G49" s="424"/>
      <c r="H49" s="417"/>
      <c r="I49" s="417"/>
      <c r="J49" s="417"/>
      <c r="K49" s="52"/>
      <c r="L49" s="420">
        <f t="shared" si="1"/>
        <v>408</v>
      </c>
      <c r="M49" s="818"/>
      <c r="N49" s="441"/>
      <c r="P49" s="441"/>
    </row>
    <row r="50" spans="1:16" ht="51">
      <c r="A50" s="442">
        <v>35</v>
      </c>
      <c r="B50" s="40" t="s">
        <v>443</v>
      </c>
      <c r="C50" s="47" t="s">
        <v>444</v>
      </c>
      <c r="D50" s="412">
        <f>D14+D15+D16</f>
        <v>1069</v>
      </c>
      <c r="E50" s="419" t="s">
        <v>445</v>
      </c>
      <c r="F50" s="443">
        <v>9.4</v>
      </c>
      <c r="G50" s="40"/>
      <c r="H50" s="40"/>
      <c r="I50" s="40"/>
      <c r="J50" s="40"/>
      <c r="K50" s="444"/>
      <c r="L50" s="420">
        <f t="shared" si="1"/>
        <v>10048.6</v>
      </c>
      <c r="M50" s="431"/>
      <c r="N50" s="441"/>
      <c r="O50" s="445"/>
      <c r="P50" s="441"/>
    </row>
    <row r="51" spans="1:16" ht="63.75">
      <c r="A51" s="442">
        <v>36</v>
      </c>
      <c r="B51" s="427" t="s">
        <v>1054</v>
      </c>
      <c r="C51" s="4" t="s">
        <v>444</v>
      </c>
      <c r="D51" s="52">
        <v>100</v>
      </c>
      <c r="E51" s="413" t="s">
        <v>1055</v>
      </c>
      <c r="F51" s="4">
        <v>10.8</v>
      </c>
      <c r="G51" s="4"/>
      <c r="H51" s="4"/>
      <c r="I51" s="4"/>
      <c r="J51" s="4"/>
      <c r="K51" s="4"/>
      <c r="L51" s="416">
        <f>D51*F51</f>
        <v>1080</v>
      </c>
      <c r="M51" s="818"/>
    </row>
    <row r="52" spans="1:16" ht="63.75">
      <c r="A52" s="442">
        <v>37</v>
      </c>
      <c r="B52" s="427" t="s">
        <v>1056</v>
      </c>
      <c r="C52" s="4" t="s">
        <v>444</v>
      </c>
      <c r="D52" s="52">
        <v>50</v>
      </c>
      <c r="E52" s="413" t="s">
        <v>1057</v>
      </c>
      <c r="F52" s="4">
        <v>4.3</v>
      </c>
      <c r="G52" s="4"/>
      <c r="H52" s="4"/>
      <c r="I52" s="4"/>
      <c r="J52" s="4"/>
      <c r="K52" s="4"/>
      <c r="L52" s="416">
        <f>D52*F52</f>
        <v>215</v>
      </c>
      <c r="M52" s="818"/>
    </row>
    <row r="53" spans="1:16" ht="76.5">
      <c r="A53" s="442">
        <v>38</v>
      </c>
      <c r="B53" s="40" t="s">
        <v>446</v>
      </c>
      <c r="C53" s="47" t="s">
        <v>447</v>
      </c>
      <c r="D53" s="976">
        <f>L32+L33</f>
        <v>1575</v>
      </c>
      <c r="E53" s="419" t="s">
        <v>448</v>
      </c>
      <c r="F53" s="446">
        <v>0.1</v>
      </c>
      <c r="G53" s="447"/>
      <c r="H53" s="447"/>
      <c r="I53" s="447"/>
      <c r="J53" s="447"/>
      <c r="K53" s="444"/>
      <c r="L53" s="420">
        <f t="shared" si="1"/>
        <v>157.5</v>
      </c>
      <c r="M53" s="431"/>
    </row>
    <row r="54" spans="1:16" ht="76.5">
      <c r="A54" s="442">
        <v>39</v>
      </c>
      <c r="B54" s="413" t="s">
        <v>449</v>
      </c>
      <c r="C54" s="410" t="s">
        <v>447</v>
      </c>
      <c r="D54" s="420">
        <f>L44</f>
        <v>291.2</v>
      </c>
      <c r="E54" s="428" t="s">
        <v>450</v>
      </c>
      <c r="F54" s="448">
        <v>0.15</v>
      </c>
      <c r="G54" s="449"/>
      <c r="H54" s="449"/>
      <c r="I54" s="449"/>
      <c r="J54" s="449"/>
      <c r="K54" s="450"/>
      <c r="L54" s="416">
        <f t="shared" si="1"/>
        <v>43.68</v>
      </c>
      <c r="M54" s="431"/>
    </row>
    <row r="55" spans="1:16" ht="39" customHeight="1">
      <c r="A55" s="442">
        <v>40</v>
      </c>
      <c r="B55" s="413" t="s">
        <v>451</v>
      </c>
      <c r="C55" s="410" t="s">
        <v>447</v>
      </c>
      <c r="D55" s="976">
        <f>L34+L35+L36+L39+L38+L37+L40</f>
        <v>14728</v>
      </c>
      <c r="E55" s="428" t="s">
        <v>452</v>
      </c>
      <c r="F55" s="448">
        <v>0.15</v>
      </c>
      <c r="G55" s="449"/>
      <c r="H55" s="449"/>
      <c r="I55" s="449"/>
      <c r="J55" s="449"/>
      <c r="K55" s="450"/>
      <c r="L55" s="416">
        <f t="shared" si="1"/>
        <v>2209.1999999999998</v>
      </c>
      <c r="M55" s="431"/>
    </row>
    <row r="56" spans="1:16" ht="76.5">
      <c r="A56" s="442">
        <v>41</v>
      </c>
      <c r="B56" s="413" t="s">
        <v>453</v>
      </c>
      <c r="C56" s="410" t="s">
        <v>447</v>
      </c>
      <c r="D56" s="976">
        <f>L43</f>
        <v>780.8</v>
      </c>
      <c r="E56" s="413" t="s">
        <v>454</v>
      </c>
      <c r="F56" s="448">
        <v>0.12</v>
      </c>
      <c r="G56" s="449"/>
      <c r="H56" s="449"/>
      <c r="I56" s="449"/>
      <c r="J56" s="449"/>
      <c r="K56" s="450"/>
      <c r="L56" s="416">
        <f t="shared" si="1"/>
        <v>93.7</v>
      </c>
      <c r="M56" s="431"/>
    </row>
    <row r="57" spans="1:16" ht="38.25">
      <c r="A57" s="442">
        <v>42</v>
      </c>
      <c r="B57" s="413" t="s">
        <v>1146</v>
      </c>
      <c r="C57" s="410" t="s">
        <v>455</v>
      </c>
      <c r="D57" s="451">
        <v>1</v>
      </c>
      <c r="E57" s="413" t="s">
        <v>1147</v>
      </c>
      <c r="F57" s="452">
        <v>800</v>
      </c>
      <c r="G57" s="438">
        <v>1.4</v>
      </c>
      <c r="H57" s="449"/>
      <c r="I57" s="449"/>
      <c r="J57" s="449"/>
      <c r="K57" s="450"/>
      <c r="L57" s="416">
        <f>D57*F57*G57</f>
        <v>1120</v>
      </c>
      <c r="M57" s="431"/>
    </row>
    <row r="58" spans="1:16" ht="51">
      <c r="A58" s="442">
        <v>43</v>
      </c>
      <c r="B58" s="413" t="s">
        <v>456</v>
      </c>
      <c r="C58" s="410" t="s">
        <v>457</v>
      </c>
      <c r="D58" s="420">
        <f>L47+L48+L49+L50+L53+L54+L55+L56+L51+L52</f>
        <v>14318.64</v>
      </c>
      <c r="E58" s="413" t="s">
        <v>458</v>
      </c>
      <c r="F58" s="448">
        <v>0.22</v>
      </c>
      <c r="G58" s="438">
        <v>1.5</v>
      </c>
      <c r="H58" s="438"/>
      <c r="I58" s="438"/>
      <c r="J58" s="453"/>
      <c r="K58" s="453"/>
      <c r="L58" s="416">
        <f>D58*F58*G58</f>
        <v>4725.1499999999996</v>
      </c>
      <c r="M58" s="431"/>
    </row>
    <row r="59" spans="1:16">
      <c r="A59" s="454"/>
      <c r="B59" s="7" t="s">
        <v>459</v>
      </c>
      <c r="C59" s="410"/>
      <c r="D59" s="455"/>
      <c r="E59" s="414"/>
      <c r="F59" s="416"/>
      <c r="G59" s="449"/>
      <c r="H59" s="449"/>
      <c r="I59" s="449"/>
      <c r="J59" s="449"/>
      <c r="K59" s="450"/>
      <c r="L59" s="456">
        <f>D58+L57+L58</f>
        <v>20163.79</v>
      </c>
      <c r="M59" s="431"/>
    </row>
    <row r="60" spans="1:16">
      <c r="A60" s="1626" t="s">
        <v>460</v>
      </c>
      <c r="B60" s="1627"/>
      <c r="C60" s="1627"/>
      <c r="D60" s="1627"/>
      <c r="E60" s="1627"/>
      <c r="F60" s="1627"/>
      <c r="G60" s="1627"/>
      <c r="H60" s="1627"/>
      <c r="I60" s="1627"/>
      <c r="J60" s="1627"/>
      <c r="K60" s="1627"/>
      <c r="L60" s="1628"/>
      <c r="M60" s="457"/>
    </row>
    <row r="61" spans="1:16" ht="25.5">
      <c r="A61" s="436">
        <v>44</v>
      </c>
      <c r="B61" s="413" t="s">
        <v>461</v>
      </c>
      <c r="C61" s="410"/>
      <c r="D61" s="416">
        <f>L30</f>
        <v>209943.29</v>
      </c>
      <c r="E61" s="458" t="s">
        <v>462</v>
      </c>
      <c r="F61" s="459">
        <v>3.7499999999999999E-2</v>
      </c>
      <c r="G61" s="438"/>
      <c r="H61" s="460"/>
      <c r="I61" s="460"/>
      <c r="J61" s="460"/>
      <c r="K61" s="450"/>
      <c r="L61" s="416">
        <f>D61*F61</f>
        <v>7872.87</v>
      </c>
      <c r="M61" s="828"/>
      <c r="N61" s="829"/>
    </row>
    <row r="62" spans="1:16" ht="38.25">
      <c r="A62" s="436">
        <v>45</v>
      </c>
      <c r="B62" s="830" t="s">
        <v>1058</v>
      </c>
      <c r="C62" s="410"/>
      <c r="D62" s="416">
        <f>D61+L61</f>
        <v>217816.16</v>
      </c>
      <c r="E62" s="458" t="s">
        <v>463</v>
      </c>
      <c r="F62" s="461">
        <v>0.32200000000000001</v>
      </c>
      <c r="G62" s="438"/>
      <c r="H62" s="460"/>
      <c r="I62" s="460"/>
      <c r="J62" s="460"/>
      <c r="K62" s="450"/>
      <c r="L62" s="416">
        <f>D62*F62</f>
        <v>70136.800000000003</v>
      </c>
      <c r="M62" s="828"/>
    </row>
    <row r="63" spans="1:16" ht="25.5">
      <c r="A63" s="436">
        <v>46</v>
      </c>
      <c r="B63" s="413" t="s">
        <v>32</v>
      </c>
      <c r="C63" s="410"/>
      <c r="D63" s="416">
        <f>D61+L61</f>
        <v>217816.16</v>
      </c>
      <c r="E63" s="462" t="s">
        <v>464</v>
      </c>
      <c r="F63" s="448">
        <v>0.06</v>
      </c>
      <c r="G63" s="438">
        <v>2.5</v>
      </c>
      <c r="H63" s="460"/>
      <c r="I63" s="460"/>
      <c r="J63" s="460"/>
      <c r="K63" s="450"/>
      <c r="L63" s="416">
        <f>D63*F63*G63</f>
        <v>32672.42</v>
      </c>
      <c r="M63" s="828"/>
    </row>
    <row r="64" spans="1:16" ht="25.5">
      <c r="A64" s="436">
        <v>47</v>
      </c>
      <c r="B64" s="413" t="s">
        <v>806</v>
      </c>
      <c r="C64" s="410" t="s">
        <v>807</v>
      </c>
      <c r="D64" s="416">
        <v>20</v>
      </c>
      <c r="E64" s="462" t="s">
        <v>808</v>
      </c>
      <c r="F64" s="416">
        <v>172</v>
      </c>
      <c r="G64" s="438"/>
      <c r="H64" s="460"/>
      <c r="I64" s="460"/>
      <c r="J64" s="460"/>
      <c r="K64" s="450"/>
      <c r="L64" s="416">
        <f>D64*F64</f>
        <v>3440</v>
      </c>
      <c r="M64" s="828"/>
    </row>
    <row r="65" spans="1:14">
      <c r="A65" s="454"/>
      <c r="B65" s="463" t="s">
        <v>465</v>
      </c>
      <c r="C65" s="410"/>
      <c r="D65" s="455"/>
      <c r="E65" s="414"/>
      <c r="F65" s="416"/>
      <c r="G65" s="414"/>
      <c r="H65" s="414"/>
      <c r="I65" s="414"/>
      <c r="J65" s="414"/>
      <c r="K65" s="450"/>
      <c r="L65" s="456">
        <f>SUM(L61:L64)</f>
        <v>114122.09</v>
      </c>
      <c r="M65" s="828"/>
    </row>
    <row r="66" spans="1:14" s="831" customFormat="1">
      <c r="A66" s="464"/>
      <c r="B66" s="463" t="s">
        <v>466</v>
      </c>
      <c r="C66" s="463"/>
      <c r="D66" s="436"/>
      <c r="E66" s="465"/>
      <c r="F66" s="465"/>
      <c r="G66" s="465"/>
      <c r="H66" s="465"/>
      <c r="I66" s="465"/>
      <c r="J66" s="465"/>
      <c r="K66" s="466"/>
      <c r="L66" s="467">
        <f>L30+L45+L59+L65</f>
        <v>362595.97</v>
      </c>
      <c r="M66" s="828"/>
    </row>
    <row r="67" spans="1:14">
      <c r="A67" s="468"/>
      <c r="B67" s="1632" t="s">
        <v>1140</v>
      </c>
      <c r="C67" s="1633"/>
      <c r="D67" s="1633"/>
      <c r="E67" s="1633"/>
      <c r="F67" s="1633"/>
      <c r="G67" s="1633"/>
      <c r="H67" s="1633"/>
      <c r="I67" s="1633"/>
      <c r="J67" s="1634"/>
      <c r="K67" s="469">
        <v>58.26</v>
      </c>
      <c r="L67" s="470">
        <f>L66*K67</f>
        <v>21124841.210000001</v>
      </c>
      <c r="M67" s="827"/>
    </row>
    <row r="68" spans="1:14">
      <c r="A68" s="429"/>
      <c r="B68" s="1618" t="s">
        <v>467</v>
      </c>
      <c r="C68" s="1619"/>
      <c r="D68" s="1619"/>
      <c r="E68" s="1619"/>
      <c r="F68" s="1619"/>
      <c r="G68" s="1619"/>
      <c r="H68" s="1619"/>
      <c r="I68" s="1619"/>
      <c r="J68" s="1619"/>
      <c r="K68" s="1620"/>
      <c r="L68" s="467">
        <f>L67*0.2</f>
        <v>4224968.24</v>
      </c>
      <c r="M68" s="48"/>
    </row>
    <row r="69" spans="1:14">
      <c r="A69" s="454"/>
      <c r="B69" s="832" t="s">
        <v>298</v>
      </c>
      <c r="C69" s="833"/>
      <c r="D69" s="834"/>
      <c r="E69" s="835"/>
      <c r="F69" s="835"/>
      <c r="G69" s="835"/>
      <c r="H69" s="835"/>
      <c r="I69" s="835"/>
      <c r="J69" s="835"/>
      <c r="K69" s="836"/>
      <c r="L69" s="837">
        <f>L67+L68</f>
        <v>25349809.449999999</v>
      </c>
      <c r="M69" s="48"/>
    </row>
    <row r="70" spans="1:14">
      <c r="A70" s="454"/>
      <c r="B70" s="832" t="s">
        <v>468</v>
      </c>
      <c r="C70" s="833"/>
      <c r="D70" s="834"/>
      <c r="E70" s="835"/>
      <c r="F70" s="835"/>
      <c r="G70" s="835"/>
      <c r="H70" s="835"/>
      <c r="I70" s="835"/>
      <c r="J70" s="835"/>
      <c r="K70" s="836"/>
      <c r="L70" s="837">
        <f>L69*1.1</f>
        <v>27884790.399999999</v>
      </c>
      <c r="M70" s="48"/>
    </row>
    <row r="71" spans="1:14" s="478" customFormat="1" ht="12.75">
      <c r="A71" s="471"/>
      <c r="B71" s="472"/>
      <c r="C71" s="473"/>
      <c r="D71" s="474"/>
      <c r="E71" s="472"/>
      <c r="F71" s="472"/>
      <c r="G71" s="472"/>
      <c r="H71" s="472"/>
      <c r="I71" s="472"/>
      <c r="J71" s="472"/>
      <c r="K71" s="475"/>
      <c r="L71" s="476"/>
      <c r="M71" s="6"/>
      <c r="N71" s="477"/>
    </row>
    <row r="72" spans="1:14">
      <c r="A72" s="479"/>
      <c r="B72" s="479"/>
      <c r="C72" s="479"/>
      <c r="D72" s="479"/>
      <c r="E72" s="480"/>
      <c r="F72" s="480"/>
      <c r="G72" s="480"/>
      <c r="H72" s="481"/>
      <c r="I72" s="481"/>
      <c r="J72" s="481"/>
      <c r="K72" s="482"/>
      <c r="L72" s="483"/>
      <c r="M72" s="484"/>
    </row>
    <row r="73" spans="1:14">
      <c r="L73" s="838"/>
    </row>
    <row r="74" spans="1:14">
      <c r="L74" s="829"/>
    </row>
    <row r="76" spans="1:14">
      <c r="A76" s="839"/>
      <c r="B76" s="839"/>
      <c r="C76" s="839"/>
      <c r="D76" s="839"/>
      <c r="E76" s="839"/>
      <c r="F76" s="839"/>
      <c r="G76" s="839"/>
      <c r="H76" s="839"/>
      <c r="I76" s="839"/>
    </row>
    <row r="77" spans="1:14">
      <c r="A77" s="839"/>
      <c r="B77" s="839"/>
      <c r="C77" s="839"/>
      <c r="D77" s="839"/>
      <c r="E77" s="839"/>
      <c r="F77" s="839"/>
      <c r="G77" s="839"/>
      <c r="H77" s="839"/>
      <c r="I77" s="839"/>
    </row>
    <row r="78" spans="1:14">
      <c r="A78" s="839"/>
      <c r="B78" s="839"/>
      <c r="C78" s="839"/>
      <c r="D78" s="839"/>
      <c r="E78" s="839"/>
      <c r="F78" s="839"/>
      <c r="G78" s="839"/>
      <c r="H78" s="839"/>
      <c r="I78" s="839"/>
    </row>
    <row r="79" spans="1:14">
      <c r="A79" s="839"/>
      <c r="B79" s="839"/>
      <c r="C79" s="839"/>
      <c r="D79" s="839"/>
      <c r="E79" s="839"/>
      <c r="F79" s="839"/>
      <c r="G79" s="839"/>
      <c r="H79" s="839"/>
      <c r="I79" s="839"/>
    </row>
  </sheetData>
  <mergeCells count="21">
    <mergeCell ref="B68:K68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1:L31"/>
    <mergeCell ref="A46:L46"/>
    <mergeCell ref="A60:L60"/>
    <mergeCell ref="B67:J67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9"/>
  <sheetViews>
    <sheetView topLeftCell="A22" zoomScale="102" zoomScaleNormal="102" workbookViewId="0">
      <selection activeCell="L42" sqref="L42"/>
    </sheetView>
  </sheetViews>
  <sheetFormatPr defaultRowHeight="15"/>
  <cols>
    <col min="1" max="1" width="4.140625" customWidth="1"/>
    <col min="2" max="2" width="34.7109375" customWidth="1"/>
    <col min="3" max="3" width="8.140625" customWidth="1"/>
    <col min="4" max="4" width="8" customWidth="1"/>
    <col min="5" max="5" width="32.7109375" customWidth="1"/>
    <col min="6" max="6" width="7.42578125" customWidth="1"/>
    <col min="7" max="7" width="6.28515625" customWidth="1"/>
    <col min="8" max="8" width="5.42578125" customWidth="1"/>
    <col min="9" max="9" width="5.7109375" customWidth="1"/>
    <col min="10" max="10" width="4.42578125" customWidth="1"/>
    <col min="11" max="11" width="7.85546875" customWidth="1"/>
    <col min="12" max="12" width="11.140625" customWidth="1"/>
    <col min="13" max="13" width="6.5703125" style="89" customWidth="1"/>
    <col min="14" max="14" width="23" style="89" customWidth="1"/>
    <col min="15" max="16" width="9.140625" style="89"/>
    <col min="17" max="17" width="30.85546875" style="89" customWidth="1"/>
    <col min="18" max="23" width="9.140625" style="89"/>
    <col min="24" max="24" width="16.28515625" style="89" customWidth="1"/>
    <col min="25" max="25" width="51.5703125" customWidth="1"/>
    <col min="27" max="27" width="28.85546875" customWidth="1"/>
    <col min="28" max="28" width="11.7109375" customWidth="1"/>
    <col min="30" max="30" width="30.42578125" customWidth="1"/>
    <col min="37" max="37" width="11.85546875" customWidth="1"/>
  </cols>
  <sheetData>
    <row r="1" spans="1:24">
      <c r="A1" s="1640" t="s">
        <v>136</v>
      </c>
      <c r="B1" s="1640"/>
      <c r="C1" s="1640"/>
      <c r="D1" s="1640"/>
      <c r="E1" s="1640"/>
      <c r="F1" s="1640"/>
      <c r="G1" s="1640"/>
      <c r="H1" s="1640"/>
      <c r="I1" s="1640"/>
      <c r="J1" s="1640"/>
      <c r="K1" s="1640"/>
      <c r="L1" s="1640"/>
    </row>
    <row r="3" spans="1:24">
      <c r="A3" s="1643" t="s">
        <v>469</v>
      </c>
      <c r="B3" s="1643"/>
      <c r="C3" s="1643"/>
      <c r="D3" s="1643"/>
      <c r="E3" s="1643"/>
      <c r="F3" s="1643"/>
      <c r="G3" s="1643"/>
      <c r="H3" s="1643"/>
      <c r="I3" s="1643"/>
      <c r="J3" s="1643"/>
      <c r="K3" s="1643"/>
      <c r="L3" s="1643"/>
      <c r="M3" s="6"/>
      <c r="N3" s="6"/>
      <c r="O3" s="6"/>
      <c r="P3" s="1301"/>
      <c r="Q3" s="1635"/>
      <c r="R3" s="1635"/>
      <c r="S3" s="1635"/>
      <c r="T3" s="1635"/>
      <c r="U3" s="6"/>
      <c r="V3" s="6"/>
      <c r="W3" s="6"/>
      <c r="X3" s="6"/>
    </row>
    <row r="4" spans="1:24" ht="29.45" customHeight="1">
      <c r="A4" s="1644" t="s">
        <v>1049</v>
      </c>
      <c r="B4" s="1644"/>
      <c r="C4" s="1644"/>
      <c r="D4" s="1644"/>
      <c r="E4" s="1644"/>
      <c r="F4" s="1644"/>
      <c r="G4" s="1644"/>
      <c r="H4" s="1644"/>
      <c r="I4" s="1644"/>
      <c r="J4" s="1644"/>
      <c r="K4" s="1644"/>
      <c r="L4" s="164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>
      <c r="A5" s="939" t="s">
        <v>368</v>
      </c>
      <c r="B5" s="940"/>
      <c r="C5" s="940"/>
      <c r="D5" s="939"/>
      <c r="E5" s="940"/>
      <c r="F5" s="940"/>
      <c r="G5" s="940"/>
      <c r="H5" s="940"/>
      <c r="I5" s="940"/>
      <c r="J5" s="940"/>
      <c r="K5" s="940"/>
      <c r="L5" s="940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>
      <c r="A6" s="939" t="s">
        <v>212</v>
      </c>
      <c r="B6" s="940"/>
      <c r="C6" s="940"/>
      <c r="D6" s="939" t="s">
        <v>1136</v>
      </c>
      <c r="E6" s="940"/>
      <c r="F6" s="940"/>
      <c r="G6" s="940"/>
      <c r="H6" s="940"/>
      <c r="I6" s="940"/>
      <c r="J6" s="940"/>
      <c r="K6" s="940"/>
      <c r="L6" s="940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>
      <c r="A7" s="485" t="s">
        <v>470</v>
      </c>
      <c r="B7" s="486"/>
      <c r="C7" s="486"/>
      <c r="D7" s="487"/>
      <c r="E7" s="486"/>
      <c r="F7" s="486"/>
      <c r="G7" s="486"/>
      <c r="H7" s="486"/>
      <c r="I7" s="486"/>
      <c r="J7" s="486"/>
      <c r="K7" s="486"/>
      <c r="L7" s="488"/>
      <c r="M7" s="485"/>
      <c r="N7" s="486"/>
      <c r="O7" s="486"/>
      <c r="P7" s="487"/>
      <c r="Q7" s="486"/>
      <c r="R7" s="486"/>
      <c r="S7" s="486"/>
      <c r="T7" s="486"/>
      <c r="U7" s="486"/>
      <c r="V7" s="486"/>
      <c r="W7" s="486"/>
      <c r="X7" s="488"/>
    </row>
    <row r="8" spans="1:24" ht="15" customHeight="1">
      <c r="A8" s="1638" t="s">
        <v>17</v>
      </c>
      <c r="B8" s="1638" t="s">
        <v>18</v>
      </c>
      <c r="C8" s="1638" t="s">
        <v>19</v>
      </c>
      <c r="D8" s="1638" t="s">
        <v>20</v>
      </c>
      <c r="E8" s="1638" t="s">
        <v>21</v>
      </c>
      <c r="F8" s="1638" t="s">
        <v>22</v>
      </c>
      <c r="G8" s="1638"/>
      <c r="H8" s="1638"/>
      <c r="I8" s="1638"/>
      <c r="J8" s="1638"/>
      <c r="K8" s="1639"/>
      <c r="L8" s="1638" t="s">
        <v>23</v>
      </c>
    </row>
    <row r="9" spans="1:24" ht="24">
      <c r="A9" s="1639"/>
      <c r="B9" s="1639"/>
      <c r="C9" s="1639"/>
      <c r="D9" s="1639"/>
      <c r="E9" s="1639"/>
      <c r="F9" s="772" t="s">
        <v>24</v>
      </c>
      <c r="G9" s="772" t="s">
        <v>25</v>
      </c>
      <c r="H9" s="772" t="s">
        <v>26</v>
      </c>
      <c r="I9" s="772" t="s">
        <v>27</v>
      </c>
      <c r="J9" s="772" t="s">
        <v>28</v>
      </c>
      <c r="K9" s="772" t="s">
        <v>29</v>
      </c>
      <c r="L9" s="1639"/>
    </row>
    <row r="10" spans="1:24">
      <c r="A10" s="489">
        <v>1</v>
      </c>
      <c r="B10" s="489">
        <v>2</v>
      </c>
      <c r="C10" s="489">
        <v>3</v>
      </c>
      <c r="D10" s="489">
        <v>4</v>
      </c>
      <c r="E10" s="489">
        <v>5</v>
      </c>
      <c r="F10" s="489">
        <v>6</v>
      </c>
      <c r="G10" s="489">
        <v>7</v>
      </c>
      <c r="H10" s="489">
        <v>8</v>
      </c>
      <c r="I10" s="489">
        <v>9</v>
      </c>
      <c r="J10" s="489">
        <v>10</v>
      </c>
      <c r="K10" s="489">
        <v>11</v>
      </c>
      <c r="L10" s="489">
        <v>12</v>
      </c>
    </row>
    <row r="11" spans="1:24">
      <c r="A11" s="1641" t="s">
        <v>30</v>
      </c>
      <c r="B11" s="1641"/>
      <c r="C11" s="1641"/>
      <c r="D11" s="1641"/>
      <c r="E11" s="1641"/>
      <c r="F11" s="1641"/>
      <c r="G11" s="1641"/>
      <c r="H11" s="1641"/>
      <c r="I11" s="1641"/>
      <c r="J11" s="1641"/>
      <c r="K11" s="1641"/>
      <c r="L11" s="1641"/>
    </row>
    <row r="12" spans="1:24">
      <c r="A12" s="1642" t="s">
        <v>471</v>
      </c>
      <c r="B12" s="1642"/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</row>
    <row r="13" spans="1:24" ht="122.25" customHeight="1">
      <c r="A13" s="490">
        <v>1</v>
      </c>
      <c r="B13" s="491" t="s">
        <v>472</v>
      </c>
      <c r="C13" s="492" t="s">
        <v>473</v>
      </c>
      <c r="D13" s="492">
        <v>160</v>
      </c>
      <c r="E13" s="491" t="s">
        <v>474</v>
      </c>
      <c r="F13" s="492">
        <v>26</v>
      </c>
      <c r="G13" s="492">
        <v>1.08</v>
      </c>
      <c r="H13" s="492">
        <v>1.21</v>
      </c>
      <c r="I13" s="492">
        <v>1.1000000000000001</v>
      </c>
      <c r="J13" s="492">
        <v>1.25</v>
      </c>
      <c r="K13" s="493">
        <v>1.2</v>
      </c>
      <c r="L13" s="494">
        <f>D13*F13*G13*H13*I13*J13*1.2</f>
        <v>8969.8799999999992</v>
      </c>
    </row>
    <row r="14" spans="1:24" ht="163.5" customHeight="1">
      <c r="A14" s="490">
        <v>2</v>
      </c>
      <c r="B14" s="491" t="s">
        <v>475</v>
      </c>
      <c r="C14" s="492" t="s">
        <v>473</v>
      </c>
      <c r="D14" s="492">
        <v>240</v>
      </c>
      <c r="E14" s="491" t="s">
        <v>476</v>
      </c>
      <c r="F14" s="492">
        <v>18</v>
      </c>
      <c r="G14" s="492">
        <v>1.08</v>
      </c>
      <c r="H14" s="492">
        <v>1.21</v>
      </c>
      <c r="I14" s="492">
        <v>1.2</v>
      </c>
      <c r="J14" s="492">
        <v>1.2</v>
      </c>
      <c r="K14" s="492"/>
      <c r="L14" s="494">
        <f>D14*F14*G14*H14*I14*J14</f>
        <v>8129.34</v>
      </c>
    </row>
    <row r="15" spans="1:24" ht="111" customHeight="1">
      <c r="A15" s="490">
        <v>3</v>
      </c>
      <c r="B15" s="491" t="s">
        <v>477</v>
      </c>
      <c r="C15" s="492" t="s">
        <v>478</v>
      </c>
      <c r="D15" s="492">
        <v>10</v>
      </c>
      <c r="E15" s="495" t="s">
        <v>479</v>
      </c>
      <c r="F15" s="492">
        <v>11</v>
      </c>
      <c r="G15" s="492">
        <v>1.08</v>
      </c>
      <c r="H15" s="492">
        <v>1.21</v>
      </c>
      <c r="I15" s="492">
        <v>1.2</v>
      </c>
      <c r="J15" s="492">
        <v>1.2</v>
      </c>
      <c r="K15" s="492"/>
      <c r="L15" s="494">
        <f>D15*F15*G15*H15*I15*J15</f>
        <v>207</v>
      </c>
    </row>
    <row r="16" spans="1:24" ht="103.5" customHeight="1">
      <c r="A16" s="490">
        <v>4</v>
      </c>
      <c r="B16" s="491" t="s">
        <v>480</v>
      </c>
      <c r="C16" s="492" t="s">
        <v>478</v>
      </c>
      <c r="D16" s="492">
        <v>10</v>
      </c>
      <c r="E16" s="495" t="s">
        <v>481</v>
      </c>
      <c r="F16" s="492">
        <v>40</v>
      </c>
      <c r="G16" s="492">
        <v>1.08</v>
      </c>
      <c r="H16" s="492">
        <v>1.21</v>
      </c>
      <c r="I16" s="492">
        <v>1.2</v>
      </c>
      <c r="J16" s="492"/>
      <c r="K16" s="492"/>
      <c r="L16" s="494">
        <f>D16*F16*G16*H16*I16</f>
        <v>627.26</v>
      </c>
    </row>
    <row r="17" spans="1:12" ht="70.900000000000006" customHeight="1">
      <c r="A17" s="490">
        <v>5</v>
      </c>
      <c r="B17" s="840" t="s">
        <v>1059</v>
      </c>
      <c r="C17" s="489" t="s">
        <v>482</v>
      </c>
      <c r="D17" s="496">
        <v>1840</v>
      </c>
      <c r="E17" s="495" t="s">
        <v>483</v>
      </c>
      <c r="F17" s="497">
        <v>1.2</v>
      </c>
      <c r="G17" s="498">
        <v>1.08</v>
      </c>
      <c r="H17" s="498">
        <v>1.21</v>
      </c>
      <c r="I17" s="498"/>
      <c r="J17" s="499"/>
      <c r="K17" s="492"/>
      <c r="L17" s="494">
        <f>D17*F17*G17*H17</f>
        <v>2885.41</v>
      </c>
    </row>
    <row r="18" spans="1:12" ht="22.5" customHeight="1">
      <c r="A18" s="500"/>
      <c r="B18" s="501" t="s">
        <v>31</v>
      </c>
      <c r="C18" s="501"/>
      <c r="D18" s="502"/>
      <c r="E18" s="503"/>
      <c r="F18" s="503"/>
      <c r="G18" s="503"/>
      <c r="H18" s="503"/>
      <c r="I18" s="503"/>
      <c r="J18" s="503"/>
      <c r="K18" s="503"/>
      <c r="L18" s="841">
        <f>SUM(L13:L17)</f>
        <v>20818.89</v>
      </c>
    </row>
    <row r="19" spans="1:12" ht="27" customHeight="1">
      <c r="A19" s="500"/>
      <c r="B19" s="504" t="s">
        <v>809</v>
      </c>
      <c r="C19" s="501"/>
      <c r="D19" s="502"/>
      <c r="E19" s="505" t="s">
        <v>484</v>
      </c>
      <c r="F19" s="506">
        <f>L18</f>
        <v>20818.89</v>
      </c>
      <c r="G19" s="507">
        <v>0.25</v>
      </c>
      <c r="H19" s="503"/>
      <c r="I19" s="503"/>
      <c r="J19" s="503"/>
      <c r="K19" s="503"/>
      <c r="L19" s="841">
        <f>F19*G19</f>
        <v>5204.72</v>
      </c>
    </row>
    <row r="20" spans="1:12" ht="27" customHeight="1">
      <c r="A20" s="500"/>
      <c r="B20" s="504" t="s">
        <v>805</v>
      </c>
      <c r="C20" s="501"/>
      <c r="D20" s="502"/>
      <c r="E20" s="505" t="s">
        <v>810</v>
      </c>
      <c r="F20" s="506">
        <f>L18+L19</f>
        <v>26023.61</v>
      </c>
      <c r="G20" s="507">
        <v>0.4</v>
      </c>
      <c r="H20" s="503"/>
      <c r="I20" s="503"/>
      <c r="J20" s="503"/>
      <c r="K20" s="503"/>
      <c r="L20" s="841">
        <f>F20*G20</f>
        <v>10409.44</v>
      </c>
    </row>
    <row r="21" spans="1:12" ht="21.75" customHeight="1">
      <c r="A21" s="508"/>
      <c r="B21" s="501" t="s">
        <v>31</v>
      </c>
      <c r="C21" s="501"/>
      <c r="D21" s="502"/>
      <c r="E21" s="503"/>
      <c r="F21" s="503"/>
      <c r="G21" s="503"/>
      <c r="H21" s="503"/>
      <c r="I21" s="503"/>
      <c r="J21" s="503"/>
      <c r="K21" s="503"/>
      <c r="L21" s="841">
        <f>SUM(L18:L20)</f>
        <v>36433.050000000003</v>
      </c>
    </row>
    <row r="22" spans="1:12">
      <c r="A22" s="1636" t="s">
        <v>440</v>
      </c>
      <c r="B22" s="1636"/>
      <c r="C22" s="1636"/>
      <c r="D22" s="1636"/>
      <c r="E22" s="1636"/>
      <c r="F22" s="1636"/>
      <c r="G22" s="1636"/>
      <c r="H22" s="1636"/>
      <c r="I22" s="1636"/>
      <c r="J22" s="1636"/>
      <c r="K22" s="1636"/>
      <c r="L22" s="1636"/>
    </row>
    <row r="23" spans="1:12" ht="81" customHeight="1">
      <c r="A23" s="508">
        <v>6</v>
      </c>
      <c r="B23" s="504" t="s">
        <v>485</v>
      </c>
      <c r="C23" s="505" t="s">
        <v>486</v>
      </c>
      <c r="D23" s="509">
        <v>320</v>
      </c>
      <c r="E23" s="503" t="s">
        <v>487</v>
      </c>
      <c r="F23" s="510">
        <v>13</v>
      </c>
      <c r="G23" s="503">
        <v>1.08</v>
      </c>
      <c r="H23" s="503">
        <v>1.21</v>
      </c>
      <c r="I23" s="503">
        <v>1.1499999999999999</v>
      </c>
      <c r="J23" s="503"/>
      <c r="K23" s="503"/>
      <c r="L23" s="510">
        <f>D23*F23*H23*G23*I23</f>
        <v>6251.73</v>
      </c>
    </row>
    <row r="24" spans="1:12" ht="81" customHeight="1">
      <c r="A24" s="508">
        <v>7</v>
      </c>
      <c r="B24" s="504" t="s">
        <v>488</v>
      </c>
      <c r="C24" s="505" t="s">
        <v>489</v>
      </c>
      <c r="D24" s="509">
        <v>10</v>
      </c>
      <c r="E24" s="503" t="s">
        <v>490</v>
      </c>
      <c r="F24" s="510">
        <v>43</v>
      </c>
      <c r="G24" s="503">
        <v>1.08</v>
      </c>
      <c r="H24" s="503">
        <v>1.21</v>
      </c>
      <c r="I24" s="503">
        <v>1.1499999999999999</v>
      </c>
      <c r="J24" s="511"/>
      <c r="K24" s="503"/>
      <c r="L24" s="510">
        <f>D24*F24*G24*H24*I24</f>
        <v>646.21</v>
      </c>
    </row>
    <row r="25" spans="1:12" ht="36">
      <c r="A25" s="508">
        <v>8</v>
      </c>
      <c r="B25" s="495" t="s">
        <v>491</v>
      </c>
      <c r="C25" s="489" t="s">
        <v>492</v>
      </c>
      <c r="D25" s="842">
        <v>1</v>
      </c>
      <c r="E25" s="512" t="s">
        <v>493</v>
      </c>
      <c r="F25" s="513">
        <v>400</v>
      </c>
      <c r="G25" s="492">
        <v>1.1499999999999999</v>
      </c>
      <c r="H25" s="492"/>
      <c r="I25" s="514"/>
      <c r="J25" s="514"/>
      <c r="K25" s="515"/>
      <c r="L25" s="513">
        <f>F25*D25*G25</f>
        <v>460</v>
      </c>
    </row>
    <row r="26" spans="1:12" ht="50.25" customHeight="1">
      <c r="A26" s="508">
        <v>9</v>
      </c>
      <c r="B26" s="495" t="s">
        <v>494</v>
      </c>
      <c r="C26" s="489" t="s">
        <v>457</v>
      </c>
      <c r="D26" s="513">
        <f>L23+L24</f>
        <v>6897.94</v>
      </c>
      <c r="E26" s="512" t="s">
        <v>495</v>
      </c>
      <c r="F26" s="493" t="s">
        <v>496</v>
      </c>
      <c r="G26" s="516">
        <v>1.2</v>
      </c>
      <c r="H26" s="492">
        <v>1.1499999999999999</v>
      </c>
      <c r="I26" s="773"/>
      <c r="J26" s="773"/>
      <c r="K26" s="773"/>
      <c r="L26" s="513">
        <f>1*(1000+D26*0.1)*G26*H26</f>
        <v>2331.92</v>
      </c>
    </row>
    <row r="27" spans="1:12" ht="12.75" customHeight="1">
      <c r="A27" s="517"/>
      <c r="B27" s="518" t="s">
        <v>459</v>
      </c>
      <c r="C27" s="489"/>
      <c r="D27" s="519"/>
      <c r="E27" s="497"/>
      <c r="F27" s="494"/>
      <c r="G27" s="514"/>
      <c r="H27" s="514"/>
      <c r="I27" s="514"/>
      <c r="J27" s="514"/>
      <c r="K27" s="515"/>
      <c r="L27" s="843">
        <f>SUM(L23:L26)</f>
        <v>9689.86</v>
      </c>
    </row>
    <row r="28" spans="1:12">
      <c r="A28" s="1636" t="s">
        <v>460</v>
      </c>
      <c r="B28" s="1636"/>
      <c r="C28" s="1636"/>
      <c r="D28" s="1636"/>
      <c r="E28" s="1636"/>
      <c r="F28" s="1636"/>
      <c r="G28" s="1636"/>
      <c r="H28" s="1636"/>
      <c r="I28" s="1636"/>
      <c r="J28" s="1636"/>
      <c r="K28" s="1636"/>
      <c r="L28" s="1636"/>
    </row>
    <row r="29" spans="1:12" ht="36.75" customHeight="1">
      <c r="A29" s="490">
        <v>10</v>
      </c>
      <c r="B29" s="495" t="s">
        <v>497</v>
      </c>
      <c r="C29" s="489"/>
      <c r="D29" s="513">
        <f>L21</f>
        <v>36433.050000000003</v>
      </c>
      <c r="E29" s="520" t="s">
        <v>498</v>
      </c>
      <c r="F29" s="521">
        <v>0.04</v>
      </c>
      <c r="G29" s="489">
        <v>1.25</v>
      </c>
      <c r="H29" s="522"/>
      <c r="I29" s="522"/>
      <c r="J29" s="522"/>
      <c r="K29" s="515"/>
      <c r="L29" s="513">
        <f>D29*F29*G29</f>
        <v>1821.65</v>
      </c>
    </row>
    <row r="30" spans="1:12" ht="37.15" customHeight="1">
      <c r="A30" s="508">
        <v>11</v>
      </c>
      <c r="B30" s="708" t="s">
        <v>499</v>
      </c>
      <c r="C30" s="505"/>
      <c r="D30" s="510">
        <f>L21+L29</f>
        <v>38254.699999999997</v>
      </c>
      <c r="E30" s="523" t="s">
        <v>500</v>
      </c>
      <c r="F30" s="521">
        <v>0.26</v>
      </c>
      <c r="G30" s="516">
        <v>1.4</v>
      </c>
      <c r="H30" s="524"/>
      <c r="I30" s="524"/>
      <c r="J30" s="524"/>
      <c r="K30" s="525"/>
      <c r="L30" s="510">
        <f>D30*F30*G30</f>
        <v>13924.71</v>
      </c>
    </row>
    <row r="31" spans="1:12" ht="21" customHeight="1">
      <c r="A31" s="490">
        <v>12</v>
      </c>
      <c r="B31" s="495" t="s">
        <v>501</v>
      </c>
      <c r="C31" s="489"/>
      <c r="D31" s="513">
        <f>L21+L29</f>
        <v>38254.699999999997</v>
      </c>
      <c r="E31" s="520" t="s">
        <v>502</v>
      </c>
      <c r="F31" s="526">
        <v>0.06</v>
      </c>
      <c r="G31" s="516"/>
      <c r="H31" s="522"/>
      <c r="I31" s="522"/>
      <c r="J31" s="522"/>
      <c r="K31" s="515"/>
      <c r="L31" s="513">
        <f>D31*F31</f>
        <v>2295.2800000000002</v>
      </c>
    </row>
    <row r="32" spans="1:12" ht="24" customHeight="1">
      <c r="A32" s="508">
        <v>13</v>
      </c>
      <c r="B32" s="495" t="s">
        <v>503</v>
      </c>
      <c r="C32" s="489"/>
      <c r="D32" s="513">
        <f>D30</f>
        <v>38254.699999999997</v>
      </c>
      <c r="E32" s="520" t="s">
        <v>502</v>
      </c>
      <c r="F32" s="526">
        <v>0.05</v>
      </c>
      <c r="G32" s="527"/>
      <c r="H32" s="522"/>
      <c r="I32" s="522"/>
      <c r="J32" s="522"/>
      <c r="K32" s="515"/>
      <c r="L32" s="513">
        <f>D32*F32</f>
        <v>1912.74</v>
      </c>
    </row>
    <row r="33" spans="1:25" ht="72">
      <c r="A33" s="508">
        <v>14</v>
      </c>
      <c r="B33" s="495" t="s">
        <v>504</v>
      </c>
      <c r="C33" s="489"/>
      <c r="D33" s="513">
        <f>L21+L27+L29</f>
        <v>47944.56</v>
      </c>
      <c r="E33" s="520" t="s">
        <v>505</v>
      </c>
      <c r="F33" s="526">
        <v>0.05</v>
      </c>
      <c r="G33" s="527"/>
      <c r="H33" s="522"/>
      <c r="I33" s="522"/>
      <c r="J33" s="522"/>
      <c r="K33" s="515"/>
      <c r="L33" s="513">
        <f>D33*F33</f>
        <v>2397.23</v>
      </c>
    </row>
    <row r="34" spans="1:25" ht="21.75" customHeight="1">
      <c r="A34" s="500"/>
      <c r="B34" s="707" t="s">
        <v>42</v>
      </c>
      <c r="C34" s="508"/>
      <c r="D34" s="528"/>
      <c r="E34" s="529"/>
      <c r="F34" s="530"/>
      <c r="G34" s="531"/>
      <c r="H34" s="532"/>
      <c r="I34" s="532"/>
      <c r="J34" s="532"/>
      <c r="K34" s="533"/>
      <c r="L34" s="844">
        <f>SUM(L29:L33)</f>
        <v>22351.61</v>
      </c>
    </row>
    <row r="35" spans="1:25" ht="21.75" customHeight="1">
      <c r="A35" s="534"/>
      <c r="B35" s="535" t="s">
        <v>466</v>
      </c>
      <c r="C35" s="535"/>
      <c r="D35" s="536"/>
      <c r="E35" s="537"/>
      <c r="F35" s="537"/>
      <c r="G35" s="537"/>
      <c r="H35" s="537"/>
      <c r="I35" s="537"/>
      <c r="J35" s="537"/>
      <c r="K35" s="538"/>
      <c r="L35" s="844">
        <f>L21+L27+L34</f>
        <v>68474.52</v>
      </c>
    </row>
    <row r="36" spans="1:25">
      <c r="A36" s="845"/>
      <c r="B36" s="1637" t="s">
        <v>1140</v>
      </c>
      <c r="C36" s="1637"/>
      <c r="D36" s="1637"/>
      <c r="E36" s="1637"/>
      <c r="F36" s="1637"/>
      <c r="G36" s="846"/>
      <c r="H36" s="846"/>
      <c r="I36" s="846"/>
      <c r="J36" s="846"/>
      <c r="K36" s="847">
        <v>70.489999999999995</v>
      </c>
      <c r="L36" s="844">
        <f>L35*K36</f>
        <v>4826768.91</v>
      </c>
    </row>
    <row r="37" spans="1:25">
      <c r="A37" s="848"/>
      <c r="B37" s="849" t="s">
        <v>467</v>
      </c>
      <c r="C37" s="850"/>
      <c r="D37" s="534"/>
      <c r="E37" s="851"/>
      <c r="F37" s="851"/>
      <c r="G37" s="851"/>
      <c r="H37" s="851"/>
      <c r="I37" s="851"/>
      <c r="J37" s="851"/>
      <c r="K37" s="852"/>
      <c r="L37" s="844">
        <f>L36*0.2</f>
        <v>965353.78</v>
      </c>
    </row>
    <row r="38" spans="1:25">
      <c r="A38" s="848"/>
      <c r="B38" s="849" t="s">
        <v>1141</v>
      </c>
      <c r="C38" s="850"/>
      <c r="D38" s="534"/>
      <c r="E38" s="851"/>
      <c r="F38" s="851"/>
      <c r="G38" s="851"/>
      <c r="H38" s="851"/>
      <c r="I38" s="851"/>
      <c r="J38" s="851"/>
      <c r="K38" s="852"/>
      <c r="L38" s="844">
        <f>L36+L37</f>
        <v>5792122.6900000004</v>
      </c>
    </row>
    <row r="39" spans="1:25">
      <c r="A39" s="6"/>
      <c r="B39" s="6"/>
      <c r="C39" s="539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</sheetData>
  <mergeCells count="16">
    <mergeCell ref="A1:L1"/>
    <mergeCell ref="L8:L9"/>
    <mergeCell ref="A11:L11"/>
    <mergeCell ref="A12:L12"/>
    <mergeCell ref="A22:L22"/>
    <mergeCell ref="A3:L3"/>
    <mergeCell ref="A4:L4"/>
    <mergeCell ref="P3:T3"/>
    <mergeCell ref="A28:L28"/>
    <mergeCell ref="B36:F36"/>
    <mergeCell ref="A8:A9"/>
    <mergeCell ref="B8:B9"/>
    <mergeCell ref="C8:C9"/>
    <mergeCell ref="D8:D9"/>
    <mergeCell ref="E8:E9"/>
    <mergeCell ref="F8:K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4"/>
  <sheetViews>
    <sheetView topLeftCell="A35" zoomScale="115" zoomScaleNormal="115" workbookViewId="0">
      <selection activeCell="I55" sqref="I55"/>
    </sheetView>
  </sheetViews>
  <sheetFormatPr defaultRowHeight="1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6384" width="9.140625" style="89"/>
  </cols>
  <sheetData>
    <row r="1" spans="1:10" ht="15.75">
      <c r="A1" s="540"/>
      <c r="B1" s="540"/>
      <c r="C1" s="540"/>
      <c r="D1" s="1646" t="s">
        <v>1126</v>
      </c>
      <c r="E1" s="1646"/>
      <c r="F1" s="774"/>
      <c r="G1" s="774"/>
      <c r="H1" s="774"/>
      <c r="I1" s="540"/>
      <c r="J1" s="540"/>
    </row>
    <row r="2" spans="1:10">
      <c r="A2" s="1647" t="s">
        <v>506</v>
      </c>
      <c r="B2" s="1647"/>
      <c r="C2" s="1647"/>
      <c r="D2" s="1647"/>
      <c r="E2" s="1647"/>
      <c r="F2" s="1647"/>
      <c r="G2" s="1647"/>
      <c r="H2" s="1647"/>
      <c r="I2" s="1647"/>
      <c r="J2" s="1647"/>
    </row>
    <row r="3" spans="1:10" ht="46.5" customHeight="1">
      <c r="A3" s="1647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647"/>
      <c r="C3" s="1647"/>
      <c r="D3" s="1647"/>
      <c r="E3" s="1647"/>
      <c r="F3" s="1647"/>
      <c r="G3" s="1647"/>
      <c r="H3" s="1647"/>
      <c r="I3" s="1647"/>
      <c r="J3" s="1647"/>
    </row>
    <row r="4" spans="1:10">
      <c r="A4" s="1648" t="s">
        <v>507</v>
      </c>
      <c r="B4" s="1648"/>
      <c r="C4" s="1648"/>
      <c r="D4" s="1648"/>
      <c r="E4" s="1648"/>
      <c r="F4" s="1648"/>
      <c r="G4" s="1648"/>
      <c r="H4" s="1648"/>
      <c r="I4" s="1648"/>
      <c r="J4" s="1648"/>
    </row>
    <row r="5" spans="1:10">
      <c r="A5" s="1645" t="s">
        <v>212</v>
      </c>
      <c r="B5" s="1645"/>
      <c r="C5" s="1645" t="s">
        <v>1136</v>
      </c>
      <c r="D5" s="1645"/>
      <c r="E5" s="1645"/>
      <c r="F5" s="1645"/>
      <c r="G5" s="1645"/>
      <c r="H5" s="1645"/>
      <c r="I5" s="1645"/>
      <c r="J5" s="1645"/>
    </row>
    <row r="6" spans="1:10">
      <c r="A6" s="1649" t="s">
        <v>508</v>
      </c>
      <c r="B6" s="1650"/>
      <c r="C6" s="1650"/>
      <c r="D6" s="1650"/>
      <c r="E6" s="1650"/>
      <c r="F6" s="1650"/>
      <c r="G6" s="1650"/>
      <c r="H6" s="1650"/>
      <c r="I6" s="1650"/>
      <c r="J6" s="1651"/>
    </row>
    <row r="7" spans="1:10">
      <c r="A7" s="1652" t="s">
        <v>2</v>
      </c>
      <c r="B7" s="1652" t="s">
        <v>35</v>
      </c>
      <c r="C7" s="1652" t="s">
        <v>36</v>
      </c>
      <c r="D7" s="1652" t="s">
        <v>20</v>
      </c>
      <c r="E7" s="1652" t="s">
        <v>21</v>
      </c>
      <c r="F7" s="1649" t="s">
        <v>22</v>
      </c>
      <c r="G7" s="1650"/>
      <c r="H7" s="1650"/>
      <c r="I7" s="1651"/>
      <c r="J7" s="1652" t="s">
        <v>509</v>
      </c>
    </row>
    <row r="8" spans="1:10">
      <c r="A8" s="1653"/>
      <c r="B8" s="1653"/>
      <c r="C8" s="1653"/>
      <c r="D8" s="1653"/>
      <c r="E8" s="1653"/>
      <c r="F8" s="47" t="s">
        <v>24</v>
      </c>
      <c r="G8" s="47" t="s">
        <v>510</v>
      </c>
      <c r="H8" s="47" t="s">
        <v>510</v>
      </c>
      <c r="I8" s="47" t="s">
        <v>511</v>
      </c>
      <c r="J8" s="1653"/>
    </row>
    <row r="9" spans="1:10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649">
        <v>6</v>
      </c>
      <c r="G9" s="1650"/>
      <c r="H9" s="1650"/>
      <c r="I9" s="1651"/>
      <c r="J9" s="47">
        <v>7</v>
      </c>
    </row>
    <row r="10" spans="1:10">
      <c r="A10" s="1654" t="s">
        <v>30</v>
      </c>
      <c r="B10" s="1655"/>
      <c r="C10" s="1655"/>
      <c r="D10" s="1655"/>
      <c r="E10" s="1655"/>
      <c r="F10" s="1655"/>
      <c r="G10" s="1655"/>
      <c r="H10" s="1655"/>
      <c r="I10" s="1655"/>
      <c r="J10" s="1656"/>
    </row>
    <row r="11" spans="1:10" ht="25.5">
      <c r="A11" s="442">
        <v>1</v>
      </c>
      <c r="B11" s="422" t="s">
        <v>1060</v>
      </c>
      <c r="C11" s="47" t="s">
        <v>1061</v>
      </c>
      <c r="D11" s="47">
        <v>0.3</v>
      </c>
      <c r="E11" s="47" t="s">
        <v>1062</v>
      </c>
      <c r="F11" s="47">
        <v>42</v>
      </c>
      <c r="G11" s="47"/>
      <c r="H11" s="47"/>
      <c r="I11" s="47">
        <f t="shared" ref="I11:I18" si="0">D11</f>
        <v>0.3</v>
      </c>
      <c r="J11" s="541">
        <f>I11*F11</f>
        <v>12.6</v>
      </c>
    </row>
    <row r="12" spans="1:10" ht="25.5">
      <c r="A12" s="442">
        <v>2</v>
      </c>
      <c r="B12" s="422" t="s">
        <v>512</v>
      </c>
      <c r="C12" s="47" t="s">
        <v>371</v>
      </c>
      <c r="D12" s="47">
        <v>2</v>
      </c>
      <c r="E12" s="47" t="s">
        <v>513</v>
      </c>
      <c r="F12" s="47">
        <v>24</v>
      </c>
      <c r="G12" s="47"/>
      <c r="H12" s="47"/>
      <c r="I12" s="47">
        <f t="shared" si="0"/>
        <v>2</v>
      </c>
      <c r="J12" s="541">
        <f>I12*F12</f>
        <v>48</v>
      </c>
    </row>
    <row r="13" spans="1:10">
      <c r="A13" s="442">
        <v>3</v>
      </c>
      <c r="B13" s="422" t="s">
        <v>1063</v>
      </c>
      <c r="C13" s="47" t="s">
        <v>1064</v>
      </c>
      <c r="D13" s="47">
        <v>3</v>
      </c>
      <c r="E13" s="47" t="s">
        <v>1065</v>
      </c>
      <c r="F13" s="47">
        <v>84</v>
      </c>
      <c r="G13" s="47"/>
      <c r="H13" s="47"/>
      <c r="I13" s="47">
        <f t="shared" si="0"/>
        <v>3</v>
      </c>
      <c r="J13" s="541">
        <f>I13*F13</f>
        <v>252</v>
      </c>
    </row>
    <row r="14" spans="1:10" ht="51">
      <c r="A14" s="442">
        <v>4</v>
      </c>
      <c r="B14" s="422" t="s">
        <v>1066</v>
      </c>
      <c r="C14" s="47" t="s">
        <v>1067</v>
      </c>
      <c r="D14" s="47">
        <v>0.3</v>
      </c>
      <c r="E14" s="47" t="s">
        <v>1068</v>
      </c>
      <c r="F14" s="47">
        <v>186</v>
      </c>
      <c r="G14" s="47"/>
      <c r="H14" s="47"/>
      <c r="I14" s="47">
        <f t="shared" si="0"/>
        <v>0.3</v>
      </c>
      <c r="J14" s="541">
        <f>I14*F14</f>
        <v>55.8</v>
      </c>
    </row>
    <row r="15" spans="1:10" ht="25.5">
      <c r="A15" s="442">
        <v>5</v>
      </c>
      <c r="B15" s="422" t="s">
        <v>1069</v>
      </c>
      <c r="C15" s="47" t="s">
        <v>1070</v>
      </c>
      <c r="D15" s="47">
        <v>3</v>
      </c>
      <c r="E15" s="47" t="s">
        <v>1071</v>
      </c>
      <c r="F15" s="47">
        <v>78</v>
      </c>
      <c r="G15" s="47"/>
      <c r="H15" s="47"/>
      <c r="I15" s="47">
        <f t="shared" si="0"/>
        <v>3</v>
      </c>
      <c r="J15" s="541">
        <f t="shared" ref="J15:J18" si="1">I15*F15</f>
        <v>234</v>
      </c>
    </row>
    <row r="16" spans="1:10" ht="25.5">
      <c r="A16" s="442">
        <v>6</v>
      </c>
      <c r="B16" s="422" t="s">
        <v>1072</v>
      </c>
      <c r="C16" s="47" t="s">
        <v>1073</v>
      </c>
      <c r="D16" s="47">
        <v>3</v>
      </c>
      <c r="E16" s="47" t="s">
        <v>1074</v>
      </c>
      <c r="F16" s="47">
        <v>38</v>
      </c>
      <c r="G16" s="47"/>
      <c r="H16" s="47"/>
      <c r="I16" s="47">
        <f t="shared" si="0"/>
        <v>3</v>
      </c>
      <c r="J16" s="541">
        <f t="shared" si="1"/>
        <v>114</v>
      </c>
    </row>
    <row r="17" spans="1:10">
      <c r="A17" s="442">
        <v>7</v>
      </c>
      <c r="B17" s="422" t="s">
        <v>1075</v>
      </c>
      <c r="C17" s="47" t="s">
        <v>584</v>
      </c>
      <c r="D17" s="47">
        <v>3</v>
      </c>
      <c r="E17" s="47" t="s">
        <v>1076</v>
      </c>
      <c r="F17" s="47">
        <v>19</v>
      </c>
      <c r="G17" s="47"/>
      <c r="H17" s="47"/>
      <c r="I17" s="47">
        <f t="shared" si="0"/>
        <v>3</v>
      </c>
      <c r="J17" s="541">
        <f t="shared" si="1"/>
        <v>57</v>
      </c>
    </row>
    <row r="18" spans="1:10">
      <c r="A18" s="442">
        <v>8</v>
      </c>
      <c r="B18" s="422" t="s">
        <v>514</v>
      </c>
      <c r="C18" s="47" t="s">
        <v>515</v>
      </c>
      <c r="D18" s="47">
        <v>10</v>
      </c>
      <c r="E18" s="542" t="s">
        <v>516</v>
      </c>
      <c r="F18" s="47">
        <v>7</v>
      </c>
      <c r="G18" s="47"/>
      <c r="H18" s="47"/>
      <c r="I18" s="47">
        <f t="shared" si="0"/>
        <v>10</v>
      </c>
      <c r="J18" s="541">
        <f t="shared" si="1"/>
        <v>70</v>
      </c>
    </row>
    <row r="19" spans="1:10" ht="25.5">
      <c r="A19" s="442"/>
      <c r="B19" s="442" t="s">
        <v>1077</v>
      </c>
      <c r="C19" s="777"/>
      <c r="D19" s="777"/>
      <c r="E19" s="775"/>
      <c r="F19" s="775"/>
      <c r="G19" s="775">
        <v>1.2</v>
      </c>
      <c r="H19" s="775">
        <v>1.4</v>
      </c>
      <c r="I19" s="775"/>
      <c r="J19" s="853">
        <f>SUM(J11:J18)*G19*H19</f>
        <v>1416.91</v>
      </c>
    </row>
    <row r="20" spans="1:10">
      <c r="A20" s="1654" t="s">
        <v>517</v>
      </c>
      <c r="B20" s="1655"/>
      <c r="C20" s="1655"/>
      <c r="D20" s="1655"/>
      <c r="E20" s="1655"/>
      <c r="F20" s="1655"/>
      <c r="G20" s="1655"/>
      <c r="H20" s="1655"/>
      <c r="I20" s="1655"/>
      <c r="J20" s="1656"/>
    </row>
    <row r="21" spans="1:10" ht="25.5">
      <c r="A21" s="442">
        <v>9</v>
      </c>
      <c r="B21" s="422" t="str">
        <f>B11</f>
        <v>Рекогносцировочное обследование реки, категория сложности III</v>
      </c>
      <c r="C21" s="47" t="str">
        <f>C11</f>
        <v>1 км реки</v>
      </c>
      <c r="D21" s="47">
        <f>D11</f>
        <v>0.3</v>
      </c>
      <c r="E21" s="47" t="s">
        <v>1062</v>
      </c>
      <c r="F21" s="47">
        <v>14</v>
      </c>
      <c r="G21" s="47"/>
      <c r="H21" s="47"/>
      <c r="I21" s="47">
        <f>I11</f>
        <v>0.3</v>
      </c>
      <c r="J21" s="541">
        <f>I21*F21</f>
        <v>4.2</v>
      </c>
    </row>
    <row r="22" spans="1:10" ht="25.5">
      <c r="A22" s="442">
        <v>10</v>
      </c>
      <c r="B22" s="422" t="s">
        <v>512</v>
      </c>
      <c r="C22" s="47" t="s">
        <v>371</v>
      </c>
      <c r="D22" s="47">
        <f>D12</f>
        <v>2</v>
      </c>
      <c r="E22" s="47" t="s">
        <v>513</v>
      </c>
      <c r="F22" s="47">
        <v>8</v>
      </c>
      <c r="G22" s="47"/>
      <c r="H22" s="47"/>
      <c r="I22" s="47">
        <f t="shared" ref="I22:I39" si="2">D22</f>
        <v>2</v>
      </c>
      <c r="J22" s="541">
        <f>I22*F22</f>
        <v>16</v>
      </c>
    </row>
    <row r="23" spans="1:10">
      <c r="A23" s="442">
        <v>11</v>
      </c>
      <c r="B23" s="422" t="s">
        <v>1063</v>
      </c>
      <c r="C23" s="47" t="s">
        <v>1064</v>
      </c>
      <c r="D23" s="47">
        <f>D13</f>
        <v>3</v>
      </c>
      <c r="E23" s="47" t="s">
        <v>1065</v>
      </c>
      <c r="F23" s="47">
        <v>55</v>
      </c>
      <c r="G23" s="47"/>
      <c r="H23" s="47"/>
      <c r="I23" s="47">
        <f t="shared" si="2"/>
        <v>3</v>
      </c>
      <c r="J23" s="541">
        <f>I23*F23</f>
        <v>165</v>
      </c>
    </row>
    <row r="24" spans="1:10" ht="25.5">
      <c r="A24" s="442">
        <v>12</v>
      </c>
      <c r="B24" s="422" t="s">
        <v>1078</v>
      </c>
      <c r="C24" s="47" t="s">
        <v>1070</v>
      </c>
      <c r="D24" s="47">
        <f>D15</f>
        <v>3</v>
      </c>
      <c r="E24" s="47" t="s">
        <v>1071</v>
      </c>
      <c r="F24" s="47">
        <v>17</v>
      </c>
      <c r="G24" s="47"/>
      <c r="H24" s="47"/>
      <c r="I24" s="47">
        <f t="shared" si="2"/>
        <v>3</v>
      </c>
      <c r="J24" s="541">
        <f t="shared" ref="J24:J32" si="3">I24*F24</f>
        <v>51</v>
      </c>
    </row>
    <row r="25" spans="1:10" ht="38.25">
      <c r="A25" s="442">
        <v>13</v>
      </c>
      <c r="B25" s="422" t="s">
        <v>518</v>
      </c>
      <c r="C25" s="47" t="s">
        <v>519</v>
      </c>
      <c r="D25" s="47">
        <v>1</v>
      </c>
      <c r="E25" s="47" t="s">
        <v>520</v>
      </c>
      <c r="F25" s="47">
        <v>105</v>
      </c>
      <c r="G25" s="47"/>
      <c r="H25" s="47"/>
      <c r="I25" s="47">
        <f t="shared" si="2"/>
        <v>1</v>
      </c>
      <c r="J25" s="541">
        <f t="shared" si="3"/>
        <v>105</v>
      </c>
    </row>
    <row r="26" spans="1:10" ht="38.25">
      <c r="A26" s="442">
        <v>14</v>
      </c>
      <c r="B26" s="422" t="s">
        <v>521</v>
      </c>
      <c r="C26" s="47" t="s">
        <v>522</v>
      </c>
      <c r="D26" s="47">
        <v>1</v>
      </c>
      <c r="E26" s="47" t="s">
        <v>523</v>
      </c>
      <c r="F26" s="47">
        <v>61</v>
      </c>
      <c r="G26" s="47"/>
      <c r="H26" s="47"/>
      <c r="I26" s="47">
        <f t="shared" si="2"/>
        <v>1</v>
      </c>
      <c r="J26" s="541">
        <f t="shared" si="3"/>
        <v>61</v>
      </c>
    </row>
    <row r="27" spans="1:10" ht="15.75">
      <c r="A27" s="442">
        <v>15</v>
      </c>
      <c r="B27" s="422" t="s">
        <v>1079</v>
      </c>
      <c r="C27" s="47" t="s">
        <v>1080</v>
      </c>
      <c r="D27" s="47">
        <v>10</v>
      </c>
      <c r="E27" s="47" t="s">
        <v>1081</v>
      </c>
      <c r="F27" s="47">
        <v>6</v>
      </c>
      <c r="G27" s="47"/>
      <c r="H27" s="47"/>
      <c r="I27" s="47">
        <f t="shared" si="2"/>
        <v>10</v>
      </c>
      <c r="J27" s="541">
        <f t="shared" si="3"/>
        <v>60</v>
      </c>
    </row>
    <row r="28" spans="1:10">
      <c r="A28" s="442">
        <v>16</v>
      </c>
      <c r="B28" s="422" t="s">
        <v>1082</v>
      </c>
      <c r="C28" s="47" t="s">
        <v>528</v>
      </c>
      <c r="D28" s="47">
        <v>1</v>
      </c>
      <c r="E28" s="47" t="s">
        <v>1083</v>
      </c>
      <c r="F28" s="47">
        <v>217</v>
      </c>
      <c r="G28" s="47"/>
      <c r="H28" s="47"/>
      <c r="I28" s="47">
        <f t="shared" si="2"/>
        <v>1</v>
      </c>
      <c r="J28" s="541">
        <f t="shared" si="3"/>
        <v>217</v>
      </c>
    </row>
    <row r="29" spans="1:10" ht="38.25">
      <c r="A29" s="442">
        <v>17</v>
      </c>
      <c r="B29" s="422" t="s">
        <v>1084</v>
      </c>
      <c r="C29" s="47" t="s">
        <v>519</v>
      </c>
      <c r="D29" s="47">
        <v>1</v>
      </c>
      <c r="E29" s="47" t="s">
        <v>1085</v>
      </c>
      <c r="F29" s="47">
        <v>108</v>
      </c>
      <c r="G29" s="47"/>
      <c r="H29" s="47"/>
      <c r="I29" s="47">
        <f t="shared" si="2"/>
        <v>1</v>
      </c>
      <c r="J29" s="541">
        <f t="shared" si="3"/>
        <v>108</v>
      </c>
    </row>
    <row r="30" spans="1:10" ht="38.25">
      <c r="A30" s="442">
        <v>18</v>
      </c>
      <c r="B30" s="422" t="s">
        <v>1086</v>
      </c>
      <c r="C30" s="47" t="s">
        <v>519</v>
      </c>
      <c r="D30" s="47">
        <v>1</v>
      </c>
      <c r="E30" s="47" t="s">
        <v>1087</v>
      </c>
      <c r="F30" s="47">
        <v>217</v>
      </c>
      <c r="G30" s="47"/>
      <c r="H30" s="47"/>
      <c r="I30" s="47">
        <f t="shared" si="2"/>
        <v>1</v>
      </c>
      <c r="J30" s="541">
        <f t="shared" si="3"/>
        <v>217</v>
      </c>
    </row>
    <row r="31" spans="1:10" ht="51">
      <c r="A31" s="442">
        <v>19</v>
      </c>
      <c r="B31" s="422" t="s">
        <v>1088</v>
      </c>
      <c r="C31" s="47" t="s">
        <v>528</v>
      </c>
      <c r="D31" s="47">
        <v>1</v>
      </c>
      <c r="E31" s="47" t="s">
        <v>1089</v>
      </c>
      <c r="F31" s="47">
        <v>45</v>
      </c>
      <c r="G31" s="47"/>
      <c r="H31" s="47"/>
      <c r="I31" s="47">
        <f t="shared" si="2"/>
        <v>1</v>
      </c>
      <c r="J31" s="541">
        <f t="shared" si="3"/>
        <v>45</v>
      </c>
    </row>
    <row r="32" spans="1:10" ht="63.75">
      <c r="A32" s="442">
        <v>20</v>
      </c>
      <c r="B32" s="422" t="s">
        <v>1090</v>
      </c>
      <c r="C32" s="47" t="s">
        <v>528</v>
      </c>
      <c r="D32" s="47">
        <v>1</v>
      </c>
      <c r="E32" s="47" t="s">
        <v>1091</v>
      </c>
      <c r="F32" s="47">
        <v>76</v>
      </c>
      <c r="G32" s="47"/>
      <c r="H32" s="47"/>
      <c r="I32" s="47">
        <f t="shared" si="2"/>
        <v>1</v>
      </c>
      <c r="J32" s="541">
        <f t="shared" si="3"/>
        <v>76</v>
      </c>
    </row>
    <row r="33" spans="1:10" ht="38.25">
      <c r="A33" s="442">
        <v>21</v>
      </c>
      <c r="B33" s="422" t="s">
        <v>1092</v>
      </c>
      <c r="C33" s="47" t="s">
        <v>528</v>
      </c>
      <c r="D33" s="47">
        <v>3</v>
      </c>
      <c r="E33" s="47" t="s">
        <v>1093</v>
      </c>
      <c r="F33" s="47">
        <v>34</v>
      </c>
      <c r="G33" s="47"/>
      <c r="H33" s="47"/>
      <c r="I33" s="47">
        <f t="shared" si="2"/>
        <v>3</v>
      </c>
      <c r="J33" s="541">
        <f>I33*F33</f>
        <v>102</v>
      </c>
    </row>
    <row r="34" spans="1:10" ht="38.25">
      <c r="A34" s="442">
        <v>22</v>
      </c>
      <c r="B34" s="422" t="s">
        <v>1094</v>
      </c>
      <c r="C34" s="47" t="s">
        <v>528</v>
      </c>
      <c r="D34" s="47">
        <v>1</v>
      </c>
      <c r="E34" s="47" t="s">
        <v>1095</v>
      </c>
      <c r="F34" s="47">
        <v>26</v>
      </c>
      <c r="G34" s="47"/>
      <c r="H34" s="47"/>
      <c r="I34" s="47">
        <f t="shared" si="2"/>
        <v>1</v>
      </c>
      <c r="J34" s="541">
        <f t="shared" ref="J34:J35" si="4">I34*F34</f>
        <v>26</v>
      </c>
    </row>
    <row r="35" spans="1:10" ht="25.5">
      <c r="A35" s="442">
        <v>23</v>
      </c>
      <c r="B35" s="422" t="s">
        <v>1096</v>
      </c>
      <c r="C35" s="47" t="s">
        <v>1097</v>
      </c>
      <c r="D35" s="47">
        <v>3</v>
      </c>
      <c r="E35" s="47" t="s">
        <v>1098</v>
      </c>
      <c r="F35" s="47">
        <v>68</v>
      </c>
      <c r="G35" s="47"/>
      <c r="H35" s="47"/>
      <c r="I35" s="47">
        <f t="shared" si="2"/>
        <v>3</v>
      </c>
      <c r="J35" s="541">
        <f t="shared" si="4"/>
        <v>204</v>
      </c>
    </row>
    <row r="36" spans="1:10" ht="63.75">
      <c r="A36" s="442">
        <v>24</v>
      </c>
      <c r="B36" s="422" t="s">
        <v>524</v>
      </c>
      <c r="C36" s="47" t="s">
        <v>525</v>
      </c>
      <c r="D36" s="47">
        <v>2</v>
      </c>
      <c r="E36" s="47" t="s">
        <v>526</v>
      </c>
      <c r="F36" s="47">
        <v>90</v>
      </c>
      <c r="G36" s="47"/>
      <c r="H36" s="47"/>
      <c r="I36" s="47">
        <f t="shared" si="2"/>
        <v>2</v>
      </c>
      <c r="J36" s="541">
        <f>I36*F36</f>
        <v>180</v>
      </c>
    </row>
    <row r="37" spans="1:10">
      <c r="A37" s="442">
        <v>25</v>
      </c>
      <c r="B37" s="422" t="s">
        <v>527</v>
      </c>
      <c r="C37" s="47" t="s">
        <v>528</v>
      </c>
      <c r="D37" s="47">
        <v>1</v>
      </c>
      <c r="E37" s="47" t="s">
        <v>529</v>
      </c>
      <c r="F37" s="47">
        <v>116</v>
      </c>
      <c r="G37" s="47"/>
      <c r="H37" s="47"/>
      <c r="I37" s="47">
        <f t="shared" si="2"/>
        <v>1</v>
      </c>
      <c r="J37" s="541">
        <f>I37*F37</f>
        <v>116</v>
      </c>
    </row>
    <row r="38" spans="1:10">
      <c r="A38" s="442">
        <v>26</v>
      </c>
      <c r="B38" s="422" t="s">
        <v>530</v>
      </c>
      <c r="C38" s="47" t="s">
        <v>528</v>
      </c>
      <c r="D38" s="47">
        <v>1</v>
      </c>
      <c r="E38" s="47" t="s">
        <v>531</v>
      </c>
      <c r="F38" s="47">
        <v>49</v>
      </c>
      <c r="G38" s="47"/>
      <c r="H38" s="47"/>
      <c r="I38" s="47">
        <f t="shared" si="2"/>
        <v>1</v>
      </c>
      <c r="J38" s="541">
        <f>I38*F38</f>
        <v>49</v>
      </c>
    </row>
    <row r="39" spans="1:10" ht="38.25">
      <c r="A39" s="442">
        <v>27</v>
      </c>
      <c r="B39" s="422" t="s">
        <v>532</v>
      </c>
      <c r="C39" s="47" t="s">
        <v>533</v>
      </c>
      <c r="D39" s="47">
        <v>1</v>
      </c>
      <c r="E39" s="47" t="s">
        <v>534</v>
      </c>
      <c r="F39" s="47">
        <v>201</v>
      </c>
      <c r="G39" s="47"/>
      <c r="H39" s="47"/>
      <c r="I39" s="47">
        <f t="shared" si="2"/>
        <v>1</v>
      </c>
      <c r="J39" s="541">
        <f>I39*F39</f>
        <v>201</v>
      </c>
    </row>
    <row r="40" spans="1:10" ht="25.5">
      <c r="A40" s="442">
        <v>28</v>
      </c>
      <c r="B40" s="422" t="s">
        <v>535</v>
      </c>
      <c r="C40" s="47" t="s">
        <v>492</v>
      </c>
      <c r="D40" s="541">
        <f>SUM(J21:J39)</f>
        <v>2003.2</v>
      </c>
      <c r="E40" s="542" t="s">
        <v>1099</v>
      </c>
      <c r="F40" s="47">
        <v>800</v>
      </c>
      <c r="G40" s="47"/>
      <c r="H40" s="47"/>
      <c r="I40" s="47">
        <v>1</v>
      </c>
      <c r="J40" s="541">
        <f>I40*F40</f>
        <v>800</v>
      </c>
    </row>
    <row r="41" spans="1:10" ht="25.5">
      <c r="A41" s="442">
        <v>29</v>
      </c>
      <c r="B41" s="422" t="s">
        <v>536</v>
      </c>
      <c r="C41" s="47" t="s">
        <v>457</v>
      </c>
      <c r="D41" s="541">
        <f>SUM(J21:J40)</f>
        <v>2803.2</v>
      </c>
      <c r="E41" s="542" t="s">
        <v>1100</v>
      </c>
      <c r="F41" s="543">
        <v>0.75</v>
      </c>
      <c r="G41" s="47">
        <v>1.25</v>
      </c>
      <c r="H41" s="47"/>
      <c r="I41" s="47">
        <v>1</v>
      </c>
      <c r="J41" s="854">
        <f>SUM(J21:J40)*F41*G41</f>
        <v>2628</v>
      </c>
    </row>
    <row r="42" spans="1:10">
      <c r="A42" s="47"/>
      <c r="B42" s="442" t="s">
        <v>537</v>
      </c>
      <c r="C42" s="442"/>
      <c r="D42" s="442"/>
      <c r="E42" s="47"/>
      <c r="F42" s="47"/>
      <c r="G42" s="47"/>
      <c r="H42" s="47"/>
      <c r="I42" s="47"/>
      <c r="J42" s="855">
        <f>SUM(J21:J41)</f>
        <v>5431.2</v>
      </c>
    </row>
    <row r="43" spans="1:10">
      <c r="A43" s="1654" t="s">
        <v>538</v>
      </c>
      <c r="B43" s="1655"/>
      <c r="C43" s="1655"/>
      <c r="D43" s="1655"/>
      <c r="E43" s="1655"/>
      <c r="F43" s="1655"/>
      <c r="G43" s="1655"/>
      <c r="H43" s="1655"/>
      <c r="I43" s="1655"/>
      <c r="J43" s="1656"/>
    </row>
    <row r="44" spans="1:10" ht="25.5">
      <c r="A44" s="442">
        <v>30</v>
      </c>
      <c r="B44" s="40" t="s">
        <v>539</v>
      </c>
      <c r="C44" s="47" t="s">
        <v>540</v>
      </c>
      <c r="D44" s="544">
        <v>8.7499999999999994E-2</v>
      </c>
      <c r="E44" s="47" t="s">
        <v>541</v>
      </c>
      <c r="F44" s="42">
        <f>J19</f>
        <v>1416.91</v>
      </c>
      <c r="G44" s="545"/>
      <c r="H44" s="47"/>
      <c r="I44" s="544">
        <f t="shared" ref="I44:I46" si="5">D44</f>
        <v>8.7499999999999994E-2</v>
      </c>
      <c r="J44" s="541">
        <f>F44*I44</f>
        <v>123.98</v>
      </c>
    </row>
    <row r="45" spans="1:10">
      <c r="A45" s="442">
        <v>31</v>
      </c>
      <c r="B45" s="856" t="s">
        <v>542</v>
      </c>
      <c r="C45" s="47" t="s">
        <v>540</v>
      </c>
      <c r="D45" s="546">
        <v>0.36399999999999999</v>
      </c>
      <c r="E45" s="47" t="s">
        <v>543</v>
      </c>
      <c r="F45" s="42">
        <f>F44+J44</f>
        <v>1540.89</v>
      </c>
      <c r="G45" s="545"/>
      <c r="H45" s="47"/>
      <c r="I45" s="546">
        <f t="shared" si="5"/>
        <v>0.36399999999999999</v>
      </c>
      <c r="J45" s="541">
        <f>F45*I45</f>
        <v>560.88</v>
      </c>
    </row>
    <row r="46" spans="1:10">
      <c r="A46" s="442">
        <v>32</v>
      </c>
      <c r="B46" s="422" t="s">
        <v>544</v>
      </c>
      <c r="C46" s="47" t="s">
        <v>540</v>
      </c>
      <c r="D46" s="547">
        <v>0.06</v>
      </c>
      <c r="E46" s="47" t="s">
        <v>545</v>
      </c>
      <c r="F46" s="42">
        <f>F44+J44</f>
        <v>1540.89</v>
      </c>
      <c r="G46" s="548">
        <v>2.5</v>
      </c>
      <c r="H46" s="47"/>
      <c r="I46" s="547">
        <f t="shared" si="5"/>
        <v>0.06</v>
      </c>
      <c r="J46" s="541">
        <f>F46*I46*G46</f>
        <v>231.13</v>
      </c>
    </row>
    <row r="47" spans="1:10">
      <c r="A47" s="442"/>
      <c r="B47" s="442" t="s">
        <v>546</v>
      </c>
      <c r="C47" s="47"/>
      <c r="D47" s="549"/>
      <c r="E47" s="412"/>
      <c r="F47" s="550"/>
      <c r="G47" s="550"/>
      <c r="H47" s="550"/>
      <c r="I47" s="547"/>
      <c r="J47" s="853">
        <f>SUM(J44:J46)</f>
        <v>915.99</v>
      </c>
    </row>
    <row r="48" spans="1:10">
      <c r="A48" s="47"/>
      <c r="B48" s="41" t="s">
        <v>547</v>
      </c>
      <c r="C48" s="442"/>
      <c r="D48" s="442"/>
      <c r="E48" s="47"/>
      <c r="F48" s="47"/>
      <c r="G48" s="47"/>
      <c r="H48" s="47"/>
      <c r="I48" s="551"/>
      <c r="J48" s="853">
        <f>J19+J42+J47</f>
        <v>7764.1</v>
      </c>
    </row>
    <row r="49" spans="1:10">
      <c r="A49" s="47"/>
      <c r="B49" s="764" t="s">
        <v>548</v>
      </c>
      <c r="C49" s="777"/>
      <c r="D49" s="777"/>
      <c r="E49" s="775"/>
      <c r="F49" s="776"/>
      <c r="G49" s="776"/>
      <c r="H49" s="47"/>
      <c r="I49" s="552">
        <v>0.1</v>
      </c>
      <c r="J49" s="853">
        <f>J48*I49</f>
        <v>776.41</v>
      </c>
    </row>
    <row r="50" spans="1:10">
      <c r="A50" s="47"/>
      <c r="B50" s="1657" t="s">
        <v>1140</v>
      </c>
      <c r="C50" s="1658"/>
      <c r="D50" s="1658"/>
      <c r="E50" s="1658"/>
      <c r="F50" s="1659"/>
      <c r="G50" s="776"/>
      <c r="H50" s="47"/>
      <c r="I50" s="857">
        <v>58.26</v>
      </c>
      <c r="J50" s="853">
        <f>(J48+J49)*I50</f>
        <v>497570.11</v>
      </c>
    </row>
    <row r="51" spans="1:10">
      <c r="A51" s="47"/>
      <c r="B51" s="858" t="s">
        <v>365</v>
      </c>
      <c r="C51" s="422"/>
      <c r="D51" s="422"/>
      <c r="E51" s="422"/>
      <c r="F51" s="422"/>
      <c r="G51" s="422"/>
      <c r="H51" s="422"/>
      <c r="I51" s="422"/>
      <c r="J51" s="853">
        <f>J50*0.2</f>
        <v>99514.02</v>
      </c>
    </row>
    <row r="52" spans="1:10">
      <c r="A52" s="47"/>
      <c r="B52" s="858" t="s">
        <v>549</v>
      </c>
      <c r="C52" s="422"/>
      <c r="D52" s="422"/>
      <c r="E52" s="422"/>
      <c r="F52" s="422"/>
      <c r="G52" s="422"/>
      <c r="H52" s="422"/>
      <c r="I52" s="422"/>
      <c r="J52" s="853">
        <f>J51+J50</f>
        <v>597084.13</v>
      </c>
    </row>
    <row r="53" spans="1:10">
      <c r="A53" s="540"/>
      <c r="B53" s="540"/>
      <c r="C53" s="540"/>
      <c r="D53" s="540"/>
      <c r="E53" s="540"/>
      <c r="F53" s="540"/>
      <c r="G53" s="540"/>
      <c r="H53" s="540"/>
      <c r="I53" s="540"/>
      <c r="J53" s="859"/>
    </row>
    <row r="54" spans="1:10">
      <c r="A54" s="540"/>
      <c r="B54" s="860" t="s">
        <v>39</v>
      </c>
      <c r="C54" s="860"/>
      <c r="D54" s="861"/>
      <c r="E54" s="861"/>
      <c r="F54" s="861"/>
      <c r="G54" s="861"/>
      <c r="H54" s="861"/>
      <c r="I54" s="861"/>
      <c r="J54" s="862"/>
    </row>
  </sheetData>
  <mergeCells count="20">
    <mergeCell ref="F9:I9"/>
    <mergeCell ref="A10:J10"/>
    <mergeCell ref="A20:J20"/>
    <mergeCell ref="A43:J43"/>
    <mergeCell ref="B50:F50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J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50"/>
  <sheetViews>
    <sheetView topLeftCell="A32" zoomScale="88" zoomScaleNormal="88" workbookViewId="0">
      <selection activeCell="J48" sqref="J48"/>
    </sheetView>
  </sheetViews>
  <sheetFormatPr defaultRowHeight="15"/>
  <cols>
    <col min="1" max="1" width="9.140625" style="863"/>
    <col min="2" max="2" width="39.85546875" style="863" customWidth="1"/>
    <col min="3" max="3" width="19.140625" style="863" customWidth="1"/>
    <col min="4" max="4" width="11" style="863" customWidth="1"/>
    <col min="5" max="8" width="9.140625" style="863"/>
    <col min="9" max="9" width="11.5703125" style="863" customWidth="1"/>
    <col min="10" max="10" width="18.42578125" style="863" customWidth="1"/>
    <col min="11" max="257" width="9.140625" style="863"/>
    <col min="258" max="258" width="39.85546875" style="863" customWidth="1"/>
    <col min="259" max="259" width="19.140625" style="863" customWidth="1"/>
    <col min="260" max="260" width="11" style="863" customWidth="1"/>
    <col min="261" max="264" width="9.140625" style="863"/>
    <col min="265" max="265" width="11.5703125" style="863" customWidth="1"/>
    <col min="266" max="266" width="18.42578125" style="863" customWidth="1"/>
    <col min="267" max="513" width="9.140625" style="863"/>
    <col min="514" max="514" width="39.85546875" style="863" customWidth="1"/>
    <col min="515" max="515" width="19.140625" style="863" customWidth="1"/>
    <col min="516" max="516" width="11" style="863" customWidth="1"/>
    <col min="517" max="520" width="9.140625" style="863"/>
    <col min="521" max="521" width="11.5703125" style="863" customWidth="1"/>
    <col min="522" max="522" width="18.42578125" style="863" customWidth="1"/>
    <col min="523" max="769" width="9.140625" style="863"/>
    <col min="770" max="770" width="39.85546875" style="863" customWidth="1"/>
    <col min="771" max="771" width="19.140625" style="863" customWidth="1"/>
    <col min="772" max="772" width="11" style="863" customWidth="1"/>
    <col min="773" max="776" width="9.140625" style="863"/>
    <col min="777" max="777" width="11.5703125" style="863" customWidth="1"/>
    <col min="778" max="778" width="18.42578125" style="863" customWidth="1"/>
    <col min="779" max="1025" width="9.140625" style="863"/>
    <col min="1026" max="1026" width="39.85546875" style="863" customWidth="1"/>
    <col min="1027" max="1027" width="19.140625" style="863" customWidth="1"/>
    <col min="1028" max="1028" width="11" style="863" customWidth="1"/>
    <col min="1029" max="1032" width="9.140625" style="863"/>
    <col min="1033" max="1033" width="11.5703125" style="863" customWidth="1"/>
    <col min="1034" max="1034" width="18.42578125" style="863" customWidth="1"/>
    <col min="1035" max="1281" width="9.140625" style="863"/>
    <col min="1282" max="1282" width="39.85546875" style="863" customWidth="1"/>
    <col min="1283" max="1283" width="19.140625" style="863" customWidth="1"/>
    <col min="1284" max="1284" width="11" style="863" customWidth="1"/>
    <col min="1285" max="1288" width="9.140625" style="863"/>
    <col min="1289" max="1289" width="11.5703125" style="863" customWidth="1"/>
    <col min="1290" max="1290" width="18.42578125" style="863" customWidth="1"/>
    <col min="1291" max="1537" width="9.140625" style="863"/>
    <col min="1538" max="1538" width="39.85546875" style="863" customWidth="1"/>
    <col min="1539" max="1539" width="19.140625" style="863" customWidth="1"/>
    <col min="1540" max="1540" width="11" style="863" customWidth="1"/>
    <col min="1541" max="1544" width="9.140625" style="863"/>
    <col min="1545" max="1545" width="11.5703125" style="863" customWidth="1"/>
    <col min="1546" max="1546" width="18.42578125" style="863" customWidth="1"/>
    <col min="1547" max="1793" width="9.140625" style="863"/>
    <col min="1794" max="1794" width="39.85546875" style="863" customWidth="1"/>
    <col min="1795" max="1795" width="19.140625" style="863" customWidth="1"/>
    <col min="1796" max="1796" width="11" style="863" customWidth="1"/>
    <col min="1797" max="1800" width="9.140625" style="863"/>
    <col min="1801" max="1801" width="11.5703125" style="863" customWidth="1"/>
    <col min="1802" max="1802" width="18.42578125" style="863" customWidth="1"/>
    <col min="1803" max="2049" width="9.140625" style="863"/>
    <col min="2050" max="2050" width="39.85546875" style="863" customWidth="1"/>
    <col min="2051" max="2051" width="19.140625" style="863" customWidth="1"/>
    <col min="2052" max="2052" width="11" style="863" customWidth="1"/>
    <col min="2053" max="2056" width="9.140625" style="863"/>
    <col min="2057" max="2057" width="11.5703125" style="863" customWidth="1"/>
    <col min="2058" max="2058" width="18.42578125" style="863" customWidth="1"/>
    <col min="2059" max="2305" width="9.140625" style="863"/>
    <col min="2306" max="2306" width="39.85546875" style="863" customWidth="1"/>
    <col min="2307" max="2307" width="19.140625" style="863" customWidth="1"/>
    <col min="2308" max="2308" width="11" style="863" customWidth="1"/>
    <col min="2309" max="2312" width="9.140625" style="863"/>
    <col min="2313" max="2313" width="11.5703125" style="863" customWidth="1"/>
    <col min="2314" max="2314" width="18.42578125" style="863" customWidth="1"/>
    <col min="2315" max="2561" width="9.140625" style="863"/>
    <col min="2562" max="2562" width="39.85546875" style="863" customWidth="1"/>
    <col min="2563" max="2563" width="19.140625" style="863" customWidth="1"/>
    <col min="2564" max="2564" width="11" style="863" customWidth="1"/>
    <col min="2565" max="2568" width="9.140625" style="863"/>
    <col min="2569" max="2569" width="11.5703125" style="863" customWidth="1"/>
    <col min="2570" max="2570" width="18.42578125" style="863" customWidth="1"/>
    <col min="2571" max="2817" width="9.140625" style="863"/>
    <col min="2818" max="2818" width="39.85546875" style="863" customWidth="1"/>
    <col min="2819" max="2819" width="19.140625" style="863" customWidth="1"/>
    <col min="2820" max="2820" width="11" style="863" customWidth="1"/>
    <col min="2821" max="2824" width="9.140625" style="863"/>
    <col min="2825" max="2825" width="11.5703125" style="863" customWidth="1"/>
    <col min="2826" max="2826" width="18.42578125" style="863" customWidth="1"/>
    <col min="2827" max="3073" width="9.140625" style="863"/>
    <col min="3074" max="3074" width="39.85546875" style="863" customWidth="1"/>
    <col min="3075" max="3075" width="19.140625" style="863" customWidth="1"/>
    <col min="3076" max="3076" width="11" style="863" customWidth="1"/>
    <col min="3077" max="3080" width="9.140625" style="863"/>
    <col min="3081" max="3081" width="11.5703125" style="863" customWidth="1"/>
    <col min="3082" max="3082" width="18.42578125" style="863" customWidth="1"/>
    <col min="3083" max="3329" width="9.140625" style="863"/>
    <col min="3330" max="3330" width="39.85546875" style="863" customWidth="1"/>
    <col min="3331" max="3331" width="19.140625" style="863" customWidth="1"/>
    <col min="3332" max="3332" width="11" style="863" customWidth="1"/>
    <col min="3333" max="3336" width="9.140625" style="863"/>
    <col min="3337" max="3337" width="11.5703125" style="863" customWidth="1"/>
    <col min="3338" max="3338" width="18.42578125" style="863" customWidth="1"/>
    <col min="3339" max="3585" width="9.140625" style="863"/>
    <col min="3586" max="3586" width="39.85546875" style="863" customWidth="1"/>
    <col min="3587" max="3587" width="19.140625" style="863" customWidth="1"/>
    <col min="3588" max="3588" width="11" style="863" customWidth="1"/>
    <col min="3589" max="3592" width="9.140625" style="863"/>
    <col min="3593" max="3593" width="11.5703125" style="863" customWidth="1"/>
    <col min="3594" max="3594" width="18.42578125" style="863" customWidth="1"/>
    <col min="3595" max="3841" width="9.140625" style="863"/>
    <col min="3842" max="3842" width="39.85546875" style="863" customWidth="1"/>
    <col min="3843" max="3843" width="19.140625" style="863" customWidth="1"/>
    <col min="3844" max="3844" width="11" style="863" customWidth="1"/>
    <col min="3845" max="3848" width="9.140625" style="863"/>
    <col min="3849" max="3849" width="11.5703125" style="863" customWidth="1"/>
    <col min="3850" max="3850" width="18.42578125" style="863" customWidth="1"/>
    <col min="3851" max="4097" width="9.140625" style="863"/>
    <col min="4098" max="4098" width="39.85546875" style="863" customWidth="1"/>
    <col min="4099" max="4099" width="19.140625" style="863" customWidth="1"/>
    <col min="4100" max="4100" width="11" style="863" customWidth="1"/>
    <col min="4101" max="4104" width="9.140625" style="863"/>
    <col min="4105" max="4105" width="11.5703125" style="863" customWidth="1"/>
    <col min="4106" max="4106" width="18.42578125" style="863" customWidth="1"/>
    <col min="4107" max="4353" width="9.140625" style="863"/>
    <col min="4354" max="4354" width="39.85546875" style="863" customWidth="1"/>
    <col min="4355" max="4355" width="19.140625" style="863" customWidth="1"/>
    <col min="4356" max="4356" width="11" style="863" customWidth="1"/>
    <col min="4357" max="4360" width="9.140625" style="863"/>
    <col min="4361" max="4361" width="11.5703125" style="863" customWidth="1"/>
    <col min="4362" max="4362" width="18.42578125" style="863" customWidth="1"/>
    <col min="4363" max="4609" width="9.140625" style="863"/>
    <col min="4610" max="4610" width="39.85546875" style="863" customWidth="1"/>
    <col min="4611" max="4611" width="19.140625" style="863" customWidth="1"/>
    <col min="4612" max="4612" width="11" style="863" customWidth="1"/>
    <col min="4613" max="4616" width="9.140625" style="863"/>
    <col min="4617" max="4617" width="11.5703125" style="863" customWidth="1"/>
    <col min="4618" max="4618" width="18.42578125" style="863" customWidth="1"/>
    <col min="4619" max="4865" width="9.140625" style="863"/>
    <col min="4866" max="4866" width="39.85546875" style="863" customWidth="1"/>
    <col min="4867" max="4867" width="19.140625" style="863" customWidth="1"/>
    <col min="4868" max="4868" width="11" style="863" customWidth="1"/>
    <col min="4869" max="4872" width="9.140625" style="863"/>
    <col min="4873" max="4873" width="11.5703125" style="863" customWidth="1"/>
    <col min="4874" max="4874" width="18.42578125" style="863" customWidth="1"/>
    <col min="4875" max="5121" width="9.140625" style="863"/>
    <col min="5122" max="5122" width="39.85546875" style="863" customWidth="1"/>
    <col min="5123" max="5123" width="19.140625" style="863" customWidth="1"/>
    <col min="5124" max="5124" width="11" style="863" customWidth="1"/>
    <col min="5125" max="5128" width="9.140625" style="863"/>
    <col min="5129" max="5129" width="11.5703125" style="863" customWidth="1"/>
    <col min="5130" max="5130" width="18.42578125" style="863" customWidth="1"/>
    <col min="5131" max="5377" width="9.140625" style="863"/>
    <col min="5378" max="5378" width="39.85546875" style="863" customWidth="1"/>
    <col min="5379" max="5379" width="19.140625" style="863" customWidth="1"/>
    <col min="5380" max="5380" width="11" style="863" customWidth="1"/>
    <col min="5381" max="5384" width="9.140625" style="863"/>
    <col min="5385" max="5385" width="11.5703125" style="863" customWidth="1"/>
    <col min="5386" max="5386" width="18.42578125" style="863" customWidth="1"/>
    <col min="5387" max="5633" width="9.140625" style="863"/>
    <col min="5634" max="5634" width="39.85546875" style="863" customWidth="1"/>
    <col min="5635" max="5635" width="19.140625" style="863" customWidth="1"/>
    <col min="5636" max="5636" width="11" style="863" customWidth="1"/>
    <col min="5637" max="5640" width="9.140625" style="863"/>
    <col min="5641" max="5641" width="11.5703125" style="863" customWidth="1"/>
    <col min="5642" max="5642" width="18.42578125" style="863" customWidth="1"/>
    <col min="5643" max="5889" width="9.140625" style="863"/>
    <col min="5890" max="5890" width="39.85546875" style="863" customWidth="1"/>
    <col min="5891" max="5891" width="19.140625" style="863" customWidth="1"/>
    <col min="5892" max="5892" width="11" style="863" customWidth="1"/>
    <col min="5893" max="5896" width="9.140625" style="863"/>
    <col min="5897" max="5897" width="11.5703125" style="863" customWidth="1"/>
    <col min="5898" max="5898" width="18.42578125" style="863" customWidth="1"/>
    <col min="5899" max="6145" width="9.140625" style="863"/>
    <col min="6146" max="6146" width="39.85546875" style="863" customWidth="1"/>
    <col min="6147" max="6147" width="19.140625" style="863" customWidth="1"/>
    <col min="6148" max="6148" width="11" style="863" customWidth="1"/>
    <col min="6149" max="6152" width="9.140625" style="863"/>
    <col min="6153" max="6153" width="11.5703125" style="863" customWidth="1"/>
    <col min="6154" max="6154" width="18.42578125" style="863" customWidth="1"/>
    <col min="6155" max="6401" width="9.140625" style="863"/>
    <col min="6402" max="6402" width="39.85546875" style="863" customWidth="1"/>
    <col min="6403" max="6403" width="19.140625" style="863" customWidth="1"/>
    <col min="6404" max="6404" width="11" style="863" customWidth="1"/>
    <col min="6405" max="6408" width="9.140625" style="863"/>
    <col min="6409" max="6409" width="11.5703125" style="863" customWidth="1"/>
    <col min="6410" max="6410" width="18.42578125" style="863" customWidth="1"/>
    <col min="6411" max="6657" width="9.140625" style="863"/>
    <col min="6658" max="6658" width="39.85546875" style="863" customWidth="1"/>
    <col min="6659" max="6659" width="19.140625" style="863" customWidth="1"/>
    <col min="6660" max="6660" width="11" style="863" customWidth="1"/>
    <col min="6661" max="6664" width="9.140625" style="863"/>
    <col min="6665" max="6665" width="11.5703125" style="863" customWidth="1"/>
    <col min="6666" max="6666" width="18.42578125" style="863" customWidth="1"/>
    <col min="6667" max="6913" width="9.140625" style="863"/>
    <col min="6914" max="6914" width="39.85546875" style="863" customWidth="1"/>
    <col min="6915" max="6915" width="19.140625" style="863" customWidth="1"/>
    <col min="6916" max="6916" width="11" style="863" customWidth="1"/>
    <col min="6917" max="6920" width="9.140625" style="863"/>
    <col min="6921" max="6921" width="11.5703125" style="863" customWidth="1"/>
    <col min="6922" max="6922" width="18.42578125" style="863" customWidth="1"/>
    <col min="6923" max="7169" width="9.140625" style="863"/>
    <col min="7170" max="7170" width="39.85546875" style="863" customWidth="1"/>
    <col min="7171" max="7171" width="19.140625" style="863" customWidth="1"/>
    <col min="7172" max="7172" width="11" style="863" customWidth="1"/>
    <col min="7173" max="7176" width="9.140625" style="863"/>
    <col min="7177" max="7177" width="11.5703125" style="863" customWidth="1"/>
    <col min="7178" max="7178" width="18.42578125" style="863" customWidth="1"/>
    <col min="7179" max="7425" width="9.140625" style="863"/>
    <col min="7426" max="7426" width="39.85546875" style="863" customWidth="1"/>
    <col min="7427" max="7427" width="19.140625" style="863" customWidth="1"/>
    <col min="7428" max="7428" width="11" style="863" customWidth="1"/>
    <col min="7429" max="7432" width="9.140625" style="863"/>
    <col min="7433" max="7433" width="11.5703125" style="863" customWidth="1"/>
    <col min="7434" max="7434" width="18.42578125" style="863" customWidth="1"/>
    <col min="7435" max="7681" width="9.140625" style="863"/>
    <col min="7682" max="7682" width="39.85546875" style="863" customWidth="1"/>
    <col min="7683" max="7683" width="19.140625" style="863" customWidth="1"/>
    <col min="7684" max="7684" width="11" style="863" customWidth="1"/>
    <col min="7685" max="7688" width="9.140625" style="863"/>
    <col min="7689" max="7689" width="11.5703125" style="863" customWidth="1"/>
    <col min="7690" max="7690" width="18.42578125" style="863" customWidth="1"/>
    <col min="7691" max="7937" width="9.140625" style="863"/>
    <col min="7938" max="7938" width="39.85546875" style="863" customWidth="1"/>
    <col min="7939" max="7939" width="19.140625" style="863" customWidth="1"/>
    <col min="7940" max="7940" width="11" style="863" customWidth="1"/>
    <col min="7941" max="7944" width="9.140625" style="863"/>
    <col min="7945" max="7945" width="11.5703125" style="863" customWidth="1"/>
    <col min="7946" max="7946" width="18.42578125" style="863" customWidth="1"/>
    <col min="7947" max="8193" width="9.140625" style="863"/>
    <col min="8194" max="8194" width="39.85546875" style="863" customWidth="1"/>
    <col min="8195" max="8195" width="19.140625" style="863" customWidth="1"/>
    <col min="8196" max="8196" width="11" style="863" customWidth="1"/>
    <col min="8197" max="8200" width="9.140625" style="863"/>
    <col min="8201" max="8201" width="11.5703125" style="863" customWidth="1"/>
    <col min="8202" max="8202" width="18.42578125" style="863" customWidth="1"/>
    <col min="8203" max="8449" width="9.140625" style="863"/>
    <col min="8450" max="8450" width="39.85546875" style="863" customWidth="1"/>
    <col min="8451" max="8451" width="19.140625" style="863" customWidth="1"/>
    <col min="8452" max="8452" width="11" style="863" customWidth="1"/>
    <col min="8453" max="8456" width="9.140625" style="863"/>
    <col min="8457" max="8457" width="11.5703125" style="863" customWidth="1"/>
    <col min="8458" max="8458" width="18.42578125" style="863" customWidth="1"/>
    <col min="8459" max="8705" width="9.140625" style="863"/>
    <col min="8706" max="8706" width="39.85546875" style="863" customWidth="1"/>
    <col min="8707" max="8707" width="19.140625" style="863" customWidth="1"/>
    <col min="8708" max="8708" width="11" style="863" customWidth="1"/>
    <col min="8709" max="8712" width="9.140625" style="863"/>
    <col min="8713" max="8713" width="11.5703125" style="863" customWidth="1"/>
    <col min="8714" max="8714" width="18.42578125" style="863" customWidth="1"/>
    <col min="8715" max="8961" width="9.140625" style="863"/>
    <col min="8962" max="8962" width="39.85546875" style="863" customWidth="1"/>
    <col min="8963" max="8963" width="19.140625" style="863" customWidth="1"/>
    <col min="8964" max="8964" width="11" style="863" customWidth="1"/>
    <col min="8965" max="8968" width="9.140625" style="863"/>
    <col min="8969" max="8969" width="11.5703125" style="863" customWidth="1"/>
    <col min="8970" max="8970" width="18.42578125" style="863" customWidth="1"/>
    <col min="8971" max="9217" width="9.140625" style="863"/>
    <col min="9218" max="9218" width="39.85546875" style="863" customWidth="1"/>
    <col min="9219" max="9219" width="19.140625" style="863" customWidth="1"/>
    <col min="9220" max="9220" width="11" style="863" customWidth="1"/>
    <col min="9221" max="9224" width="9.140625" style="863"/>
    <col min="9225" max="9225" width="11.5703125" style="863" customWidth="1"/>
    <col min="9226" max="9226" width="18.42578125" style="863" customWidth="1"/>
    <col min="9227" max="9473" width="9.140625" style="863"/>
    <col min="9474" max="9474" width="39.85546875" style="863" customWidth="1"/>
    <col min="9475" max="9475" width="19.140625" style="863" customWidth="1"/>
    <col min="9476" max="9476" width="11" style="863" customWidth="1"/>
    <col min="9477" max="9480" width="9.140625" style="863"/>
    <col min="9481" max="9481" width="11.5703125" style="863" customWidth="1"/>
    <col min="9482" max="9482" width="18.42578125" style="863" customWidth="1"/>
    <col min="9483" max="9729" width="9.140625" style="863"/>
    <col min="9730" max="9730" width="39.85546875" style="863" customWidth="1"/>
    <col min="9731" max="9731" width="19.140625" style="863" customWidth="1"/>
    <col min="9732" max="9732" width="11" style="863" customWidth="1"/>
    <col min="9733" max="9736" width="9.140625" style="863"/>
    <col min="9737" max="9737" width="11.5703125" style="863" customWidth="1"/>
    <col min="9738" max="9738" width="18.42578125" style="863" customWidth="1"/>
    <col min="9739" max="9985" width="9.140625" style="863"/>
    <col min="9986" max="9986" width="39.85546875" style="863" customWidth="1"/>
    <col min="9987" max="9987" width="19.140625" style="863" customWidth="1"/>
    <col min="9988" max="9988" width="11" style="863" customWidth="1"/>
    <col min="9989" max="9992" width="9.140625" style="863"/>
    <col min="9993" max="9993" width="11.5703125" style="863" customWidth="1"/>
    <col min="9994" max="9994" width="18.42578125" style="863" customWidth="1"/>
    <col min="9995" max="10241" width="9.140625" style="863"/>
    <col min="10242" max="10242" width="39.85546875" style="863" customWidth="1"/>
    <col min="10243" max="10243" width="19.140625" style="863" customWidth="1"/>
    <col min="10244" max="10244" width="11" style="863" customWidth="1"/>
    <col min="10245" max="10248" width="9.140625" style="863"/>
    <col min="10249" max="10249" width="11.5703125" style="863" customWidth="1"/>
    <col min="10250" max="10250" width="18.42578125" style="863" customWidth="1"/>
    <col min="10251" max="10497" width="9.140625" style="863"/>
    <col min="10498" max="10498" width="39.85546875" style="863" customWidth="1"/>
    <col min="10499" max="10499" width="19.140625" style="863" customWidth="1"/>
    <col min="10500" max="10500" width="11" style="863" customWidth="1"/>
    <col min="10501" max="10504" width="9.140625" style="863"/>
    <col min="10505" max="10505" width="11.5703125" style="863" customWidth="1"/>
    <col min="10506" max="10506" width="18.42578125" style="863" customWidth="1"/>
    <col min="10507" max="10753" width="9.140625" style="863"/>
    <col min="10754" max="10754" width="39.85546875" style="863" customWidth="1"/>
    <col min="10755" max="10755" width="19.140625" style="863" customWidth="1"/>
    <col min="10756" max="10756" width="11" style="863" customWidth="1"/>
    <col min="10757" max="10760" width="9.140625" style="863"/>
    <col min="10761" max="10761" width="11.5703125" style="863" customWidth="1"/>
    <col min="10762" max="10762" width="18.42578125" style="863" customWidth="1"/>
    <col min="10763" max="11009" width="9.140625" style="863"/>
    <col min="11010" max="11010" width="39.85546875" style="863" customWidth="1"/>
    <col min="11011" max="11011" width="19.140625" style="863" customWidth="1"/>
    <col min="11012" max="11012" width="11" style="863" customWidth="1"/>
    <col min="11013" max="11016" width="9.140625" style="863"/>
    <col min="11017" max="11017" width="11.5703125" style="863" customWidth="1"/>
    <col min="11018" max="11018" width="18.42578125" style="863" customWidth="1"/>
    <col min="11019" max="11265" width="9.140625" style="863"/>
    <col min="11266" max="11266" width="39.85546875" style="863" customWidth="1"/>
    <col min="11267" max="11267" width="19.140625" style="863" customWidth="1"/>
    <col min="11268" max="11268" width="11" style="863" customWidth="1"/>
    <col min="11269" max="11272" width="9.140625" style="863"/>
    <col min="11273" max="11273" width="11.5703125" style="863" customWidth="1"/>
    <col min="11274" max="11274" width="18.42578125" style="863" customWidth="1"/>
    <col min="11275" max="11521" width="9.140625" style="863"/>
    <col min="11522" max="11522" width="39.85546875" style="863" customWidth="1"/>
    <col min="11523" max="11523" width="19.140625" style="863" customWidth="1"/>
    <col min="11524" max="11524" width="11" style="863" customWidth="1"/>
    <col min="11525" max="11528" width="9.140625" style="863"/>
    <col min="11529" max="11529" width="11.5703125" style="863" customWidth="1"/>
    <col min="11530" max="11530" width="18.42578125" style="863" customWidth="1"/>
    <col min="11531" max="11777" width="9.140625" style="863"/>
    <col min="11778" max="11778" width="39.85546875" style="863" customWidth="1"/>
    <col min="11779" max="11779" width="19.140625" style="863" customWidth="1"/>
    <col min="11780" max="11780" width="11" style="863" customWidth="1"/>
    <col min="11781" max="11784" width="9.140625" style="863"/>
    <col min="11785" max="11785" width="11.5703125" style="863" customWidth="1"/>
    <col min="11786" max="11786" width="18.42578125" style="863" customWidth="1"/>
    <col min="11787" max="12033" width="9.140625" style="863"/>
    <col min="12034" max="12034" width="39.85546875" style="863" customWidth="1"/>
    <col min="12035" max="12035" width="19.140625" style="863" customWidth="1"/>
    <col min="12036" max="12036" width="11" style="863" customWidth="1"/>
    <col min="12037" max="12040" width="9.140625" style="863"/>
    <col min="12041" max="12041" width="11.5703125" style="863" customWidth="1"/>
    <col min="12042" max="12042" width="18.42578125" style="863" customWidth="1"/>
    <col min="12043" max="12289" width="9.140625" style="863"/>
    <col min="12290" max="12290" width="39.85546875" style="863" customWidth="1"/>
    <col min="12291" max="12291" width="19.140625" style="863" customWidth="1"/>
    <col min="12292" max="12292" width="11" style="863" customWidth="1"/>
    <col min="12293" max="12296" width="9.140625" style="863"/>
    <col min="12297" max="12297" width="11.5703125" style="863" customWidth="1"/>
    <col min="12298" max="12298" width="18.42578125" style="863" customWidth="1"/>
    <col min="12299" max="12545" width="9.140625" style="863"/>
    <col min="12546" max="12546" width="39.85546875" style="863" customWidth="1"/>
    <col min="12547" max="12547" width="19.140625" style="863" customWidth="1"/>
    <col min="12548" max="12548" width="11" style="863" customWidth="1"/>
    <col min="12549" max="12552" width="9.140625" style="863"/>
    <col min="12553" max="12553" width="11.5703125" style="863" customWidth="1"/>
    <col min="12554" max="12554" width="18.42578125" style="863" customWidth="1"/>
    <col min="12555" max="12801" width="9.140625" style="863"/>
    <col min="12802" max="12802" width="39.85546875" style="863" customWidth="1"/>
    <col min="12803" max="12803" width="19.140625" style="863" customWidth="1"/>
    <col min="12804" max="12804" width="11" style="863" customWidth="1"/>
    <col min="12805" max="12808" width="9.140625" style="863"/>
    <col min="12809" max="12809" width="11.5703125" style="863" customWidth="1"/>
    <col min="12810" max="12810" width="18.42578125" style="863" customWidth="1"/>
    <col min="12811" max="13057" width="9.140625" style="863"/>
    <col min="13058" max="13058" width="39.85546875" style="863" customWidth="1"/>
    <col min="13059" max="13059" width="19.140625" style="863" customWidth="1"/>
    <col min="13060" max="13060" width="11" style="863" customWidth="1"/>
    <col min="13061" max="13064" width="9.140625" style="863"/>
    <col min="13065" max="13065" width="11.5703125" style="863" customWidth="1"/>
    <col min="13066" max="13066" width="18.42578125" style="863" customWidth="1"/>
    <col min="13067" max="13313" width="9.140625" style="863"/>
    <col min="13314" max="13314" width="39.85546875" style="863" customWidth="1"/>
    <col min="13315" max="13315" width="19.140625" style="863" customWidth="1"/>
    <col min="13316" max="13316" width="11" style="863" customWidth="1"/>
    <col min="13317" max="13320" width="9.140625" style="863"/>
    <col min="13321" max="13321" width="11.5703125" style="863" customWidth="1"/>
    <col min="13322" max="13322" width="18.42578125" style="863" customWidth="1"/>
    <col min="13323" max="13569" width="9.140625" style="863"/>
    <col min="13570" max="13570" width="39.85546875" style="863" customWidth="1"/>
    <col min="13571" max="13571" width="19.140625" style="863" customWidth="1"/>
    <col min="13572" max="13572" width="11" style="863" customWidth="1"/>
    <col min="13573" max="13576" width="9.140625" style="863"/>
    <col min="13577" max="13577" width="11.5703125" style="863" customWidth="1"/>
    <col min="13578" max="13578" width="18.42578125" style="863" customWidth="1"/>
    <col min="13579" max="13825" width="9.140625" style="863"/>
    <col min="13826" max="13826" width="39.85546875" style="863" customWidth="1"/>
    <col min="13827" max="13827" width="19.140625" style="863" customWidth="1"/>
    <col min="13828" max="13828" width="11" style="863" customWidth="1"/>
    <col min="13829" max="13832" width="9.140625" style="863"/>
    <col min="13833" max="13833" width="11.5703125" style="863" customWidth="1"/>
    <col min="13834" max="13834" width="18.42578125" style="863" customWidth="1"/>
    <col min="13835" max="14081" width="9.140625" style="863"/>
    <col min="14082" max="14082" width="39.85546875" style="863" customWidth="1"/>
    <col min="14083" max="14083" width="19.140625" style="863" customWidth="1"/>
    <col min="14084" max="14084" width="11" style="863" customWidth="1"/>
    <col min="14085" max="14088" width="9.140625" style="863"/>
    <col min="14089" max="14089" width="11.5703125" style="863" customWidth="1"/>
    <col min="14090" max="14090" width="18.42578125" style="863" customWidth="1"/>
    <col min="14091" max="14337" width="9.140625" style="863"/>
    <col min="14338" max="14338" width="39.85546875" style="863" customWidth="1"/>
    <col min="14339" max="14339" width="19.140625" style="863" customWidth="1"/>
    <col min="14340" max="14340" width="11" style="863" customWidth="1"/>
    <col min="14341" max="14344" width="9.140625" style="863"/>
    <col min="14345" max="14345" width="11.5703125" style="863" customWidth="1"/>
    <col min="14346" max="14346" width="18.42578125" style="863" customWidth="1"/>
    <col min="14347" max="14593" width="9.140625" style="863"/>
    <col min="14594" max="14594" width="39.85546875" style="863" customWidth="1"/>
    <col min="14595" max="14595" width="19.140625" style="863" customWidth="1"/>
    <col min="14596" max="14596" width="11" style="863" customWidth="1"/>
    <col min="14597" max="14600" width="9.140625" style="863"/>
    <col min="14601" max="14601" width="11.5703125" style="863" customWidth="1"/>
    <col min="14602" max="14602" width="18.42578125" style="863" customWidth="1"/>
    <col min="14603" max="14849" width="9.140625" style="863"/>
    <col min="14850" max="14850" width="39.85546875" style="863" customWidth="1"/>
    <col min="14851" max="14851" width="19.140625" style="863" customWidth="1"/>
    <col min="14852" max="14852" width="11" style="863" customWidth="1"/>
    <col min="14853" max="14856" width="9.140625" style="863"/>
    <col min="14857" max="14857" width="11.5703125" style="863" customWidth="1"/>
    <col min="14858" max="14858" width="18.42578125" style="863" customWidth="1"/>
    <col min="14859" max="15105" width="9.140625" style="863"/>
    <col min="15106" max="15106" width="39.85546875" style="863" customWidth="1"/>
    <col min="15107" max="15107" width="19.140625" style="863" customWidth="1"/>
    <col min="15108" max="15108" width="11" style="863" customWidth="1"/>
    <col min="15109" max="15112" width="9.140625" style="863"/>
    <col min="15113" max="15113" width="11.5703125" style="863" customWidth="1"/>
    <col min="15114" max="15114" width="18.42578125" style="863" customWidth="1"/>
    <col min="15115" max="15361" width="9.140625" style="863"/>
    <col min="15362" max="15362" width="39.85546875" style="863" customWidth="1"/>
    <col min="15363" max="15363" width="19.140625" style="863" customWidth="1"/>
    <col min="15364" max="15364" width="11" style="863" customWidth="1"/>
    <col min="15365" max="15368" width="9.140625" style="863"/>
    <col min="15369" max="15369" width="11.5703125" style="863" customWidth="1"/>
    <col min="15370" max="15370" width="18.42578125" style="863" customWidth="1"/>
    <col min="15371" max="15617" width="9.140625" style="863"/>
    <col min="15618" max="15618" width="39.85546875" style="863" customWidth="1"/>
    <col min="15619" max="15619" width="19.140625" style="863" customWidth="1"/>
    <col min="15620" max="15620" width="11" style="863" customWidth="1"/>
    <col min="15621" max="15624" width="9.140625" style="863"/>
    <col min="15625" max="15625" width="11.5703125" style="863" customWidth="1"/>
    <col min="15626" max="15626" width="18.42578125" style="863" customWidth="1"/>
    <col min="15627" max="15873" width="9.140625" style="863"/>
    <col min="15874" max="15874" width="39.85546875" style="863" customWidth="1"/>
    <col min="15875" max="15875" width="19.140625" style="863" customWidth="1"/>
    <col min="15876" max="15876" width="11" style="863" customWidth="1"/>
    <col min="15877" max="15880" width="9.140625" style="863"/>
    <col min="15881" max="15881" width="11.5703125" style="863" customWidth="1"/>
    <col min="15882" max="15882" width="18.42578125" style="863" customWidth="1"/>
    <col min="15883" max="16129" width="9.140625" style="863"/>
    <col min="16130" max="16130" width="39.85546875" style="863" customWidth="1"/>
    <col min="16131" max="16131" width="19.140625" style="863" customWidth="1"/>
    <col min="16132" max="16132" width="11" style="863" customWidth="1"/>
    <col min="16133" max="16136" width="9.140625" style="863"/>
    <col min="16137" max="16137" width="11.5703125" style="863" customWidth="1"/>
    <col min="16138" max="16138" width="18.42578125" style="863" customWidth="1"/>
    <col min="16139" max="16384" width="9.140625" style="863"/>
  </cols>
  <sheetData>
    <row r="1" spans="1:12">
      <c r="I1" s="1660"/>
      <c r="J1" s="1660"/>
    </row>
    <row r="3" spans="1:12">
      <c r="A3" s="1661" t="s">
        <v>817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2" ht="14.25" customHeight="1">
      <c r="A4" s="1662" t="s">
        <v>550</v>
      </c>
      <c r="B4" s="1663"/>
      <c r="C4" s="1663"/>
      <c r="D4" s="1663"/>
      <c r="E4" s="1663"/>
      <c r="F4" s="1663"/>
      <c r="G4" s="1663"/>
      <c r="H4" s="1663"/>
      <c r="I4" s="1663"/>
      <c r="J4" s="1663"/>
    </row>
    <row r="5" spans="1:12" ht="28.5" customHeight="1">
      <c r="A5" s="1672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5" s="1672"/>
      <c r="C5" s="1672"/>
      <c r="D5" s="1672"/>
      <c r="E5" s="1672"/>
      <c r="F5" s="1672"/>
      <c r="G5" s="1672"/>
      <c r="H5" s="1672"/>
      <c r="I5" s="1672"/>
      <c r="J5" s="1672"/>
    </row>
    <row r="6" spans="1:12" ht="15.75">
      <c r="A6" s="1664" t="s">
        <v>1137</v>
      </c>
      <c r="B6" s="1664"/>
      <c r="C6" s="1664"/>
      <c r="D6" s="1664"/>
      <c r="E6" s="1664"/>
      <c r="F6" s="1664"/>
      <c r="G6" s="1664"/>
      <c r="H6" s="1664"/>
      <c r="I6" s="1664"/>
      <c r="J6" s="1664"/>
      <c r="K6" s="1665"/>
    </row>
    <row r="7" spans="1:12" ht="15.75">
      <c r="A7" s="1666" t="s">
        <v>551</v>
      </c>
      <c r="B7" s="1666"/>
      <c r="C7" s="1666"/>
      <c r="D7" s="1666"/>
      <c r="E7" s="1666"/>
      <c r="F7" s="1666"/>
      <c r="G7" s="1666"/>
      <c r="H7" s="1666"/>
      <c r="I7" s="1666"/>
      <c r="J7" s="1666"/>
      <c r="K7" s="1665"/>
    </row>
    <row r="8" spans="1:12" ht="15.75">
      <c r="A8" s="553"/>
      <c r="B8" s="553"/>
      <c r="C8" s="553"/>
      <c r="D8" s="553"/>
      <c r="E8" s="553"/>
      <c r="F8" s="553"/>
      <c r="G8" s="553"/>
      <c r="H8" s="553"/>
    </row>
    <row r="9" spans="1:12">
      <c r="I9" s="864"/>
      <c r="J9" s="865"/>
    </row>
    <row r="11" spans="1:12" ht="25.5">
      <c r="A11" s="866" t="s">
        <v>213</v>
      </c>
      <c r="B11" s="866" t="s">
        <v>198</v>
      </c>
      <c r="C11" s="866" t="s">
        <v>552</v>
      </c>
      <c r="D11" s="866" t="s">
        <v>553</v>
      </c>
      <c r="E11" s="866" t="s">
        <v>554</v>
      </c>
      <c r="F11" s="866" t="s">
        <v>555</v>
      </c>
      <c r="G11" s="866" t="s">
        <v>556</v>
      </c>
      <c r="H11" s="866" t="s">
        <v>556</v>
      </c>
      <c r="I11" s="866" t="s">
        <v>556</v>
      </c>
      <c r="J11" s="866" t="s">
        <v>557</v>
      </c>
    </row>
    <row r="12" spans="1:12">
      <c r="A12" s="1688" t="s">
        <v>550</v>
      </c>
      <c r="B12" s="1688"/>
      <c r="C12" s="1688"/>
      <c r="D12" s="1688"/>
      <c r="E12" s="1688"/>
      <c r="F12" s="1688"/>
      <c r="G12" s="1688"/>
      <c r="H12" s="1688"/>
      <c r="I12" s="1688"/>
      <c r="J12" s="1688"/>
    </row>
    <row r="13" spans="1:12" ht="24.75" customHeight="1">
      <c r="A13" s="1688" t="s">
        <v>558</v>
      </c>
      <c r="B13" s="1688"/>
      <c r="C13" s="1688"/>
      <c r="D13" s="1688"/>
      <c r="E13" s="1688"/>
      <c r="F13" s="1688"/>
      <c r="G13" s="1688"/>
      <c r="H13" s="1688"/>
      <c r="I13" s="1688"/>
      <c r="J13" s="1688"/>
    </row>
    <row r="14" spans="1:12">
      <c r="A14" s="867"/>
      <c r="B14" s="1679" t="s">
        <v>559</v>
      </c>
      <c r="C14" s="1680"/>
      <c r="D14" s="1680"/>
      <c r="E14" s="1680"/>
      <c r="F14" s="1680"/>
      <c r="G14" s="1680"/>
      <c r="H14" s="1680"/>
      <c r="I14" s="1680"/>
      <c r="J14" s="1681"/>
    </row>
    <row r="15" spans="1:12" ht="33.6" customHeight="1">
      <c r="A15" s="868">
        <v>1</v>
      </c>
      <c r="B15" s="869" t="s">
        <v>560</v>
      </c>
      <c r="C15" s="868" t="s">
        <v>561</v>
      </c>
      <c r="D15" s="868" t="s">
        <v>371</v>
      </c>
      <c r="E15" s="870">
        <v>0.5</v>
      </c>
      <c r="F15" s="866">
        <v>42</v>
      </c>
      <c r="G15" s="870">
        <v>1</v>
      </c>
      <c r="H15" s="870">
        <v>1</v>
      </c>
      <c r="I15" s="870">
        <v>1</v>
      </c>
      <c r="J15" s="871">
        <f>E15*F15*G15*H15*I15</f>
        <v>21</v>
      </c>
      <c r="K15" s="872"/>
      <c r="L15" s="873"/>
    </row>
    <row r="16" spans="1:12" ht="33.6" customHeight="1">
      <c r="A16" s="868">
        <v>2</v>
      </c>
      <c r="B16" s="869" t="s">
        <v>562</v>
      </c>
      <c r="C16" s="868" t="s">
        <v>563</v>
      </c>
      <c r="D16" s="868" t="s">
        <v>371</v>
      </c>
      <c r="E16" s="870">
        <v>2</v>
      </c>
      <c r="F16" s="866">
        <v>24</v>
      </c>
      <c r="G16" s="870">
        <v>1</v>
      </c>
      <c r="H16" s="870">
        <v>1</v>
      </c>
      <c r="I16" s="870">
        <v>1</v>
      </c>
      <c r="J16" s="871">
        <f>E16*F16*G16*H16*I16</f>
        <v>48</v>
      </c>
      <c r="K16" s="872"/>
      <c r="L16" s="873"/>
    </row>
    <row r="17" spans="1:14">
      <c r="A17" s="866">
        <v>3</v>
      </c>
      <c r="B17" s="874" t="s">
        <v>514</v>
      </c>
      <c r="C17" s="866" t="s">
        <v>564</v>
      </c>
      <c r="D17" s="866" t="s">
        <v>515</v>
      </c>
      <c r="E17" s="866">
        <v>15</v>
      </c>
      <c r="F17" s="866">
        <v>7</v>
      </c>
      <c r="G17" s="870">
        <v>1</v>
      </c>
      <c r="H17" s="870">
        <v>1</v>
      </c>
      <c r="I17" s="870">
        <v>1</v>
      </c>
      <c r="J17" s="871">
        <f t="shared" ref="J17" si="0">E17*F17*G17*H17*I17</f>
        <v>105</v>
      </c>
    </row>
    <row r="18" spans="1:14">
      <c r="A18" s="1676" t="s">
        <v>1101</v>
      </c>
      <c r="B18" s="1677"/>
      <c r="C18" s="1677"/>
      <c r="D18" s="1677"/>
      <c r="E18" s="1677"/>
      <c r="F18" s="1677"/>
      <c r="G18" s="1678"/>
      <c r="H18" s="875"/>
      <c r="I18" s="875"/>
      <c r="J18" s="876">
        <f>SUM(J15:J17)*1.2*1.4</f>
        <v>292.32</v>
      </c>
    </row>
    <row r="19" spans="1:14">
      <c r="A19" s="877"/>
      <c r="B19" s="1679" t="s">
        <v>565</v>
      </c>
      <c r="C19" s="1680"/>
      <c r="D19" s="1680"/>
      <c r="E19" s="1680"/>
      <c r="F19" s="1680"/>
      <c r="G19" s="1680"/>
      <c r="H19" s="1680"/>
      <c r="I19" s="1680"/>
      <c r="J19" s="1681"/>
    </row>
    <row r="20" spans="1:14" ht="33.75" customHeight="1">
      <c r="A20" s="870">
        <v>4</v>
      </c>
      <c r="B20" s="878" t="s">
        <v>566</v>
      </c>
      <c r="C20" s="1673" t="s">
        <v>567</v>
      </c>
      <c r="D20" s="1674"/>
      <c r="E20" s="1675"/>
      <c r="F20" s="879">
        <f>J18</f>
        <v>292.32</v>
      </c>
      <c r="G20" s="870">
        <v>8.7499999999999994E-2</v>
      </c>
      <c r="H20" s="870">
        <v>1</v>
      </c>
      <c r="I20" s="870">
        <v>1</v>
      </c>
      <c r="J20" s="880">
        <f>F20*G20</f>
        <v>25.6</v>
      </c>
    </row>
    <row r="21" spans="1:14" ht="36" customHeight="1">
      <c r="A21" s="870">
        <v>5</v>
      </c>
      <c r="B21" s="878" t="s">
        <v>568</v>
      </c>
      <c r="C21" s="1673" t="s">
        <v>569</v>
      </c>
      <c r="D21" s="1674"/>
      <c r="E21" s="1675"/>
      <c r="F21" s="880">
        <f>J18+J20</f>
        <v>317.89999999999998</v>
      </c>
      <c r="G21" s="870">
        <v>0.06</v>
      </c>
      <c r="H21" s="870">
        <v>2.5</v>
      </c>
      <c r="I21" s="870">
        <v>1</v>
      </c>
      <c r="J21" s="880">
        <f>F21*G21*H21*I21</f>
        <v>47.7</v>
      </c>
    </row>
    <row r="22" spans="1:14" ht="37.5" customHeight="1">
      <c r="A22" s="870">
        <v>6</v>
      </c>
      <c r="B22" s="878" t="s">
        <v>570</v>
      </c>
      <c r="C22" s="1673" t="s">
        <v>571</v>
      </c>
      <c r="D22" s="1674"/>
      <c r="E22" s="1675"/>
      <c r="F22" s="880">
        <f>F21</f>
        <v>317.89999999999998</v>
      </c>
      <c r="G22" s="870">
        <v>0.36399999999999999</v>
      </c>
      <c r="H22" s="870">
        <v>1</v>
      </c>
      <c r="I22" s="870">
        <v>1</v>
      </c>
      <c r="J22" s="880">
        <f>F22*G22*H22*I22</f>
        <v>115.7</v>
      </c>
    </row>
    <row r="23" spans="1:14">
      <c r="A23" s="1676" t="s">
        <v>572</v>
      </c>
      <c r="B23" s="1677"/>
      <c r="C23" s="1677"/>
      <c r="D23" s="1677"/>
      <c r="E23" s="1677"/>
      <c r="F23" s="1677"/>
      <c r="G23" s="1678"/>
      <c r="H23" s="875"/>
      <c r="I23" s="875"/>
      <c r="J23" s="881">
        <f>J20+J21+J22</f>
        <v>189</v>
      </c>
    </row>
    <row r="24" spans="1:14">
      <c r="A24" s="877"/>
      <c r="B24" s="1679" t="s">
        <v>573</v>
      </c>
      <c r="C24" s="1680"/>
      <c r="D24" s="1680"/>
      <c r="E24" s="1680"/>
      <c r="F24" s="1680"/>
      <c r="G24" s="1680"/>
      <c r="H24" s="1680"/>
      <c r="I24" s="1680"/>
      <c r="J24" s="1681"/>
    </row>
    <row r="25" spans="1:14" ht="38.450000000000003" customHeight="1">
      <c r="A25" s="870">
        <v>7</v>
      </c>
      <c r="B25" s="878" t="s">
        <v>560</v>
      </c>
      <c r="C25" s="866" t="s">
        <v>574</v>
      </c>
      <c r="D25" s="866" t="s">
        <v>575</v>
      </c>
      <c r="E25" s="866">
        <f>E15</f>
        <v>0.5</v>
      </c>
      <c r="F25" s="866">
        <v>14</v>
      </c>
      <c r="G25" s="870">
        <v>1</v>
      </c>
      <c r="H25" s="870">
        <v>1</v>
      </c>
      <c r="I25" s="870">
        <v>1</v>
      </c>
      <c r="J25" s="870">
        <f>E25*F25*G25</f>
        <v>7</v>
      </c>
    </row>
    <row r="26" spans="1:14" ht="38.450000000000003" customHeight="1">
      <c r="A26" s="870">
        <v>8</v>
      </c>
      <c r="B26" s="882" t="s">
        <v>562</v>
      </c>
      <c r="C26" s="866" t="s">
        <v>563</v>
      </c>
      <c r="D26" s="866" t="s">
        <v>575</v>
      </c>
      <c r="E26" s="866">
        <f>E16</f>
        <v>2</v>
      </c>
      <c r="F26" s="866">
        <v>8</v>
      </c>
      <c r="G26" s="870">
        <v>1</v>
      </c>
      <c r="H26" s="870">
        <v>1</v>
      </c>
      <c r="I26" s="870">
        <v>1</v>
      </c>
      <c r="J26" s="870">
        <f>E26*F26*G26</f>
        <v>16</v>
      </c>
    </row>
    <row r="27" spans="1:14" ht="25.5">
      <c r="A27" s="870">
        <v>9</v>
      </c>
      <c r="B27" s="878" t="s">
        <v>576</v>
      </c>
      <c r="C27" s="866" t="s">
        <v>577</v>
      </c>
      <c r="D27" s="870" t="s">
        <v>533</v>
      </c>
      <c r="E27" s="866">
        <v>1</v>
      </c>
      <c r="F27" s="866">
        <v>262</v>
      </c>
      <c r="G27" s="870">
        <v>1</v>
      </c>
      <c r="H27" s="870">
        <v>1</v>
      </c>
      <c r="I27" s="870">
        <v>1</v>
      </c>
      <c r="J27" s="870">
        <f>PRODUCT(E27:I27)</f>
        <v>262</v>
      </c>
    </row>
    <row r="28" spans="1:14" ht="34.5" customHeight="1">
      <c r="A28" s="870">
        <v>10</v>
      </c>
      <c r="B28" s="878" t="s">
        <v>578</v>
      </c>
      <c r="C28" s="866" t="s">
        <v>579</v>
      </c>
      <c r="D28" s="866" t="s">
        <v>528</v>
      </c>
      <c r="E28" s="866">
        <v>3</v>
      </c>
      <c r="F28" s="866">
        <v>34</v>
      </c>
      <c r="G28" s="870">
        <v>1</v>
      </c>
      <c r="H28" s="870">
        <v>1</v>
      </c>
      <c r="I28" s="870">
        <v>1</v>
      </c>
      <c r="J28" s="870">
        <f>PRODUCT(E28:G28)</f>
        <v>102</v>
      </c>
    </row>
    <row r="29" spans="1:14" ht="15.75">
      <c r="A29" s="870">
        <v>11</v>
      </c>
      <c r="B29" s="878" t="s">
        <v>580</v>
      </c>
      <c r="C29" s="866" t="s">
        <v>579</v>
      </c>
      <c r="D29" s="866" t="s">
        <v>528</v>
      </c>
      <c r="E29" s="866">
        <v>3</v>
      </c>
      <c r="F29" s="866">
        <v>34</v>
      </c>
      <c r="G29" s="870">
        <v>1</v>
      </c>
      <c r="H29" s="870">
        <v>1</v>
      </c>
      <c r="I29" s="870">
        <v>1</v>
      </c>
      <c r="J29" s="870">
        <f>PRODUCT(E29:G29)</f>
        <v>102</v>
      </c>
      <c r="N29" s="883"/>
    </row>
    <row r="30" spans="1:14" ht="47.25" customHeight="1">
      <c r="A30" s="870">
        <v>12</v>
      </c>
      <c r="B30" s="878" t="s">
        <v>581</v>
      </c>
      <c r="C30" s="866" t="s">
        <v>579</v>
      </c>
      <c r="D30" s="866" t="s">
        <v>528</v>
      </c>
      <c r="E30" s="866">
        <v>3</v>
      </c>
      <c r="F30" s="866">
        <v>34</v>
      </c>
      <c r="G30" s="870">
        <v>1</v>
      </c>
      <c r="H30" s="870">
        <v>1</v>
      </c>
      <c r="I30" s="870">
        <v>1</v>
      </c>
      <c r="J30" s="870">
        <f>PRODUCT(E30:G30)</f>
        <v>102</v>
      </c>
      <c r="N30" s="884"/>
    </row>
    <row r="31" spans="1:14" ht="42.75" customHeight="1">
      <c r="A31" s="870">
        <v>13</v>
      </c>
      <c r="B31" s="878" t="s">
        <v>582</v>
      </c>
      <c r="C31" s="866" t="s">
        <v>583</v>
      </c>
      <c r="D31" s="866" t="s">
        <v>584</v>
      </c>
      <c r="E31" s="866">
        <v>22</v>
      </c>
      <c r="F31" s="866">
        <v>7</v>
      </c>
      <c r="G31" s="870">
        <v>1</v>
      </c>
      <c r="H31" s="870">
        <v>1</v>
      </c>
      <c r="I31" s="870">
        <v>1</v>
      </c>
      <c r="J31" s="870">
        <f t="shared" ref="J31:J34" si="1">PRODUCT(E31:G31)</f>
        <v>154</v>
      </c>
    </row>
    <row r="32" spans="1:14" ht="60.75" customHeight="1">
      <c r="A32" s="870">
        <v>14</v>
      </c>
      <c r="B32" s="878" t="s">
        <v>585</v>
      </c>
      <c r="C32" s="866" t="s">
        <v>579</v>
      </c>
      <c r="D32" s="866" t="s">
        <v>528</v>
      </c>
      <c r="E32" s="866">
        <v>3</v>
      </c>
      <c r="F32" s="866">
        <v>34</v>
      </c>
      <c r="G32" s="870">
        <v>1</v>
      </c>
      <c r="H32" s="870">
        <v>1</v>
      </c>
      <c r="I32" s="870">
        <v>1</v>
      </c>
      <c r="J32" s="870">
        <f t="shared" si="1"/>
        <v>102</v>
      </c>
    </row>
    <row r="33" spans="1:15" ht="60.75" customHeight="1">
      <c r="A33" s="870">
        <v>15</v>
      </c>
      <c r="B33" s="878" t="s">
        <v>586</v>
      </c>
      <c r="C33" s="866" t="s">
        <v>579</v>
      </c>
      <c r="D33" s="866" t="s">
        <v>528</v>
      </c>
      <c r="E33" s="866">
        <v>22</v>
      </c>
      <c r="F33" s="866">
        <v>34</v>
      </c>
      <c r="G33" s="870">
        <v>1</v>
      </c>
      <c r="H33" s="870">
        <v>1</v>
      </c>
      <c r="I33" s="870">
        <v>1</v>
      </c>
      <c r="J33" s="885">
        <f>PRODUCT(E33,F33,G33,H33,I33)</f>
        <v>748</v>
      </c>
    </row>
    <row r="34" spans="1:15" ht="72.75" customHeight="1">
      <c r="A34" s="870">
        <v>16</v>
      </c>
      <c r="B34" s="878" t="s">
        <v>587</v>
      </c>
      <c r="C34" s="866" t="s">
        <v>579</v>
      </c>
      <c r="D34" s="866" t="s">
        <v>528</v>
      </c>
      <c r="E34" s="866">
        <v>3</v>
      </c>
      <c r="F34" s="866">
        <v>34</v>
      </c>
      <c r="G34" s="870">
        <v>1</v>
      </c>
      <c r="H34" s="870">
        <v>1</v>
      </c>
      <c r="I34" s="870">
        <v>1</v>
      </c>
      <c r="J34" s="870">
        <f t="shared" si="1"/>
        <v>102</v>
      </c>
      <c r="O34" s="884"/>
    </row>
    <row r="35" spans="1:15" ht="72.75" customHeight="1">
      <c r="A35" s="870">
        <v>17</v>
      </c>
      <c r="B35" s="878" t="s">
        <v>588</v>
      </c>
      <c r="C35" s="866" t="s">
        <v>579</v>
      </c>
      <c r="D35" s="866" t="s">
        <v>528</v>
      </c>
      <c r="E35" s="866">
        <v>22</v>
      </c>
      <c r="F35" s="866">
        <v>34</v>
      </c>
      <c r="G35" s="870">
        <v>1</v>
      </c>
      <c r="H35" s="870">
        <v>1</v>
      </c>
      <c r="I35" s="870">
        <v>1</v>
      </c>
      <c r="J35" s="885">
        <f>PRODUCT(E35,F35,G35,H35,I35)</f>
        <v>748</v>
      </c>
      <c r="O35" s="884"/>
    </row>
    <row r="36" spans="1:15" ht="57" customHeight="1">
      <c r="A36" s="870">
        <v>18</v>
      </c>
      <c r="B36" s="886" t="s">
        <v>589</v>
      </c>
      <c r="C36" s="868" t="s">
        <v>590</v>
      </c>
      <c r="D36" s="887" t="s">
        <v>528</v>
      </c>
      <c r="E36" s="868">
        <v>22</v>
      </c>
      <c r="F36" s="868">
        <v>64</v>
      </c>
      <c r="G36" s="887">
        <v>1</v>
      </c>
      <c r="H36" s="870">
        <v>1</v>
      </c>
      <c r="I36" s="870">
        <v>1</v>
      </c>
      <c r="J36" s="887">
        <f>PRODUCT(E36,F36,G36)</f>
        <v>1408</v>
      </c>
    </row>
    <row r="37" spans="1:15" ht="58.5" customHeight="1">
      <c r="A37" s="870">
        <v>19</v>
      </c>
      <c r="B37" s="878" t="s">
        <v>591</v>
      </c>
      <c r="C37" s="866" t="s">
        <v>577</v>
      </c>
      <c r="D37" s="870" t="s">
        <v>533</v>
      </c>
      <c r="E37" s="866">
        <v>1</v>
      </c>
      <c r="F37" s="870">
        <v>262</v>
      </c>
      <c r="G37" s="870">
        <v>1</v>
      </c>
      <c r="H37" s="870">
        <v>1</v>
      </c>
      <c r="I37" s="870">
        <v>1</v>
      </c>
      <c r="J37" s="870">
        <f>E37*F37*G37</f>
        <v>262</v>
      </c>
    </row>
    <row r="38" spans="1:15" ht="58.5" customHeight="1">
      <c r="A38" s="870">
        <v>20</v>
      </c>
      <c r="B38" s="878" t="s">
        <v>592</v>
      </c>
      <c r="C38" s="866" t="s">
        <v>593</v>
      </c>
      <c r="D38" s="870" t="s">
        <v>594</v>
      </c>
      <c r="E38" s="866">
        <v>1</v>
      </c>
      <c r="F38" s="870">
        <v>108</v>
      </c>
      <c r="G38" s="870">
        <v>1</v>
      </c>
      <c r="H38" s="870">
        <v>1</v>
      </c>
      <c r="I38" s="870">
        <v>1</v>
      </c>
      <c r="J38" s="870">
        <f>E38*F38*G38</f>
        <v>108</v>
      </c>
    </row>
    <row r="39" spans="1:15">
      <c r="A39" s="1682" t="s">
        <v>595</v>
      </c>
      <c r="B39" s="1683"/>
      <c r="C39" s="1683"/>
      <c r="D39" s="1683"/>
      <c r="E39" s="1683"/>
      <c r="F39" s="1684"/>
      <c r="G39" s="888"/>
      <c r="H39" s="888"/>
      <c r="I39" s="888"/>
      <c r="J39" s="889">
        <f>SUM(J25:J38)</f>
        <v>4223</v>
      </c>
    </row>
    <row r="40" spans="1:15" ht="37.5" customHeight="1">
      <c r="A40" s="870">
        <v>21</v>
      </c>
      <c r="B40" s="878" t="s">
        <v>596</v>
      </c>
      <c r="C40" s="870" t="s">
        <v>597</v>
      </c>
      <c r="D40" s="870" t="s">
        <v>492</v>
      </c>
      <c r="E40" s="870">
        <v>1</v>
      </c>
      <c r="F40" s="870">
        <v>1700</v>
      </c>
      <c r="G40" s="870">
        <v>1</v>
      </c>
      <c r="H40" s="870">
        <v>1</v>
      </c>
      <c r="I40" s="870">
        <v>1</v>
      </c>
      <c r="J40" s="870">
        <f>E40*F40*G40*H40</f>
        <v>1700</v>
      </c>
    </row>
    <row r="41" spans="1:15" ht="50.25" customHeight="1">
      <c r="A41" s="866">
        <v>22</v>
      </c>
      <c r="B41" s="878" t="s">
        <v>598</v>
      </c>
      <c r="C41" s="870" t="s">
        <v>599</v>
      </c>
      <c r="D41" s="866" t="s">
        <v>600</v>
      </c>
      <c r="E41" s="870">
        <v>1</v>
      </c>
      <c r="F41" s="890">
        <v>0.8</v>
      </c>
      <c r="G41" s="870">
        <v>1.4</v>
      </c>
      <c r="H41" s="870">
        <v>1.25</v>
      </c>
      <c r="I41" s="870">
        <v>1</v>
      </c>
      <c r="J41" s="891">
        <f>(J39+J40)*F41*G41*H41</f>
        <v>8292</v>
      </c>
    </row>
    <row r="42" spans="1:15">
      <c r="A42" s="1685" t="s">
        <v>601</v>
      </c>
      <c r="B42" s="1686"/>
      <c r="C42" s="1686"/>
      <c r="D42" s="1686"/>
      <c r="E42" s="1686"/>
      <c r="F42" s="1686"/>
      <c r="G42" s="1687"/>
      <c r="H42" s="892"/>
      <c r="I42" s="892"/>
      <c r="J42" s="881">
        <f>J41+J40+J39</f>
        <v>14215</v>
      </c>
    </row>
    <row r="43" spans="1:15">
      <c r="A43" s="1667" t="s">
        <v>1143</v>
      </c>
      <c r="B43" s="1667"/>
      <c r="C43" s="1667"/>
      <c r="D43" s="1667"/>
      <c r="E43" s="1667"/>
      <c r="F43" s="1667"/>
      <c r="G43" s="1667"/>
      <c r="H43" s="893"/>
      <c r="I43" s="893"/>
      <c r="J43" s="881">
        <f>J42+J18+J23</f>
        <v>14696</v>
      </c>
      <c r="K43" s="873"/>
      <c r="L43" s="873"/>
    </row>
    <row r="44" spans="1:15">
      <c r="A44" s="1668" t="s">
        <v>548</v>
      </c>
      <c r="B44" s="1669"/>
      <c r="C44" s="1669"/>
      <c r="D44" s="1669"/>
      <c r="E44" s="1669"/>
      <c r="F44" s="1669"/>
      <c r="G44" s="1669"/>
      <c r="H44" s="1670"/>
      <c r="I44" s="894">
        <v>0.1</v>
      </c>
      <c r="J44" s="881">
        <f>J43*I44</f>
        <v>1470</v>
      </c>
      <c r="K44" s="873"/>
      <c r="L44" s="873"/>
    </row>
    <row r="45" spans="1:15" ht="34.35" customHeight="1">
      <c r="A45" s="1671" t="s">
        <v>1142</v>
      </c>
      <c r="B45" s="1671"/>
      <c r="C45" s="1671"/>
      <c r="D45" s="1671"/>
      <c r="E45" s="1671"/>
      <c r="F45" s="1671"/>
      <c r="G45" s="877">
        <v>58.26</v>
      </c>
      <c r="H45" s="877"/>
      <c r="I45" s="877"/>
      <c r="J45" s="895">
        <f>(J43+J44)*G45</f>
        <v>941831.16</v>
      </c>
      <c r="K45" s="873"/>
      <c r="L45" s="873"/>
    </row>
    <row r="46" spans="1:15">
      <c r="A46" s="896" t="s">
        <v>797</v>
      </c>
      <c r="J46" s="897">
        <f>J45*1.2</f>
        <v>1130197.3899999999</v>
      </c>
      <c r="K46" s="873"/>
      <c r="L46" s="873"/>
    </row>
    <row r="47" spans="1:15">
      <c r="K47" s="554"/>
    </row>
    <row r="48" spans="1:15" s="558" customFormat="1" ht="27" customHeight="1">
      <c r="A48" s="555"/>
      <c r="B48" s="556"/>
      <c r="C48" s="556"/>
      <c r="D48" s="556"/>
      <c r="E48" s="556"/>
      <c r="F48" s="557"/>
    </row>
    <row r="49" spans="1:6" s="562" customFormat="1">
      <c r="A49" s="559"/>
      <c r="B49" s="560"/>
      <c r="C49" s="561"/>
      <c r="F49" s="563"/>
    </row>
    <row r="50" spans="1:6" s="562" customFormat="1">
      <c r="B50" s="560"/>
      <c r="F50" s="563"/>
    </row>
  </sheetData>
  <mergeCells count="22">
    <mergeCell ref="A43:G43"/>
    <mergeCell ref="A44:H44"/>
    <mergeCell ref="A45:F45"/>
    <mergeCell ref="A5:J5"/>
    <mergeCell ref="C21:E21"/>
    <mergeCell ref="C22:E22"/>
    <mergeCell ref="A23:G23"/>
    <mergeCell ref="B24:J24"/>
    <mergeCell ref="A39:F39"/>
    <mergeCell ref="A42:G42"/>
    <mergeCell ref="A12:J12"/>
    <mergeCell ref="A13:J13"/>
    <mergeCell ref="B14:J14"/>
    <mergeCell ref="A18:G18"/>
    <mergeCell ref="B19:J19"/>
    <mergeCell ref="C20:E20"/>
    <mergeCell ref="I1:J1"/>
    <mergeCell ref="A3:J3"/>
    <mergeCell ref="A4:J4"/>
    <mergeCell ref="A6:J6"/>
    <mergeCell ref="K6:K7"/>
    <mergeCell ref="A7:J7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8"/>
  <sheetViews>
    <sheetView topLeftCell="A56" zoomScaleSheetLayoutView="100" workbookViewId="0">
      <selection activeCell="I68" sqref="I68"/>
    </sheetView>
  </sheetViews>
  <sheetFormatPr defaultRowHeight="12.75"/>
  <cols>
    <col min="1" max="1" width="6.7109375" style="612" customWidth="1"/>
    <col min="2" max="2" width="55.7109375" style="564" customWidth="1"/>
    <col min="3" max="3" width="12.5703125" style="564" customWidth="1"/>
    <col min="4" max="4" width="40.42578125" style="564" customWidth="1"/>
    <col min="5" max="5" width="9.140625" style="564"/>
    <col min="6" max="6" width="11.5703125" style="564" customWidth="1"/>
    <col min="7" max="7" width="15.28515625" style="564" customWidth="1"/>
    <col min="8" max="16384" width="9.140625" style="564"/>
  </cols>
  <sheetData>
    <row r="1" spans="1:7">
      <c r="A1" s="1719" t="s">
        <v>816</v>
      </c>
      <c r="B1" s="1719"/>
      <c r="C1" s="1719"/>
      <c r="D1" s="1719"/>
      <c r="E1" s="1719"/>
      <c r="F1" s="1719"/>
      <c r="G1" s="1719"/>
    </row>
    <row r="2" spans="1:7">
      <c r="A2" s="1720" t="s">
        <v>602</v>
      </c>
      <c r="B2" s="1720"/>
      <c r="C2" s="1720"/>
      <c r="D2" s="1720"/>
      <c r="E2" s="1720"/>
      <c r="F2" s="1720"/>
      <c r="G2" s="1720"/>
    </row>
    <row r="3" spans="1:7">
      <c r="A3" s="565"/>
      <c r="B3" s="566"/>
      <c r="C3" s="567"/>
      <c r="D3" s="568"/>
      <c r="E3" s="569"/>
      <c r="F3" s="566"/>
      <c r="G3" s="570"/>
    </row>
    <row r="4" spans="1:7" ht="51.75" customHeight="1">
      <c r="A4" s="1721" t="s">
        <v>603</v>
      </c>
      <c r="B4" s="1722"/>
      <c r="C4" s="571"/>
      <c r="D4" s="1717" t="s">
        <v>1102</v>
      </c>
      <c r="E4" s="1717"/>
      <c r="F4" s="1717"/>
      <c r="G4" s="1718"/>
    </row>
    <row r="5" spans="1:7" ht="21.75" customHeight="1">
      <c r="A5" s="572"/>
      <c r="B5" s="572"/>
      <c r="C5" s="572"/>
      <c r="D5" s="1723"/>
      <c r="E5" s="1723"/>
      <c r="F5" s="1723"/>
      <c r="G5" s="1723"/>
    </row>
    <row r="6" spans="1:7">
      <c r="A6" s="778" t="s">
        <v>604</v>
      </c>
      <c r="B6" s="571"/>
      <c r="C6" s="779"/>
      <c r="D6" s="1716" t="s">
        <v>605</v>
      </c>
      <c r="E6" s="1717"/>
      <c r="F6" s="1717"/>
      <c r="G6" s="1718"/>
    </row>
    <row r="7" spans="1:7">
      <c r="A7" s="565"/>
      <c r="B7" s="566"/>
      <c r="C7" s="566"/>
      <c r="D7" s="573"/>
      <c r="E7" s="573"/>
      <c r="F7" s="573"/>
      <c r="G7" s="573"/>
    </row>
    <row r="8" spans="1:7" ht="12.75" customHeight="1">
      <c r="A8" s="1696" t="s">
        <v>211</v>
      </c>
      <c r="B8" s="1697"/>
      <c r="C8" s="1698"/>
      <c r="D8" s="1702"/>
      <c r="E8" s="1703"/>
      <c r="F8" s="1703"/>
      <c r="G8" s="1704"/>
    </row>
    <row r="9" spans="1:7">
      <c r="A9" s="1699"/>
      <c r="B9" s="1700"/>
      <c r="C9" s="1701"/>
      <c r="D9" s="1705"/>
      <c r="E9" s="1706"/>
      <c r="F9" s="1706"/>
      <c r="G9" s="1707"/>
    </row>
    <row r="10" spans="1:7" ht="26.25" customHeight="1">
      <c r="A10" s="778" t="s">
        <v>306</v>
      </c>
      <c r="B10" s="571"/>
      <c r="C10" s="574" t="s">
        <v>77</v>
      </c>
      <c r="D10" s="1708" t="s">
        <v>1136</v>
      </c>
      <c r="E10" s="1709"/>
      <c r="F10" s="1709"/>
      <c r="G10" s="1710"/>
    </row>
    <row r="11" spans="1:7" ht="51.75" customHeight="1">
      <c r="A11" s="575"/>
      <c r="B11" s="1711" t="s">
        <v>606</v>
      </c>
      <c r="C11" s="1711"/>
      <c r="D11" s="1711"/>
      <c r="E11" s="1711"/>
      <c r="F11" s="1711"/>
      <c r="G11" s="1712"/>
    </row>
    <row r="12" spans="1:7" ht="13.5" thickBot="1">
      <c r="A12" s="576" t="s">
        <v>2</v>
      </c>
      <c r="B12" s="577" t="s">
        <v>607</v>
      </c>
      <c r="C12" s="577" t="s">
        <v>553</v>
      </c>
      <c r="D12" s="577" t="s">
        <v>608</v>
      </c>
      <c r="E12" s="577" t="s">
        <v>609</v>
      </c>
      <c r="F12" s="577" t="s">
        <v>610</v>
      </c>
      <c r="G12" s="898" t="s">
        <v>611</v>
      </c>
    </row>
    <row r="13" spans="1:7">
      <c r="A13" s="1713" t="s">
        <v>612</v>
      </c>
      <c r="B13" s="1714"/>
      <c r="C13" s="1714"/>
      <c r="D13" s="1714"/>
      <c r="E13" s="1714"/>
      <c r="F13" s="1714"/>
      <c r="G13" s="1715"/>
    </row>
    <row r="14" spans="1:7" ht="36" customHeight="1">
      <c r="A14" s="578">
        <v>1.1000000000000001</v>
      </c>
      <c r="B14" s="579" t="s">
        <v>613</v>
      </c>
      <c r="C14" s="579" t="s">
        <v>614</v>
      </c>
      <c r="D14" s="899" t="s">
        <v>615</v>
      </c>
      <c r="E14" s="579">
        <v>1.6</v>
      </c>
      <c r="F14" s="580">
        <v>36</v>
      </c>
      <c r="G14" s="946">
        <f>E14*F14*1.25</f>
        <v>72</v>
      </c>
    </row>
    <row r="15" spans="1:7" ht="55.5" customHeight="1">
      <c r="A15" s="578">
        <v>1.2</v>
      </c>
      <c r="B15" s="579" t="s">
        <v>616</v>
      </c>
      <c r="C15" s="579" t="s">
        <v>180</v>
      </c>
      <c r="D15" s="899" t="s">
        <v>617</v>
      </c>
      <c r="E15" s="579">
        <v>1.6</v>
      </c>
      <c r="F15" s="580">
        <v>36.6</v>
      </c>
      <c r="G15" s="946">
        <f>F15*E15*1.3</f>
        <v>76.13</v>
      </c>
    </row>
    <row r="16" spans="1:7" ht="30" customHeight="1">
      <c r="A16" s="578">
        <v>1.3</v>
      </c>
      <c r="B16" s="579" t="s">
        <v>618</v>
      </c>
      <c r="C16" s="579" t="s">
        <v>619</v>
      </c>
      <c r="D16" s="579" t="s">
        <v>620</v>
      </c>
      <c r="E16" s="579">
        <v>3</v>
      </c>
      <c r="F16" s="580">
        <v>21.3</v>
      </c>
      <c r="G16" s="946">
        <f>E16*F16</f>
        <v>63.9</v>
      </c>
    </row>
    <row r="17" spans="1:7" ht="33" customHeight="1">
      <c r="A17" s="578">
        <v>1.4</v>
      </c>
      <c r="B17" s="579" t="s">
        <v>1103</v>
      </c>
      <c r="C17" s="581" t="s">
        <v>621</v>
      </c>
      <c r="D17" s="900" t="s">
        <v>622</v>
      </c>
      <c r="E17" s="582">
        <v>6</v>
      </c>
      <c r="F17" s="583">
        <v>6.9</v>
      </c>
      <c r="G17" s="947">
        <f>E17*F17</f>
        <v>41.4</v>
      </c>
    </row>
    <row r="18" spans="1:7" ht="26.25" customHeight="1">
      <c r="A18" s="578">
        <v>1.5</v>
      </c>
      <c r="B18" s="579" t="s">
        <v>1104</v>
      </c>
      <c r="C18" s="581" t="s">
        <v>621</v>
      </c>
      <c r="D18" s="901" t="s">
        <v>623</v>
      </c>
      <c r="E18" s="584">
        <v>6</v>
      </c>
      <c r="F18" s="583">
        <v>37.700000000000003</v>
      </c>
      <c r="G18" s="948">
        <f>E18*F18*0.9</f>
        <v>203.58</v>
      </c>
    </row>
    <row r="19" spans="1:7" ht="26.25" customHeight="1">
      <c r="A19" s="578">
        <v>1.6</v>
      </c>
      <c r="B19" s="780" t="s">
        <v>1105</v>
      </c>
      <c r="C19" s="581" t="s">
        <v>621</v>
      </c>
      <c r="D19" s="901" t="s">
        <v>624</v>
      </c>
      <c r="E19" s="585">
        <v>9</v>
      </c>
      <c r="F19" s="583">
        <v>37.700000000000003</v>
      </c>
      <c r="G19" s="949">
        <f>F19*E19</f>
        <v>339.3</v>
      </c>
    </row>
    <row r="20" spans="1:7" ht="26.25" customHeight="1">
      <c r="A20" s="578">
        <v>1.7</v>
      </c>
      <c r="B20" s="780" t="s">
        <v>1106</v>
      </c>
      <c r="C20" s="581" t="s">
        <v>621</v>
      </c>
      <c r="D20" s="901" t="s">
        <v>1107</v>
      </c>
      <c r="E20" s="585">
        <v>3</v>
      </c>
      <c r="F20" s="583">
        <v>4.5999999999999996</v>
      </c>
      <c r="G20" s="949">
        <f>F20*E20</f>
        <v>13.8</v>
      </c>
    </row>
    <row r="21" spans="1:7" ht="26.25" customHeight="1">
      <c r="A21" s="578">
        <v>1.8</v>
      </c>
      <c r="B21" s="780" t="s">
        <v>1108</v>
      </c>
      <c r="C21" s="581" t="s">
        <v>621</v>
      </c>
      <c r="D21" s="901" t="s">
        <v>1109</v>
      </c>
      <c r="E21" s="586">
        <v>3</v>
      </c>
      <c r="F21" s="583">
        <v>20.3</v>
      </c>
      <c r="G21" s="949">
        <f>F21*E21</f>
        <v>60.9</v>
      </c>
    </row>
    <row r="22" spans="1:7" ht="26.25" customHeight="1">
      <c r="A22" s="578">
        <v>1.9</v>
      </c>
      <c r="B22" s="780" t="s">
        <v>625</v>
      </c>
      <c r="C22" s="581" t="s">
        <v>621</v>
      </c>
      <c r="D22" s="901" t="s">
        <v>624</v>
      </c>
      <c r="E22" s="585">
        <v>3</v>
      </c>
      <c r="F22" s="583">
        <v>37.700000000000003</v>
      </c>
      <c r="G22" s="949">
        <f>F22*E22</f>
        <v>113.1</v>
      </c>
    </row>
    <row r="23" spans="1:7" ht="27" customHeight="1">
      <c r="A23" s="601">
        <v>1.1000000000000001</v>
      </c>
      <c r="B23" s="579" t="s">
        <v>626</v>
      </c>
      <c r="C23" s="587" t="s">
        <v>627</v>
      </c>
      <c r="D23" s="579" t="s">
        <v>1110</v>
      </c>
      <c r="E23" s="581">
        <v>3</v>
      </c>
      <c r="F23" s="588">
        <v>535</v>
      </c>
      <c r="G23" s="950">
        <f>E23*F23</f>
        <v>1605</v>
      </c>
    </row>
    <row r="24" spans="1:7" ht="35.25" customHeight="1">
      <c r="A24" s="601">
        <v>1.1100000000000001</v>
      </c>
      <c r="B24" s="579" t="s">
        <v>1111</v>
      </c>
      <c r="C24" s="579" t="s">
        <v>628</v>
      </c>
      <c r="D24" s="902" t="s">
        <v>1112</v>
      </c>
      <c r="E24" s="589">
        <v>13</v>
      </c>
      <c r="F24" s="580">
        <v>49.2</v>
      </c>
      <c r="G24" s="951">
        <f>E24*F24</f>
        <v>639.6</v>
      </c>
    </row>
    <row r="25" spans="1:7" ht="23.25" customHeight="1">
      <c r="A25" s="1689" t="s">
        <v>629</v>
      </c>
      <c r="B25" s="1690"/>
      <c r="C25" s="1690"/>
      <c r="D25" s="1690"/>
      <c r="E25" s="1690"/>
      <c r="F25" s="1691"/>
      <c r="G25" s="952">
        <f>SUM(G14:G24)</f>
        <v>3228.71</v>
      </c>
    </row>
    <row r="26" spans="1:7" ht="25.5">
      <c r="A26" s="590">
        <v>1.1100000000000001</v>
      </c>
      <c r="B26" s="591" t="s">
        <v>1113</v>
      </c>
      <c r="C26" s="589" t="s">
        <v>630</v>
      </c>
      <c r="D26" s="579" t="s">
        <v>1114</v>
      </c>
      <c r="E26" s="591" t="s">
        <v>1115</v>
      </c>
      <c r="F26" s="592">
        <f>G25</f>
        <v>3228.71</v>
      </c>
      <c r="G26" s="953">
        <f>E26*F26</f>
        <v>41.97</v>
      </c>
    </row>
    <row r="27" spans="1:7" ht="25.5">
      <c r="A27" s="593">
        <v>1.1200000000000001</v>
      </c>
      <c r="B27" s="591" t="s">
        <v>1116</v>
      </c>
      <c r="C27" s="589" t="s">
        <v>630</v>
      </c>
      <c r="D27" s="579" t="s">
        <v>1117</v>
      </c>
      <c r="E27" s="591" t="s">
        <v>1118</v>
      </c>
      <c r="F27" s="594">
        <f>G25</f>
        <v>3228.71</v>
      </c>
      <c r="G27" s="953">
        <f>E27*F27</f>
        <v>38.74</v>
      </c>
    </row>
    <row r="28" spans="1:7" ht="25.5" hidden="1">
      <c r="A28" s="595">
        <v>1.1200000000000001</v>
      </c>
      <c r="B28" s="579" t="s">
        <v>631</v>
      </c>
      <c r="C28" s="589" t="s">
        <v>632</v>
      </c>
      <c r="D28" s="579" t="s">
        <v>633</v>
      </c>
      <c r="E28" s="596">
        <v>0.1125</v>
      </c>
      <c r="F28" s="580">
        <f>G25+G27+G26</f>
        <v>3309.42</v>
      </c>
      <c r="G28" s="951">
        <f>F28*E28</f>
        <v>372.31</v>
      </c>
    </row>
    <row r="29" spans="1:7" ht="15">
      <c r="A29" s="593">
        <v>1.1299999999999999</v>
      </c>
      <c r="B29" s="903" t="s">
        <v>1119</v>
      </c>
      <c r="C29" s="589"/>
      <c r="D29" s="579" t="s">
        <v>634</v>
      </c>
      <c r="E29" s="596">
        <v>0.1125</v>
      </c>
      <c r="F29" s="580">
        <f>G25</f>
        <v>3228.71</v>
      </c>
      <c r="G29" s="951">
        <f>E29*F29</f>
        <v>363.23</v>
      </c>
    </row>
    <row r="30" spans="1:7" ht="25.5">
      <c r="A30" s="597">
        <v>1.1399999999999999</v>
      </c>
      <c r="B30" s="598" t="s">
        <v>635</v>
      </c>
      <c r="C30" s="579" t="s">
        <v>632</v>
      </c>
      <c r="D30" s="579" t="s">
        <v>1120</v>
      </c>
      <c r="E30" s="579">
        <v>0.19600000000000001</v>
      </c>
      <c r="F30" s="580">
        <f>G25+G29</f>
        <v>3591.94</v>
      </c>
      <c r="G30" s="946">
        <f>F30*E30</f>
        <v>704.02</v>
      </c>
    </row>
    <row r="31" spans="1:7">
      <c r="A31" s="599">
        <v>1.1499999999999999</v>
      </c>
      <c r="B31" s="579" t="s">
        <v>636</v>
      </c>
      <c r="C31" s="579" t="s">
        <v>632</v>
      </c>
      <c r="D31" s="579" t="s">
        <v>637</v>
      </c>
      <c r="E31" s="579">
        <v>0.06</v>
      </c>
      <c r="F31" s="580">
        <f>F30</f>
        <v>3591.94</v>
      </c>
      <c r="G31" s="946">
        <f>F31*E31</f>
        <v>215.52</v>
      </c>
    </row>
    <row r="32" spans="1:7">
      <c r="A32" s="1692" t="s">
        <v>638</v>
      </c>
      <c r="B32" s="1693"/>
      <c r="C32" s="1694"/>
      <c r="D32" s="1693"/>
      <c r="E32" s="1693"/>
      <c r="F32" s="1695"/>
      <c r="G32" s="954">
        <f>SUM(G26:G31)</f>
        <v>1735.79</v>
      </c>
    </row>
    <row r="33" spans="1:7" ht="17.25" customHeight="1">
      <c r="A33" s="1724" t="s">
        <v>639</v>
      </c>
      <c r="B33" s="1725"/>
      <c r="C33" s="1725"/>
      <c r="D33" s="1725"/>
      <c r="E33" s="1725"/>
      <c r="F33" s="1725"/>
      <c r="G33" s="955">
        <f>G32+G25</f>
        <v>4964.5</v>
      </c>
    </row>
    <row r="34" spans="1:7">
      <c r="A34" s="1726" t="s">
        <v>409</v>
      </c>
      <c r="B34" s="1727"/>
      <c r="C34" s="1727"/>
      <c r="D34" s="1727"/>
      <c r="E34" s="1727"/>
      <c r="F34" s="1727"/>
      <c r="G34" s="1728"/>
    </row>
    <row r="35" spans="1:7" hidden="1">
      <c r="A35" s="600"/>
      <c r="B35" s="1729" t="s">
        <v>640</v>
      </c>
      <c r="C35" s="1730"/>
      <c r="D35" s="1731"/>
      <c r="E35" s="1732"/>
      <c r="F35" s="1733"/>
      <c r="G35" s="1734"/>
    </row>
    <row r="36" spans="1:7">
      <c r="A36" s="578">
        <v>2.1</v>
      </c>
      <c r="B36" s="579" t="s">
        <v>641</v>
      </c>
      <c r="C36" s="579" t="s">
        <v>642</v>
      </c>
      <c r="D36" s="579" t="s">
        <v>643</v>
      </c>
      <c r="E36" s="579">
        <f>E19</f>
        <v>9</v>
      </c>
      <c r="F36" s="580">
        <v>2</v>
      </c>
      <c r="G36" s="946">
        <f t="shared" ref="G36:G45" si="0">E36*F36</f>
        <v>18</v>
      </c>
    </row>
    <row r="37" spans="1:7">
      <c r="A37" s="578">
        <v>2.2000000000000002</v>
      </c>
      <c r="B37" s="579" t="s">
        <v>644</v>
      </c>
      <c r="C37" s="579" t="s">
        <v>642</v>
      </c>
      <c r="D37" s="579" t="s">
        <v>645</v>
      </c>
      <c r="E37" s="579">
        <f>E36</f>
        <v>9</v>
      </c>
      <c r="F37" s="580">
        <v>8.6</v>
      </c>
      <c r="G37" s="946">
        <f t="shared" si="0"/>
        <v>77.400000000000006</v>
      </c>
    </row>
    <row r="38" spans="1:7" ht="14.25" customHeight="1">
      <c r="A38" s="578">
        <v>2.2999999999999998</v>
      </c>
      <c r="B38" s="579" t="s">
        <v>646</v>
      </c>
      <c r="C38" s="579" t="s">
        <v>642</v>
      </c>
      <c r="D38" s="579" t="s">
        <v>647</v>
      </c>
      <c r="E38" s="579">
        <f>E36</f>
        <v>9</v>
      </c>
      <c r="F38" s="580">
        <v>8.9</v>
      </c>
      <c r="G38" s="946">
        <f t="shared" si="0"/>
        <v>80.099999999999994</v>
      </c>
    </row>
    <row r="39" spans="1:7">
      <c r="A39" s="578">
        <v>2.4</v>
      </c>
      <c r="B39" s="579" t="s">
        <v>648</v>
      </c>
      <c r="C39" s="579" t="s">
        <v>642</v>
      </c>
      <c r="D39" s="579" t="s">
        <v>649</v>
      </c>
      <c r="E39" s="579">
        <f>E36</f>
        <v>9</v>
      </c>
      <c r="F39" s="580">
        <v>49.4</v>
      </c>
      <c r="G39" s="946">
        <f t="shared" si="0"/>
        <v>444.6</v>
      </c>
    </row>
    <row r="40" spans="1:7">
      <c r="A40" s="578">
        <v>2.5</v>
      </c>
      <c r="B40" s="579" t="s">
        <v>650</v>
      </c>
      <c r="C40" s="579" t="s">
        <v>642</v>
      </c>
      <c r="D40" s="579" t="s">
        <v>649</v>
      </c>
      <c r="E40" s="579">
        <f>E36</f>
        <v>9</v>
      </c>
      <c r="F40" s="580">
        <v>8</v>
      </c>
      <c r="G40" s="946">
        <f t="shared" si="0"/>
        <v>72</v>
      </c>
    </row>
    <row r="41" spans="1:7">
      <c r="A41" s="578">
        <v>2.6</v>
      </c>
      <c r="B41" s="579" t="s">
        <v>651</v>
      </c>
      <c r="C41" s="579" t="s">
        <v>642</v>
      </c>
      <c r="D41" s="579" t="s">
        <v>652</v>
      </c>
      <c r="E41" s="579">
        <f>E36</f>
        <v>9</v>
      </c>
      <c r="F41" s="580">
        <v>14.4</v>
      </c>
      <c r="G41" s="946">
        <f t="shared" si="0"/>
        <v>129.6</v>
      </c>
    </row>
    <row r="42" spans="1:7">
      <c r="A42" s="578">
        <v>2.7</v>
      </c>
      <c r="B42" s="579" t="s">
        <v>653</v>
      </c>
      <c r="C42" s="579" t="s">
        <v>642</v>
      </c>
      <c r="D42" s="579" t="s">
        <v>654</v>
      </c>
      <c r="E42" s="579">
        <f>E36</f>
        <v>9</v>
      </c>
      <c r="F42" s="580">
        <v>5.3</v>
      </c>
      <c r="G42" s="946">
        <f t="shared" si="0"/>
        <v>47.7</v>
      </c>
    </row>
    <row r="43" spans="1:7">
      <c r="A43" s="578">
        <v>2.8</v>
      </c>
      <c r="B43" s="579" t="s">
        <v>655</v>
      </c>
      <c r="C43" s="579" t="s">
        <v>642</v>
      </c>
      <c r="D43" s="579" t="s">
        <v>656</v>
      </c>
      <c r="E43" s="579">
        <f>E36</f>
        <v>9</v>
      </c>
      <c r="F43" s="580">
        <v>8.9</v>
      </c>
      <c r="G43" s="946">
        <f t="shared" si="0"/>
        <v>80.099999999999994</v>
      </c>
    </row>
    <row r="44" spans="1:7">
      <c r="A44" s="578">
        <v>2.9</v>
      </c>
      <c r="B44" s="579" t="s">
        <v>657</v>
      </c>
      <c r="C44" s="579" t="s">
        <v>642</v>
      </c>
      <c r="D44" s="579" t="s">
        <v>658</v>
      </c>
      <c r="E44" s="579">
        <f>E36</f>
        <v>9</v>
      </c>
      <c r="F44" s="580">
        <v>13.8</v>
      </c>
      <c r="G44" s="946">
        <f t="shared" si="0"/>
        <v>124.2</v>
      </c>
    </row>
    <row r="45" spans="1:7" ht="25.5">
      <c r="A45" s="601">
        <v>2.1</v>
      </c>
      <c r="B45" s="579" t="s">
        <v>659</v>
      </c>
      <c r="C45" s="579" t="s">
        <v>642</v>
      </c>
      <c r="D45" s="579" t="s">
        <v>660</v>
      </c>
      <c r="E45" s="579">
        <f>E36</f>
        <v>9</v>
      </c>
      <c r="F45" s="580">
        <v>7.1</v>
      </c>
      <c r="G45" s="946">
        <f t="shared" si="0"/>
        <v>63.9</v>
      </c>
    </row>
    <row r="46" spans="1:7">
      <c r="A46" s="601"/>
      <c r="B46" s="1729" t="s">
        <v>1121</v>
      </c>
      <c r="C46" s="1740"/>
      <c r="D46" s="1731"/>
      <c r="E46" s="904"/>
      <c r="F46" s="905"/>
      <c r="G46" s="956"/>
    </row>
    <row r="47" spans="1:7">
      <c r="A47" s="578">
        <v>2.11</v>
      </c>
      <c r="B47" s="906" t="s">
        <v>1122</v>
      </c>
      <c r="C47" s="581" t="s">
        <v>621</v>
      </c>
      <c r="D47" s="579" t="s">
        <v>1123</v>
      </c>
      <c r="E47" s="581">
        <f>E20</f>
        <v>3</v>
      </c>
      <c r="F47" s="583">
        <v>67.3</v>
      </c>
      <c r="G47" s="956">
        <f>F47*E47</f>
        <v>201.9</v>
      </c>
    </row>
    <row r="48" spans="1:7">
      <c r="A48" s="602"/>
      <c r="B48" s="1729" t="s">
        <v>661</v>
      </c>
      <c r="C48" s="1736"/>
      <c r="D48" s="1731"/>
      <c r="E48" s="1737"/>
      <c r="F48" s="1738"/>
      <c r="G48" s="1739"/>
    </row>
    <row r="49" spans="1:7" ht="38.25">
      <c r="A49" s="578">
        <v>2.12</v>
      </c>
      <c r="B49" s="579" t="s">
        <v>662</v>
      </c>
      <c r="C49" s="579" t="s">
        <v>663</v>
      </c>
      <c r="D49" s="579" t="s">
        <v>664</v>
      </c>
      <c r="E49" s="579">
        <f>E17+E21</f>
        <v>9</v>
      </c>
      <c r="F49" s="580">
        <f>19*7.8</f>
        <v>148.19999999999999</v>
      </c>
      <c r="G49" s="946">
        <f>E49*F49</f>
        <v>1333.8</v>
      </c>
    </row>
    <row r="50" spans="1:7">
      <c r="A50" s="578">
        <v>2.13</v>
      </c>
      <c r="B50" s="579" t="s">
        <v>665</v>
      </c>
      <c r="C50" s="579" t="s">
        <v>642</v>
      </c>
      <c r="D50" s="579" t="s">
        <v>666</v>
      </c>
      <c r="E50" s="579">
        <f>E17</f>
        <v>6</v>
      </c>
      <c r="F50" s="580">
        <v>19.7</v>
      </c>
      <c r="G50" s="946">
        <f>E50*F50</f>
        <v>118.2</v>
      </c>
    </row>
    <row r="51" spans="1:7" ht="19.5" customHeight="1">
      <c r="A51" s="578">
        <v>2.14</v>
      </c>
      <c r="B51" s="579" t="s">
        <v>667</v>
      </c>
      <c r="C51" s="579" t="s">
        <v>642</v>
      </c>
      <c r="D51" s="579" t="s">
        <v>668</v>
      </c>
      <c r="E51" s="579">
        <f>E17</f>
        <v>6</v>
      </c>
      <c r="F51" s="580">
        <v>95.8</v>
      </c>
      <c r="G51" s="946">
        <f>E51*F51</f>
        <v>574.79999999999995</v>
      </c>
    </row>
    <row r="52" spans="1:7" ht="14.25" customHeight="1">
      <c r="A52" s="1735" t="s">
        <v>669</v>
      </c>
      <c r="B52" s="1693"/>
      <c r="C52" s="1694"/>
      <c r="D52" s="1693"/>
      <c r="E52" s="1693"/>
      <c r="F52" s="1695"/>
      <c r="G52" s="952">
        <f>G51+G50+G49+G45+G44+G43+G42+G41+G40+G39+G38+G37+G36</f>
        <v>3164.4</v>
      </c>
    </row>
    <row r="53" spans="1:7" ht="16.5" customHeight="1">
      <c r="A53" s="1726" t="s">
        <v>440</v>
      </c>
      <c r="B53" s="1727"/>
      <c r="C53" s="1727"/>
      <c r="D53" s="1727"/>
      <c r="E53" s="1727"/>
      <c r="F53" s="1727"/>
      <c r="G53" s="1728"/>
    </row>
    <row r="54" spans="1:7" ht="17.25" customHeight="1">
      <c r="A54" s="578">
        <v>3.1</v>
      </c>
      <c r="B54" s="579" t="s">
        <v>670</v>
      </c>
      <c r="C54" s="603" t="s">
        <v>671</v>
      </c>
      <c r="D54" s="579" t="s">
        <v>672</v>
      </c>
      <c r="E54" s="579">
        <v>1</v>
      </c>
      <c r="F54" s="579">
        <v>200</v>
      </c>
      <c r="G54" s="946">
        <f>1.4*F54</f>
        <v>280</v>
      </c>
    </row>
    <row r="55" spans="1:7" ht="24.75" customHeight="1">
      <c r="A55" s="578">
        <v>3.2</v>
      </c>
      <c r="B55" s="579" t="s">
        <v>673</v>
      </c>
      <c r="C55" s="579" t="s">
        <v>614</v>
      </c>
      <c r="D55" s="579" t="s">
        <v>674</v>
      </c>
      <c r="E55" s="579">
        <f>E14</f>
        <v>1.6</v>
      </c>
      <c r="F55" s="604">
        <v>23.4</v>
      </c>
      <c r="G55" s="946">
        <f>E55*F55</f>
        <v>37.44</v>
      </c>
    </row>
    <row r="56" spans="1:7" ht="54.75" customHeight="1">
      <c r="A56" s="578">
        <v>3.3</v>
      </c>
      <c r="B56" s="579" t="s">
        <v>616</v>
      </c>
      <c r="C56" s="579" t="s">
        <v>180</v>
      </c>
      <c r="D56" s="899" t="s">
        <v>617</v>
      </c>
      <c r="E56" s="579">
        <f>E15</f>
        <v>1.6</v>
      </c>
      <c r="F56" s="580">
        <v>3.4</v>
      </c>
      <c r="G56" s="946">
        <f>F56*E56*1.3</f>
        <v>7.07</v>
      </c>
    </row>
    <row r="57" spans="1:7" ht="25.5">
      <c r="A57" s="578">
        <v>3.4</v>
      </c>
      <c r="B57" s="579" t="s">
        <v>675</v>
      </c>
      <c r="C57" s="579" t="s">
        <v>619</v>
      </c>
      <c r="D57" s="598" t="s">
        <v>676</v>
      </c>
      <c r="E57" s="579">
        <f>E16</f>
        <v>3</v>
      </c>
      <c r="F57" s="604">
        <v>13.3</v>
      </c>
      <c r="G57" s="946">
        <f>E57*F57</f>
        <v>39.9</v>
      </c>
    </row>
    <row r="58" spans="1:7">
      <c r="A58" s="578">
        <v>3.5</v>
      </c>
      <c r="B58" s="579" t="s">
        <v>677</v>
      </c>
      <c r="C58" s="579" t="s">
        <v>627</v>
      </c>
      <c r="D58" s="598" t="s">
        <v>678</v>
      </c>
      <c r="E58" s="579">
        <f>E23</f>
        <v>3</v>
      </c>
      <c r="F58" s="604">
        <v>161</v>
      </c>
      <c r="G58" s="946">
        <f>E58*F58</f>
        <v>483</v>
      </c>
    </row>
    <row r="59" spans="1:7" ht="25.5" customHeight="1">
      <c r="A59" s="578">
        <v>3.6</v>
      </c>
      <c r="B59" s="579" t="s">
        <v>679</v>
      </c>
      <c r="C59" s="579" t="s">
        <v>628</v>
      </c>
      <c r="D59" s="598" t="s">
        <v>680</v>
      </c>
      <c r="E59" s="579">
        <f>E24</f>
        <v>13</v>
      </c>
      <c r="F59" s="604">
        <v>14.8</v>
      </c>
      <c r="G59" s="946">
        <f>E59*F59</f>
        <v>192.4</v>
      </c>
    </row>
    <row r="60" spans="1:7" ht="52.5" customHeight="1">
      <c r="A60" s="578">
        <v>3.7</v>
      </c>
      <c r="B60" s="579" t="s">
        <v>681</v>
      </c>
      <c r="C60" s="579" t="s">
        <v>632</v>
      </c>
      <c r="D60" s="579" t="s">
        <v>682</v>
      </c>
      <c r="E60" s="580">
        <f>G52</f>
        <v>3164.4</v>
      </c>
      <c r="F60" s="604">
        <v>0.2</v>
      </c>
      <c r="G60" s="946">
        <f>E60*F60</f>
        <v>632.88</v>
      </c>
    </row>
    <row r="61" spans="1:7" ht="31.5" customHeight="1">
      <c r="A61" s="1741" t="s">
        <v>683</v>
      </c>
      <c r="B61" s="1730"/>
      <c r="C61" s="1730"/>
      <c r="D61" s="1730"/>
      <c r="E61" s="1730"/>
      <c r="F61" s="1731"/>
      <c r="G61" s="957">
        <f>G60+G59+G58+G57+G56+G55+G54</f>
        <v>1672.69</v>
      </c>
    </row>
    <row r="62" spans="1:7" ht="21" customHeight="1">
      <c r="A62" s="578">
        <v>3.8</v>
      </c>
      <c r="B62" s="579" t="s">
        <v>684</v>
      </c>
      <c r="C62" s="579" t="s">
        <v>600</v>
      </c>
      <c r="D62" s="579" t="s">
        <v>685</v>
      </c>
      <c r="E62" s="579">
        <v>1</v>
      </c>
      <c r="F62" s="604">
        <f>G54+G55+G57+G60</f>
        <v>990.22</v>
      </c>
      <c r="G62" s="946">
        <f>F62*0.25</f>
        <v>247.56</v>
      </c>
    </row>
    <row r="63" spans="1:7" ht="24" customHeight="1">
      <c r="A63" s="1692" t="s">
        <v>686</v>
      </c>
      <c r="B63" s="1694"/>
      <c r="C63" s="1694"/>
      <c r="D63" s="1694"/>
      <c r="E63" s="1694"/>
      <c r="F63" s="1744"/>
      <c r="G63" s="958">
        <f>G61+G62</f>
        <v>1920.25</v>
      </c>
    </row>
    <row r="64" spans="1:7" ht="15" customHeight="1">
      <c r="A64" s="1749" t="s">
        <v>1144</v>
      </c>
      <c r="B64" s="1750"/>
      <c r="C64" s="1750"/>
      <c r="D64" s="1750"/>
      <c r="E64" s="1750"/>
      <c r="F64" s="1750"/>
      <c r="G64" s="959">
        <f>(G33+G52+G63)*1.1</f>
        <v>11054.07</v>
      </c>
    </row>
    <row r="65" spans="1:7" ht="12.75" customHeight="1">
      <c r="A65" s="1745" t="s">
        <v>1145</v>
      </c>
      <c r="B65" s="1746"/>
      <c r="C65" s="1746"/>
      <c r="D65" s="1746"/>
      <c r="E65" s="1746"/>
      <c r="F65" s="945">
        <v>58.26</v>
      </c>
      <c r="G65" s="960">
        <f>G64*F65</f>
        <v>644010.12</v>
      </c>
    </row>
    <row r="66" spans="1:7">
      <c r="A66" s="1751" t="s">
        <v>687</v>
      </c>
      <c r="B66" s="1746"/>
      <c r="C66" s="1746"/>
      <c r="D66" s="1746"/>
      <c r="E66" s="1746"/>
      <c r="F66" s="1746"/>
      <c r="G66" s="1752"/>
    </row>
    <row r="67" spans="1:7" ht="31.5" customHeight="1">
      <c r="A67" s="581">
        <v>4.0999999999999996</v>
      </c>
      <c r="B67" s="907" t="s">
        <v>688</v>
      </c>
      <c r="C67" s="581" t="s">
        <v>689</v>
      </c>
      <c r="D67" s="1753"/>
      <c r="E67" s="581">
        <v>14</v>
      </c>
      <c r="F67" s="605"/>
      <c r="G67" s="908"/>
    </row>
    <row r="68" spans="1:7" ht="26.25" customHeight="1">
      <c r="A68" s="581">
        <v>4.2</v>
      </c>
      <c r="B68" s="782" t="s">
        <v>690</v>
      </c>
      <c r="C68" s="589" t="s">
        <v>642</v>
      </c>
      <c r="D68" s="1753"/>
      <c r="E68" s="782">
        <f>E22</f>
        <v>3</v>
      </c>
      <c r="F68" s="581"/>
      <c r="G68" s="909"/>
    </row>
    <row r="69" spans="1:7" ht="24.75" customHeight="1">
      <c r="A69" s="581">
        <v>4.3</v>
      </c>
      <c r="B69" s="782" t="s">
        <v>691</v>
      </c>
      <c r="C69" s="579" t="s">
        <v>642</v>
      </c>
      <c r="D69" s="1753"/>
      <c r="E69" s="782">
        <f>E18</f>
        <v>6</v>
      </c>
      <c r="F69" s="581"/>
      <c r="G69" s="909"/>
    </row>
    <row r="70" spans="1:7" ht="24.75" customHeight="1">
      <c r="A70" s="581">
        <v>4.4000000000000004</v>
      </c>
      <c r="B70" s="782" t="s">
        <v>692</v>
      </c>
      <c r="C70" s="579" t="s">
        <v>642</v>
      </c>
      <c r="D70" s="1753"/>
      <c r="E70" s="782">
        <f>E18</f>
        <v>6</v>
      </c>
      <c r="F70" s="581"/>
      <c r="G70" s="909"/>
    </row>
    <row r="71" spans="1:7" ht="29.25" customHeight="1">
      <c r="A71" s="581">
        <v>4.5</v>
      </c>
      <c r="B71" s="782" t="s">
        <v>693</v>
      </c>
      <c r="C71" s="579" t="s">
        <v>642</v>
      </c>
      <c r="D71" s="1753"/>
      <c r="E71" s="782">
        <f>E69</f>
        <v>6</v>
      </c>
      <c r="F71" s="581"/>
      <c r="G71" s="909"/>
    </row>
    <row r="72" spans="1:7" ht="18.75" customHeight="1">
      <c r="A72" s="606">
        <v>4.5999999999999996</v>
      </c>
      <c r="B72" s="581" t="s">
        <v>694</v>
      </c>
      <c r="C72" s="607" t="s">
        <v>619</v>
      </c>
      <c r="D72" s="1753"/>
      <c r="E72" s="581">
        <v>3</v>
      </c>
      <c r="F72" s="608"/>
      <c r="G72" s="909"/>
    </row>
    <row r="73" spans="1:7" ht="19.5" customHeight="1">
      <c r="A73" s="610"/>
      <c r="B73" s="910" t="s">
        <v>695</v>
      </c>
      <c r="C73" s="781"/>
      <c r="D73" s="781"/>
      <c r="E73" s="609"/>
      <c r="F73" s="611"/>
      <c r="G73" s="961">
        <f>G65</f>
        <v>644010.12</v>
      </c>
    </row>
    <row r="74" spans="1:7" ht="23.25" customHeight="1">
      <c r="A74" s="1754" t="s">
        <v>696</v>
      </c>
      <c r="B74" s="1755"/>
      <c r="C74" s="911">
        <v>0.2</v>
      </c>
      <c r="D74" s="912"/>
      <c r="E74" s="912"/>
      <c r="F74" s="912"/>
      <c r="G74" s="962">
        <f>G65*1.2</f>
        <v>772812.14</v>
      </c>
    </row>
    <row r="75" spans="1:7" ht="23.25" customHeight="1">
      <c r="B75" s="1742" t="s">
        <v>697</v>
      </c>
      <c r="C75" s="1742"/>
    </row>
    <row r="76" spans="1:7" ht="18.75" customHeight="1"/>
    <row r="77" spans="1:7" ht="12.75" customHeight="1">
      <c r="A77" s="1743"/>
      <c r="B77" s="1743"/>
      <c r="C77" s="613" t="s">
        <v>698</v>
      </c>
      <c r="E77" s="566"/>
    </row>
    <row r="78" spans="1:7" ht="27" customHeight="1">
      <c r="C78" s="1747"/>
      <c r="D78" s="1747"/>
      <c r="E78" s="1748"/>
    </row>
  </sheetData>
  <mergeCells count="32">
    <mergeCell ref="C78:E78"/>
    <mergeCell ref="A64:F64"/>
    <mergeCell ref="A66:G66"/>
    <mergeCell ref="D67:D72"/>
    <mergeCell ref="A74:B74"/>
    <mergeCell ref="A53:G53"/>
    <mergeCell ref="A61:F61"/>
    <mergeCell ref="B75:C75"/>
    <mergeCell ref="A77:B77"/>
    <mergeCell ref="A63:F63"/>
    <mergeCell ref="A65:E65"/>
    <mergeCell ref="A33:F33"/>
    <mergeCell ref="A34:G34"/>
    <mergeCell ref="B35:D35"/>
    <mergeCell ref="E35:G35"/>
    <mergeCell ref="A52:F52"/>
    <mergeCell ref="B48:D48"/>
    <mergeCell ref="E48:G48"/>
    <mergeCell ref="B46:D46"/>
    <mergeCell ref="D6:G6"/>
    <mergeCell ref="A1:G1"/>
    <mergeCell ref="A2:G2"/>
    <mergeCell ref="A4:B4"/>
    <mergeCell ref="D4:G4"/>
    <mergeCell ref="D5:G5"/>
    <mergeCell ref="A25:F25"/>
    <mergeCell ref="A32:F32"/>
    <mergeCell ref="A8:C9"/>
    <mergeCell ref="D8:G9"/>
    <mergeCell ref="D10:G10"/>
    <mergeCell ref="B11:G11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horizontalDpi="1200" r:id="rId1"/>
  <headerFooter>
    <oddFooter>&amp;Rстр.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32"/>
  <sheetViews>
    <sheetView zoomScale="120" zoomScaleNormal="120" workbookViewId="0">
      <selection activeCell="I33" sqref="I33"/>
    </sheetView>
  </sheetViews>
  <sheetFormatPr defaultColWidth="8.7109375" defaultRowHeight="12.75"/>
  <cols>
    <col min="1" max="1" width="4.7109375" style="615" customWidth="1"/>
    <col min="2" max="2" width="24.7109375" style="615" customWidth="1"/>
    <col min="3" max="3" width="32.7109375" style="615" customWidth="1"/>
    <col min="4" max="4" width="14.28515625" style="615" customWidth="1"/>
    <col min="5" max="5" width="10.28515625" style="615" customWidth="1"/>
    <col min="6" max="6" width="20.85546875" style="615" customWidth="1"/>
    <col min="7" max="7" width="16.5703125" style="690" customWidth="1"/>
    <col min="8" max="8" width="28.5703125" style="615" hidden="1" customWidth="1"/>
    <col min="9" max="16384" width="8.7109375" style="615"/>
  </cols>
  <sheetData>
    <row r="1" spans="1:11">
      <c r="A1" s="1762" t="s">
        <v>1127</v>
      </c>
      <c r="B1" s="1762"/>
      <c r="C1" s="1762"/>
      <c r="D1" s="1762"/>
      <c r="E1" s="1762"/>
      <c r="F1" s="1762"/>
      <c r="G1" s="1762"/>
      <c r="H1" s="614"/>
      <c r="I1" s="614"/>
    </row>
    <row r="2" spans="1:11" ht="28.9" customHeight="1">
      <c r="A2" s="1763" t="s">
        <v>699</v>
      </c>
      <c r="B2" s="1763"/>
      <c r="C2" s="1763"/>
      <c r="D2" s="1763"/>
      <c r="E2" s="1763"/>
      <c r="F2" s="1763"/>
      <c r="G2" s="1763"/>
      <c r="H2" s="614"/>
      <c r="I2" s="614"/>
    </row>
    <row r="3" spans="1:11" ht="61.5" customHeight="1">
      <c r="A3" s="616"/>
      <c r="B3" s="783" t="s">
        <v>700</v>
      </c>
      <c r="C3" s="1764" t="s">
        <v>1124</v>
      </c>
      <c r="D3" s="1764"/>
      <c r="E3" s="1764"/>
      <c r="F3" s="1764"/>
      <c r="G3" s="618"/>
      <c r="H3" s="614"/>
      <c r="I3" s="614"/>
    </row>
    <row r="4" spans="1:11" s="622" customFormat="1" ht="22.9" customHeight="1">
      <c r="A4" s="619" t="s">
        <v>702</v>
      </c>
      <c r="B4" s="619"/>
      <c r="C4" s="619"/>
      <c r="D4" s="619"/>
      <c r="E4" s="619"/>
      <c r="F4" s="619"/>
      <c r="G4" s="620"/>
      <c r="H4" s="619"/>
      <c r="I4" s="619"/>
      <c r="J4" s="770"/>
    </row>
    <row r="5" spans="1:11" s="622" customFormat="1" ht="18" customHeight="1">
      <c r="A5" s="623" t="s">
        <v>1138</v>
      </c>
      <c r="B5" s="623"/>
      <c r="C5" s="623"/>
      <c r="D5" s="623"/>
      <c r="E5" s="623"/>
      <c r="F5" s="623"/>
      <c r="G5" s="624"/>
      <c r="H5" s="623"/>
      <c r="I5" s="623"/>
      <c r="J5" s="625"/>
      <c r="K5" s="626"/>
    </row>
    <row r="6" spans="1:11">
      <c r="A6" s="1765" t="s">
        <v>77</v>
      </c>
      <c r="B6" s="1765"/>
      <c r="C6" s="1765"/>
      <c r="D6" s="1765"/>
      <c r="E6" s="1765"/>
      <c r="F6" s="1765"/>
      <c r="G6" s="1765"/>
      <c r="H6" s="614"/>
      <c r="I6" s="614"/>
    </row>
    <row r="7" spans="1:11" ht="25.5">
      <c r="A7" s="627" t="s">
        <v>100</v>
      </c>
      <c r="B7" s="627" t="s">
        <v>704</v>
      </c>
      <c r="C7" s="627" t="s">
        <v>198</v>
      </c>
      <c r="D7" s="627" t="s">
        <v>553</v>
      </c>
      <c r="E7" s="627" t="s">
        <v>20</v>
      </c>
      <c r="F7" s="627" t="s">
        <v>705</v>
      </c>
      <c r="G7" s="628" t="s">
        <v>706</v>
      </c>
      <c r="H7" s="614"/>
      <c r="I7" s="614"/>
    </row>
    <row r="8" spans="1:11">
      <c r="A8" s="629">
        <v>1</v>
      </c>
      <c r="B8" s="629">
        <v>2</v>
      </c>
      <c r="C8" s="629">
        <v>3</v>
      </c>
      <c r="D8" s="629">
        <v>4</v>
      </c>
      <c r="E8" s="629">
        <v>5</v>
      </c>
      <c r="F8" s="629">
        <v>6</v>
      </c>
      <c r="G8" s="630">
        <v>7</v>
      </c>
      <c r="H8" s="614"/>
      <c r="I8" s="614"/>
    </row>
    <row r="9" spans="1:11">
      <c r="A9" s="1766" t="s">
        <v>707</v>
      </c>
      <c r="B9" s="1767"/>
      <c r="C9" s="1767"/>
      <c r="D9" s="1767"/>
      <c r="E9" s="1767"/>
      <c r="F9" s="1767"/>
      <c r="G9" s="1768"/>
      <c r="H9" s="614"/>
      <c r="I9" s="614"/>
    </row>
    <row r="10" spans="1:11" ht="63.75">
      <c r="A10" s="631">
        <v>1</v>
      </c>
      <c r="B10" s="632" t="s">
        <v>708</v>
      </c>
      <c r="C10" s="633" t="s">
        <v>709</v>
      </c>
      <c r="D10" s="631" t="s">
        <v>710</v>
      </c>
      <c r="E10" s="631">
        <v>1</v>
      </c>
      <c r="F10" s="634">
        <v>70</v>
      </c>
      <c r="G10" s="964">
        <f>E10*F10</f>
        <v>70</v>
      </c>
      <c r="H10" s="614"/>
      <c r="I10" s="614"/>
    </row>
    <row r="11" spans="1:11" ht="64.5" thickBot="1">
      <c r="A11" s="635">
        <v>2</v>
      </c>
      <c r="B11" s="636" t="s">
        <v>711</v>
      </c>
      <c r="C11" s="637" t="s">
        <v>712</v>
      </c>
      <c r="D11" s="638" t="s">
        <v>713</v>
      </c>
      <c r="E11" s="638">
        <v>16</v>
      </c>
      <c r="F11" s="638">
        <v>930</v>
      </c>
      <c r="G11" s="965">
        <f>(930+14*930*0.5)*0.48</f>
        <v>3571.2</v>
      </c>
      <c r="H11" s="639"/>
    </row>
    <row r="12" spans="1:11" ht="13.9" hidden="1" customHeight="1">
      <c r="A12" s="640">
        <v>4</v>
      </c>
      <c r="B12" s="641" t="s">
        <v>714</v>
      </c>
      <c r="C12" s="641" t="s">
        <v>715</v>
      </c>
      <c r="D12" s="641" t="s">
        <v>716</v>
      </c>
      <c r="E12" s="642">
        <v>0</v>
      </c>
      <c r="F12" s="642">
        <v>680</v>
      </c>
      <c r="G12" s="963">
        <f>E12*F12</f>
        <v>0</v>
      </c>
    </row>
    <row r="13" spans="1:11" ht="29.25" customHeight="1">
      <c r="A13" s="635">
        <v>4</v>
      </c>
      <c r="B13" s="638" t="s">
        <v>717</v>
      </c>
      <c r="C13" s="644" t="s">
        <v>718</v>
      </c>
      <c r="D13" s="638" t="s">
        <v>719</v>
      </c>
      <c r="E13" s="638">
        <v>30</v>
      </c>
      <c r="F13" s="638">
        <v>4.0599999999999996</v>
      </c>
      <c r="G13" s="965">
        <f>F13*E13</f>
        <v>121.8</v>
      </c>
    </row>
    <row r="14" spans="1:11" ht="30.75" hidden="1" customHeight="1">
      <c r="A14" s="645">
        <v>5</v>
      </c>
      <c r="B14" s="646" t="s">
        <v>720</v>
      </c>
      <c r="C14" s="647" t="s">
        <v>721</v>
      </c>
      <c r="D14" s="646" t="s">
        <v>722</v>
      </c>
      <c r="E14" s="648">
        <v>173</v>
      </c>
      <c r="F14" s="649">
        <v>0</v>
      </c>
      <c r="G14" s="966">
        <f>E14*F14</f>
        <v>0</v>
      </c>
    </row>
    <row r="15" spans="1:11" ht="26.25" hidden="1" customHeight="1">
      <c r="A15" s="650">
        <v>6</v>
      </c>
      <c r="B15" s="651" t="s">
        <v>723</v>
      </c>
      <c r="C15" s="652" t="s">
        <v>724</v>
      </c>
      <c r="D15" s="651">
        <v>1</v>
      </c>
      <c r="E15" s="653" t="e">
        <f>#REF!+#REF!+G11+#REF!+G13</f>
        <v>#REF!</v>
      </c>
      <c r="F15" s="654"/>
      <c r="G15" s="966" t="e">
        <f>D15*E15</f>
        <v>#REF!</v>
      </c>
    </row>
    <row r="16" spans="1:11" ht="26.25" customHeight="1">
      <c r="A16" s="655">
        <v>5</v>
      </c>
      <c r="B16" s="632" t="s">
        <v>723</v>
      </c>
      <c r="C16" s="656" t="s">
        <v>725</v>
      </c>
      <c r="D16" s="657">
        <v>1.2</v>
      </c>
      <c r="E16" s="658">
        <f>G10+G11+G13</f>
        <v>3763</v>
      </c>
      <c r="F16" s="659"/>
      <c r="G16" s="967">
        <f>D16*E16</f>
        <v>4515.6000000000004</v>
      </c>
      <c r="H16" s="614"/>
      <c r="I16" s="614"/>
    </row>
    <row r="17" spans="1:9" ht="20.25" customHeight="1">
      <c r="A17" s="1769" t="s">
        <v>726</v>
      </c>
      <c r="B17" s="1770"/>
      <c r="C17" s="1770"/>
      <c r="D17" s="1770"/>
      <c r="E17" s="1770"/>
      <c r="F17" s="1771"/>
      <c r="G17" s="968">
        <f>G10+G13+G20+G16</f>
        <v>4729.8999999999996</v>
      </c>
      <c r="H17" s="614"/>
      <c r="I17" s="614"/>
    </row>
    <row r="18" spans="1:9" ht="18" customHeight="1">
      <c r="A18" s="1756" t="s">
        <v>727</v>
      </c>
      <c r="B18" s="1757"/>
      <c r="C18" s="1757"/>
      <c r="D18" s="1757"/>
      <c r="E18" s="1757"/>
      <c r="F18" s="1757"/>
      <c r="G18" s="1758"/>
      <c r="H18" s="614"/>
      <c r="I18" s="614"/>
    </row>
    <row r="19" spans="1:9" ht="42" customHeight="1">
      <c r="A19" s="655">
        <v>6</v>
      </c>
      <c r="B19" s="662" t="s">
        <v>728</v>
      </c>
      <c r="C19" s="662" t="s">
        <v>729</v>
      </c>
      <c r="D19" s="663" t="s">
        <v>730</v>
      </c>
      <c r="E19" s="664">
        <v>1.5</v>
      </c>
      <c r="F19" s="638">
        <v>530</v>
      </c>
      <c r="G19" s="965">
        <f>E19*F19</f>
        <v>795</v>
      </c>
      <c r="H19" s="665"/>
      <c r="I19" s="614"/>
    </row>
    <row r="20" spans="1:9" ht="36" customHeight="1">
      <c r="A20" s="666">
        <v>7</v>
      </c>
      <c r="B20" s="638" t="s">
        <v>731</v>
      </c>
      <c r="C20" s="667" t="s">
        <v>732</v>
      </c>
      <c r="D20" s="667" t="s">
        <v>733</v>
      </c>
      <c r="E20" s="668">
        <v>30</v>
      </c>
      <c r="F20" s="913">
        <v>0.75</v>
      </c>
      <c r="G20" s="965">
        <f>E20*F20</f>
        <v>22.5</v>
      </c>
      <c r="H20" s="669"/>
      <c r="I20" s="614"/>
    </row>
    <row r="21" spans="1:9" ht="25.5">
      <c r="A21" s="655">
        <v>8</v>
      </c>
      <c r="B21" s="632" t="s">
        <v>734</v>
      </c>
      <c r="C21" s="662" t="s">
        <v>735</v>
      </c>
      <c r="D21" s="663" t="s">
        <v>736</v>
      </c>
      <c r="E21" s="670">
        <v>1</v>
      </c>
      <c r="F21" s="670">
        <v>78</v>
      </c>
      <c r="G21" s="965">
        <f>E21*F21+10*16</f>
        <v>238</v>
      </c>
      <c r="H21" s="671"/>
      <c r="I21" s="614"/>
    </row>
    <row r="22" spans="1:9">
      <c r="A22" s="672"/>
      <c r="B22" s="662"/>
      <c r="C22" s="673" t="s">
        <v>737</v>
      </c>
      <c r="D22" s="662"/>
      <c r="E22" s="674"/>
      <c r="F22" s="659"/>
      <c r="G22" s="967">
        <f>SUM(G19:G21)</f>
        <v>1055.5</v>
      </c>
      <c r="H22" s="671"/>
      <c r="I22" s="614"/>
    </row>
    <row r="23" spans="1:9">
      <c r="A23" s="675"/>
      <c r="B23" s="662"/>
      <c r="C23" s="673" t="s">
        <v>738</v>
      </c>
      <c r="D23" s="675"/>
      <c r="E23" s="675"/>
      <c r="F23" s="673"/>
      <c r="G23" s="969">
        <f>G17+G22</f>
        <v>5785.4</v>
      </c>
      <c r="H23" s="614"/>
      <c r="I23" s="614"/>
    </row>
    <row r="24" spans="1:9" ht="25.5">
      <c r="A24" s="631">
        <v>9</v>
      </c>
      <c r="B24" s="662" t="s">
        <v>739</v>
      </c>
      <c r="C24" s="677" t="s">
        <v>630</v>
      </c>
      <c r="D24" s="662"/>
      <c r="E24" s="662"/>
      <c r="F24" s="663">
        <v>14.6</v>
      </c>
      <c r="G24" s="969">
        <f>G23*F24</f>
        <v>84466.84</v>
      </c>
      <c r="H24" s="614"/>
      <c r="I24" s="614"/>
    </row>
    <row r="25" spans="1:9" ht="25.5">
      <c r="A25" s="631">
        <v>10</v>
      </c>
      <c r="B25" s="662" t="s">
        <v>740</v>
      </c>
      <c r="C25" s="677" t="s">
        <v>630</v>
      </c>
      <c r="D25" s="662"/>
      <c r="E25" s="662"/>
      <c r="F25" s="663">
        <v>4</v>
      </c>
      <c r="G25" s="969">
        <f>G24*F25</f>
        <v>337867.36</v>
      </c>
      <c r="H25" s="614"/>
      <c r="I25" s="614"/>
    </row>
    <row r="26" spans="1:9" s="679" customFormat="1" ht="15" customHeight="1">
      <c r="A26" s="1759" t="s">
        <v>741</v>
      </c>
      <c r="B26" s="1760"/>
      <c r="C26" s="1760"/>
      <c r="D26" s="1760"/>
      <c r="E26" s="1760"/>
      <c r="F26" s="1760"/>
      <c r="G26" s="1761"/>
      <c r="H26" s="678"/>
      <c r="I26" s="678"/>
    </row>
    <row r="27" spans="1:9" ht="131.25" customHeight="1">
      <c r="A27" s="631">
        <v>11</v>
      </c>
      <c r="B27" s="662" t="s">
        <v>742</v>
      </c>
      <c r="C27" s="677" t="s">
        <v>743</v>
      </c>
      <c r="D27" s="662"/>
      <c r="E27" s="662"/>
      <c r="F27" s="680">
        <f>540*15*4</f>
        <v>32400</v>
      </c>
      <c r="G27" s="969">
        <f>F27</f>
        <v>32400</v>
      </c>
      <c r="H27" s="614"/>
      <c r="I27" s="614"/>
    </row>
    <row r="28" spans="1:9">
      <c r="A28" s="681"/>
      <c r="B28" s="682"/>
      <c r="C28" s="683" t="s">
        <v>12</v>
      </c>
      <c r="D28" s="682"/>
      <c r="E28" s="682"/>
      <c r="F28" s="682"/>
      <c r="G28" s="969">
        <f>G25+G27</f>
        <v>370267.36</v>
      </c>
      <c r="H28" s="614"/>
      <c r="I28" s="614"/>
    </row>
    <row r="29" spans="1:9" ht="15" customHeight="1">
      <c r="A29" s="684"/>
      <c r="B29" s="684"/>
      <c r="C29" s="87"/>
      <c r="D29" s="685"/>
      <c r="E29" s="685"/>
      <c r="F29" s="685"/>
      <c r="G29" s="687"/>
      <c r="H29" s="614"/>
      <c r="I29" s="614"/>
    </row>
    <row r="30" spans="1:9">
      <c r="A30" s="686"/>
      <c r="B30" s="87"/>
      <c r="C30" s="87"/>
      <c r="D30" s="685"/>
      <c r="E30" s="685"/>
      <c r="F30" s="685"/>
      <c r="G30" s="687"/>
    </row>
    <row r="31" spans="1:9">
      <c r="A31" s="685"/>
      <c r="B31" s="688"/>
      <c r="C31" s="689"/>
      <c r="D31" s="685"/>
      <c r="E31" s="685"/>
      <c r="F31" s="685"/>
      <c r="G31" s="687"/>
    </row>
    <row r="32" spans="1:9">
      <c r="A32" s="685"/>
      <c r="B32" s="688"/>
      <c r="C32" s="688"/>
      <c r="D32" s="685"/>
      <c r="E32" s="685"/>
      <c r="F32" s="685"/>
      <c r="G32" s="687"/>
    </row>
  </sheetData>
  <mergeCells count="8">
    <mergeCell ref="A18:G18"/>
    <mergeCell ref="A26:G26"/>
    <mergeCell ref="A1:G1"/>
    <mergeCell ref="A2:G2"/>
    <mergeCell ref="C3:F3"/>
    <mergeCell ref="A6:G6"/>
    <mergeCell ref="A9:G9"/>
    <mergeCell ref="A17:F17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2"/>
  <sheetViews>
    <sheetView view="pageBreakPreview" zoomScaleNormal="100" zoomScaleSheetLayoutView="100" workbookViewId="0">
      <selection activeCell="I21" sqref="I21"/>
    </sheetView>
  </sheetViews>
  <sheetFormatPr defaultRowHeight="15"/>
  <cols>
    <col min="1" max="1" width="9.140625" style="916"/>
    <col min="2" max="2" width="16" style="916" customWidth="1"/>
    <col min="3" max="3" width="9.140625" style="916"/>
    <col min="4" max="4" width="16.7109375" style="916" customWidth="1"/>
    <col min="5" max="6" width="9.140625" style="916"/>
    <col min="7" max="7" width="14" style="916" customWidth="1"/>
    <col min="8" max="8" width="22.85546875" style="916" customWidth="1"/>
    <col min="9" max="9" width="12" style="916" customWidth="1"/>
    <col min="10" max="14" width="9.140625" style="916"/>
    <col min="15" max="15" width="93.42578125" style="916" customWidth="1"/>
    <col min="16" max="16384" width="9.140625" style="916"/>
  </cols>
  <sheetData>
    <row r="1" spans="1:11">
      <c r="A1" s="914"/>
      <c r="B1" s="914"/>
      <c r="C1" s="914"/>
      <c r="D1" s="914"/>
      <c r="E1" s="914"/>
      <c r="F1" s="914"/>
      <c r="G1" s="915" t="s">
        <v>781</v>
      </c>
    </row>
    <row r="2" spans="1:11">
      <c r="A2" s="914"/>
      <c r="B2" s="914"/>
      <c r="C2" s="914"/>
      <c r="D2" s="914"/>
      <c r="E2" s="914"/>
      <c r="F2" s="914"/>
      <c r="G2" s="914"/>
    </row>
    <row r="3" spans="1:11" ht="49.5" customHeight="1">
      <c r="A3" s="1774" t="s">
        <v>798</v>
      </c>
      <c r="B3" s="1775"/>
      <c r="C3" s="1775"/>
      <c r="D3" s="1775"/>
      <c r="E3" s="1775"/>
      <c r="F3" s="1775"/>
      <c r="G3" s="1775"/>
    </row>
    <row r="4" spans="1:11" ht="15" customHeight="1">
      <c r="A4" s="914"/>
      <c r="B4" s="914"/>
      <c r="C4" s="917"/>
      <c r="D4" s="918"/>
      <c r="E4" s="918"/>
      <c r="F4" s="917"/>
      <c r="G4" s="919"/>
      <c r="H4" s="920"/>
    </row>
    <row r="5" spans="1:11" ht="36" customHeight="1">
      <c r="A5" s="1776" t="s">
        <v>78</v>
      </c>
      <c r="B5" s="1777"/>
      <c r="C5" s="1778" t="s">
        <v>1125</v>
      </c>
      <c r="D5" s="1777"/>
      <c r="E5" s="1777"/>
      <c r="F5" s="1777"/>
      <c r="G5" s="1777"/>
      <c r="H5" s="921"/>
    </row>
    <row r="6" spans="1:11" ht="38.25" customHeight="1">
      <c r="A6" s="1779" t="s">
        <v>82</v>
      </c>
      <c r="B6" s="1777"/>
      <c r="C6" s="1780"/>
      <c r="D6" s="1777"/>
      <c r="E6" s="1777"/>
      <c r="F6" s="1777"/>
      <c r="G6" s="1777"/>
      <c r="H6" s="922"/>
    </row>
    <row r="7" spans="1:11" ht="39" customHeight="1">
      <c r="A7" s="1781" t="s">
        <v>306</v>
      </c>
      <c r="B7" s="1777"/>
      <c r="C7" s="1780" t="s">
        <v>1136</v>
      </c>
      <c r="D7" s="1777"/>
      <c r="E7" s="1777"/>
      <c r="F7" s="1777"/>
      <c r="G7" s="1777"/>
      <c r="H7" s="922"/>
    </row>
    <row r="8" spans="1:11">
      <c r="A8" s="914"/>
      <c r="B8" s="914"/>
      <c r="C8" s="914"/>
      <c r="D8" s="923"/>
      <c r="E8" s="918"/>
      <c r="F8" s="914"/>
      <c r="G8" s="915"/>
    </row>
    <row r="9" spans="1:11">
      <c r="A9" s="1772" t="s">
        <v>2</v>
      </c>
      <c r="B9" s="1772" t="s">
        <v>3</v>
      </c>
      <c r="C9" s="1785" t="s">
        <v>782</v>
      </c>
      <c r="D9" s="1786"/>
      <c r="E9" s="1772" t="s">
        <v>783</v>
      </c>
      <c r="F9" s="1772" t="s">
        <v>784</v>
      </c>
      <c r="G9" s="1772" t="s">
        <v>785</v>
      </c>
    </row>
    <row r="10" spans="1:11" ht="39.75" customHeight="1">
      <c r="A10" s="1773"/>
      <c r="B10" s="1784"/>
      <c r="C10" s="924" t="s">
        <v>786</v>
      </c>
      <c r="D10" s="925" t="s">
        <v>787</v>
      </c>
      <c r="E10" s="1773"/>
      <c r="F10" s="1773"/>
      <c r="G10" s="1773"/>
    </row>
    <row r="11" spans="1:11">
      <c r="A11" s="926">
        <v>1</v>
      </c>
      <c r="B11" s="927">
        <v>2</v>
      </c>
      <c r="C11" s="926">
        <v>3</v>
      </c>
      <c r="D11" s="928">
        <v>4</v>
      </c>
      <c r="E11" s="929">
        <v>5</v>
      </c>
      <c r="F11" s="929">
        <v>6</v>
      </c>
      <c r="G11" s="929">
        <v>7</v>
      </c>
    </row>
    <row r="12" spans="1:11" ht="24" customHeight="1">
      <c r="A12" s="1787">
        <v>1</v>
      </c>
      <c r="B12" s="1772" t="s">
        <v>313</v>
      </c>
      <c r="C12" s="926">
        <v>1</v>
      </c>
      <c r="D12" s="930" t="s">
        <v>788</v>
      </c>
      <c r="E12" s="926">
        <v>1</v>
      </c>
      <c r="F12" s="931">
        <f t="shared" ref="F12:F19" si="0">80077/22</f>
        <v>3639.86</v>
      </c>
      <c r="G12" s="970">
        <f t="shared" ref="G12:G19" si="1">C12*E12*F12</f>
        <v>3639.86</v>
      </c>
      <c r="H12" s="1791" t="s">
        <v>789</v>
      </c>
      <c r="I12" s="1792"/>
      <c r="J12" s="1792"/>
      <c r="K12" s="1792"/>
    </row>
    <row r="13" spans="1:11">
      <c r="A13" s="1788"/>
      <c r="B13" s="1790"/>
      <c r="C13" s="926">
        <v>3</v>
      </c>
      <c r="D13" s="930" t="s">
        <v>790</v>
      </c>
      <c r="E13" s="926">
        <v>3</v>
      </c>
      <c r="F13" s="931">
        <f t="shared" si="0"/>
        <v>3639.86</v>
      </c>
      <c r="G13" s="970">
        <f t="shared" si="1"/>
        <v>32758.74</v>
      </c>
      <c r="H13" s="1791"/>
      <c r="I13" s="1792"/>
      <c r="J13" s="1792"/>
      <c r="K13" s="1792"/>
    </row>
    <row r="14" spans="1:11">
      <c r="A14" s="1788"/>
      <c r="B14" s="1790"/>
      <c r="C14" s="926">
        <v>3</v>
      </c>
      <c r="D14" s="930" t="s">
        <v>791</v>
      </c>
      <c r="E14" s="926">
        <v>3</v>
      </c>
      <c r="F14" s="931">
        <f t="shared" si="0"/>
        <v>3639.86</v>
      </c>
      <c r="G14" s="970">
        <f t="shared" si="1"/>
        <v>32758.74</v>
      </c>
      <c r="H14" s="1791"/>
      <c r="I14" s="1792"/>
      <c r="J14" s="1792"/>
      <c r="K14" s="1792"/>
    </row>
    <row r="15" spans="1:11" ht="24">
      <c r="A15" s="1789"/>
      <c r="B15" s="1789"/>
      <c r="C15" s="926">
        <v>1</v>
      </c>
      <c r="D15" s="930" t="s">
        <v>792</v>
      </c>
      <c r="E15" s="926">
        <v>3</v>
      </c>
      <c r="F15" s="931">
        <f t="shared" si="0"/>
        <v>3639.86</v>
      </c>
      <c r="G15" s="970">
        <f t="shared" si="1"/>
        <v>10919.58</v>
      </c>
      <c r="H15" s="1791"/>
      <c r="I15" s="1792"/>
      <c r="J15" s="1792"/>
      <c r="K15" s="1792"/>
    </row>
    <row r="16" spans="1:11" ht="24">
      <c r="A16" s="1787">
        <v>2</v>
      </c>
      <c r="B16" s="1772" t="s">
        <v>334</v>
      </c>
      <c r="C16" s="926">
        <v>1</v>
      </c>
      <c r="D16" s="930" t="s">
        <v>788</v>
      </c>
      <c r="E16" s="926">
        <v>1</v>
      </c>
      <c r="F16" s="931">
        <f t="shared" si="0"/>
        <v>3639.86</v>
      </c>
      <c r="G16" s="970">
        <f t="shared" si="1"/>
        <v>3639.86</v>
      </c>
      <c r="H16" s="1791"/>
      <c r="I16" s="1792"/>
      <c r="J16" s="1792"/>
      <c r="K16" s="1792"/>
    </row>
    <row r="17" spans="1:11">
      <c r="A17" s="1788"/>
      <c r="B17" s="1790"/>
      <c r="C17" s="926">
        <v>1</v>
      </c>
      <c r="D17" s="930" t="s">
        <v>790</v>
      </c>
      <c r="E17" s="926">
        <v>7</v>
      </c>
      <c r="F17" s="931">
        <f t="shared" si="0"/>
        <v>3639.86</v>
      </c>
      <c r="G17" s="970">
        <f t="shared" si="1"/>
        <v>25479.02</v>
      </c>
      <c r="H17" s="1791"/>
      <c r="I17" s="1792"/>
      <c r="J17" s="1792"/>
      <c r="K17" s="1792"/>
    </row>
    <row r="18" spans="1:11">
      <c r="A18" s="1788"/>
      <c r="B18" s="1790"/>
      <c r="C18" s="926">
        <v>1</v>
      </c>
      <c r="D18" s="930" t="s">
        <v>791</v>
      </c>
      <c r="E18" s="926">
        <v>7</v>
      </c>
      <c r="F18" s="931">
        <f t="shared" si="0"/>
        <v>3639.86</v>
      </c>
      <c r="G18" s="970">
        <f t="shared" si="1"/>
        <v>25479.02</v>
      </c>
      <c r="H18" s="1791"/>
      <c r="I18" s="1792"/>
      <c r="J18" s="1792"/>
      <c r="K18" s="1792"/>
    </row>
    <row r="19" spans="1:11" ht="24">
      <c r="A19" s="1789"/>
      <c r="B19" s="1789"/>
      <c r="C19" s="926">
        <v>1</v>
      </c>
      <c r="D19" s="930" t="s">
        <v>792</v>
      </c>
      <c r="E19" s="926">
        <v>7</v>
      </c>
      <c r="F19" s="931">
        <f t="shared" si="0"/>
        <v>3639.86</v>
      </c>
      <c r="G19" s="970">
        <f t="shared" si="1"/>
        <v>25479.02</v>
      </c>
      <c r="H19" s="1791"/>
      <c r="I19" s="1792"/>
      <c r="J19" s="1792"/>
      <c r="K19" s="1792"/>
    </row>
    <row r="20" spans="1:11">
      <c r="A20" s="926">
        <v>3</v>
      </c>
      <c r="B20" s="1782" t="s">
        <v>793</v>
      </c>
      <c r="C20" s="1783"/>
      <c r="D20" s="1783"/>
      <c r="E20" s="1783"/>
      <c r="F20" s="1783"/>
      <c r="G20" s="970">
        <f>SUM(G12:G19)</f>
        <v>160153.84</v>
      </c>
    </row>
    <row r="21" spans="1:11" ht="59.25" customHeight="1">
      <c r="A21" s="926">
        <v>4</v>
      </c>
      <c r="B21" s="1795" t="s">
        <v>812</v>
      </c>
      <c r="C21" s="1796"/>
      <c r="D21" s="1796"/>
      <c r="E21" s="1796"/>
      <c r="F21" s="1797"/>
      <c r="G21" s="970">
        <f>G20*0.3</f>
        <v>48046.15</v>
      </c>
    </row>
    <row r="22" spans="1:11" s="932" customFormat="1">
      <c r="A22" s="926">
        <v>5</v>
      </c>
      <c r="B22" s="1782" t="s">
        <v>794</v>
      </c>
      <c r="C22" s="1783"/>
      <c r="D22" s="1783"/>
      <c r="E22" s="1783"/>
      <c r="F22" s="1783"/>
      <c r="G22" s="970">
        <f>(G20)*0.85</f>
        <v>136130.76</v>
      </c>
    </row>
    <row r="23" spans="1:11" s="932" customFormat="1">
      <c r="A23" s="926">
        <v>6</v>
      </c>
      <c r="B23" s="1798" t="s">
        <v>795</v>
      </c>
      <c r="C23" s="1799"/>
      <c r="D23" s="1799"/>
      <c r="E23" s="1799"/>
      <c r="F23" s="1799"/>
      <c r="G23" s="970">
        <f>G20+G21+G22</f>
        <v>344330.75</v>
      </c>
    </row>
    <row r="24" spans="1:11" s="932" customFormat="1">
      <c r="A24" s="926">
        <v>7</v>
      </c>
      <c r="B24" s="1798" t="s">
        <v>796</v>
      </c>
      <c r="C24" s="1799"/>
      <c r="D24" s="1799"/>
      <c r="E24" s="1799"/>
      <c r="F24" s="1799"/>
      <c r="G24" s="970">
        <f>(G20+G21+G22)*0.1</f>
        <v>34433.08</v>
      </c>
    </row>
    <row r="25" spans="1:11" s="932" customFormat="1">
      <c r="A25" s="933">
        <v>8</v>
      </c>
      <c r="B25" s="1800" t="s">
        <v>629</v>
      </c>
      <c r="C25" s="1801"/>
      <c r="D25" s="1801"/>
      <c r="E25" s="1801"/>
      <c r="F25" s="1802"/>
      <c r="G25" s="971">
        <f>G23+G24</f>
        <v>378763.83</v>
      </c>
    </row>
    <row r="26" spans="1:11">
      <c r="A26" s="933">
        <v>9</v>
      </c>
      <c r="B26" s="1800" t="s">
        <v>467</v>
      </c>
      <c r="C26" s="1801"/>
      <c r="D26" s="1801"/>
      <c r="E26" s="1801"/>
      <c r="F26" s="1802"/>
      <c r="G26" s="971">
        <f>G25*0.2</f>
        <v>75752.77</v>
      </c>
    </row>
    <row r="27" spans="1:11">
      <c r="A27" s="933">
        <v>10</v>
      </c>
      <c r="B27" s="1803" t="s">
        <v>797</v>
      </c>
      <c r="C27" s="1804"/>
      <c r="D27" s="1804"/>
      <c r="E27" s="1804"/>
      <c r="F27" s="1805"/>
      <c r="G27" s="972">
        <f>G25+G26</f>
        <v>454516.6</v>
      </c>
    </row>
    <row r="28" spans="1:11">
      <c r="A28" s="914"/>
      <c r="B28" s="914"/>
      <c r="C28" s="914"/>
      <c r="D28" s="914"/>
      <c r="E28" s="914"/>
      <c r="F28" s="934"/>
      <c r="G28" s="914"/>
    </row>
    <row r="29" spans="1:11" ht="12" customHeight="1">
      <c r="A29" s="914"/>
      <c r="B29" s="914"/>
      <c r="C29" s="914"/>
      <c r="D29" s="914"/>
      <c r="E29" s="914"/>
      <c r="F29" s="914"/>
      <c r="G29" s="914"/>
    </row>
    <row r="30" spans="1:11" ht="24" customHeight="1">
      <c r="A30" s="935"/>
      <c r="B30" s="1793"/>
      <c r="C30" s="1793"/>
      <c r="D30" s="1793"/>
      <c r="E30" s="936"/>
      <c r="F30" s="1794"/>
      <c r="G30" s="1794"/>
    </row>
    <row r="31" spans="1:11" ht="24" customHeight="1">
      <c r="A31" s="935"/>
      <c r="B31" s="1793"/>
      <c r="C31" s="1793"/>
      <c r="D31" s="1793"/>
      <c r="E31" s="936"/>
      <c r="F31" s="1794"/>
      <c r="G31" s="1794"/>
    </row>
    <row r="32" spans="1:11" ht="24" customHeight="1">
      <c r="A32" s="935"/>
      <c r="B32" s="1793"/>
      <c r="C32" s="1793"/>
      <c r="D32" s="1793"/>
      <c r="E32" s="936"/>
      <c r="F32" s="1794"/>
      <c r="G32" s="1794"/>
    </row>
  </sheetData>
  <mergeCells count="32"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  <mergeCell ref="B20:F20"/>
    <mergeCell ref="A9:A10"/>
    <mergeCell ref="B9:B10"/>
    <mergeCell ref="C9:D9"/>
    <mergeCell ref="E9:E10"/>
    <mergeCell ref="F9:F10"/>
    <mergeCell ref="A12:A15"/>
    <mergeCell ref="B12:B15"/>
    <mergeCell ref="G9:G10"/>
    <mergeCell ref="A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87"/>
  <sheetViews>
    <sheetView view="pageBreakPreview" zoomScaleNormal="70" zoomScaleSheetLayoutView="100" workbookViewId="0">
      <pane ySplit="5" topLeftCell="A10" activePane="bottomLeft" state="frozen"/>
      <selection activeCell="A17" sqref="A17:C17"/>
      <selection pane="bottomLeft" activeCell="J54" sqref="J54"/>
    </sheetView>
  </sheetViews>
  <sheetFormatPr defaultRowHeight="15.75" outlineLevelRow="1"/>
  <cols>
    <col min="1" max="1" width="9.140625" style="142"/>
    <col min="2" max="2" width="63.7109375" style="142" customWidth="1"/>
    <col min="3" max="3" width="13.85546875" style="142" customWidth="1"/>
    <col min="4" max="4" width="12.42578125" style="142" customWidth="1"/>
    <col min="5" max="5" width="33.7109375" style="142" customWidth="1"/>
    <col min="6" max="6" width="12.140625" style="142" customWidth="1"/>
    <col min="7" max="7" width="14.85546875" style="142" customWidth="1"/>
    <col min="8" max="8" width="11.28515625" style="142" customWidth="1"/>
    <col min="9" max="9" width="12.42578125" style="142" customWidth="1"/>
    <col min="10" max="10" width="17.85546875" style="142" customWidth="1"/>
    <col min="11" max="11" width="15" style="142" customWidth="1"/>
    <col min="12" max="12" width="14.5703125" style="142" customWidth="1"/>
    <col min="13" max="13" width="16.28515625" style="142" customWidth="1"/>
    <col min="14" max="14" width="62.5703125" style="142" customWidth="1"/>
    <col min="15" max="15" width="9.140625" style="142"/>
    <col min="16" max="16" width="12.42578125" style="142" bestFit="1" customWidth="1"/>
    <col min="17" max="19" width="9.140625" style="142"/>
    <col min="20" max="20" width="14.28515625" style="142" bestFit="1" customWidth="1"/>
    <col min="21" max="21" width="25.42578125" style="142" customWidth="1"/>
    <col min="22" max="22" width="24" style="142" customWidth="1"/>
    <col min="23" max="23" width="24.85546875" style="142" customWidth="1"/>
    <col min="24" max="24" width="12.5703125" style="142" bestFit="1" customWidth="1"/>
    <col min="25" max="25" width="14.28515625" style="142" bestFit="1" customWidth="1"/>
    <col min="26" max="16384" width="9.140625" style="142"/>
  </cols>
  <sheetData>
    <row r="1" spans="1:25">
      <c r="A1" s="1313" t="s">
        <v>876</v>
      </c>
      <c r="B1" s="1313"/>
      <c r="C1" s="1313"/>
      <c r="D1" s="1313"/>
      <c r="E1" s="1313"/>
      <c r="F1" s="1313"/>
      <c r="G1" s="1313"/>
      <c r="H1" s="1313"/>
      <c r="I1" s="1313"/>
      <c r="J1" s="1313"/>
      <c r="K1" s="1313"/>
      <c r="L1" s="1313"/>
      <c r="M1" s="1313"/>
      <c r="N1" s="1080"/>
    </row>
    <row r="2" spans="1:25">
      <c r="A2" s="1313" t="str">
        <f>НМЦ!A3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080"/>
    </row>
    <row r="4" spans="1:25" ht="15" customHeight="1">
      <c r="A4" s="1314" t="s">
        <v>138</v>
      </c>
      <c r="B4" s="1314" t="s">
        <v>877</v>
      </c>
      <c r="C4" s="1316" t="s">
        <v>878</v>
      </c>
      <c r="D4" s="1320" t="s">
        <v>879</v>
      </c>
      <c r="E4" s="1321" t="s">
        <v>880</v>
      </c>
      <c r="F4" s="1322"/>
      <c r="G4" s="1322"/>
      <c r="H4" s="1322"/>
      <c r="I4" s="1323"/>
      <c r="J4" s="1316" t="s">
        <v>881</v>
      </c>
      <c r="K4" s="1316" t="s">
        <v>1717</v>
      </c>
      <c r="L4" s="1316" t="s">
        <v>882</v>
      </c>
      <c r="M4" s="1318" t="s">
        <v>883</v>
      </c>
      <c r="N4" s="1314" t="s">
        <v>95</v>
      </c>
    </row>
    <row r="5" spans="1:25" ht="78.75">
      <c r="A5" s="1314"/>
      <c r="B5" s="1314"/>
      <c r="C5" s="1317"/>
      <c r="D5" s="1320"/>
      <c r="E5" s="1081" t="s">
        <v>884</v>
      </c>
      <c r="F5" s="992" t="s">
        <v>885</v>
      </c>
      <c r="G5" s="155" t="s">
        <v>886</v>
      </c>
      <c r="H5" s="155" t="s">
        <v>879</v>
      </c>
      <c r="I5" s="155" t="s">
        <v>887</v>
      </c>
      <c r="J5" s="1317"/>
      <c r="K5" s="1317"/>
      <c r="L5" s="1317"/>
      <c r="M5" s="1319"/>
      <c r="N5" s="1314"/>
      <c r="T5" s="142" t="s">
        <v>1129</v>
      </c>
    </row>
    <row r="6" spans="1:25" s="1166" customFormat="1">
      <c r="A6" s="1162">
        <v>1</v>
      </c>
      <c r="B6" s="1163">
        <v>2</v>
      </c>
      <c r="C6" s="1164">
        <v>3</v>
      </c>
      <c r="D6" s="1165">
        <v>4</v>
      </c>
      <c r="E6" s="1163">
        <v>5</v>
      </c>
      <c r="F6" s="1165">
        <v>6</v>
      </c>
      <c r="G6" s="1165">
        <v>7</v>
      </c>
      <c r="H6" s="1165">
        <v>8</v>
      </c>
      <c r="I6" s="1165">
        <v>9</v>
      </c>
      <c r="J6" s="1164">
        <v>10</v>
      </c>
      <c r="K6" s="1164">
        <v>11</v>
      </c>
      <c r="L6" s="1164">
        <v>12</v>
      </c>
      <c r="M6" s="1164">
        <v>13</v>
      </c>
      <c r="N6" s="1081"/>
    </row>
    <row r="7" spans="1:25" s="1087" customFormat="1" ht="409.5" customHeight="1">
      <c r="A7" s="1130">
        <v>1</v>
      </c>
      <c r="B7" s="1131" t="s">
        <v>1681</v>
      </c>
      <c r="C7" s="1132" t="s">
        <v>888</v>
      </c>
      <c r="D7" s="1133">
        <v>1300</v>
      </c>
      <c r="E7" s="1132" t="s">
        <v>976</v>
      </c>
      <c r="F7" s="1132" t="s">
        <v>891</v>
      </c>
      <c r="G7" s="1167">
        <v>780557.02</v>
      </c>
      <c r="H7" s="1133">
        <v>2122</v>
      </c>
      <c r="I7" s="1167">
        <f t="shared" ref="I7:I10" si="0">G7/H7</f>
        <v>367.84</v>
      </c>
      <c r="J7" s="1167">
        <f t="shared" ref="J7" si="1">D7*I7</f>
        <v>478192</v>
      </c>
      <c r="K7" s="1288">
        <f>$K$55^(1/2)*$K$56*$K$57*$K$58*$K$59*$K$60*$K$61*$K$62*$K$63^(1/4)</f>
        <v>1.6367</v>
      </c>
      <c r="L7" s="1167">
        <f t="shared" ref="L7:L10" si="2">J7*K7</f>
        <v>782656.85</v>
      </c>
      <c r="M7" s="1172">
        <f t="shared" ref="M7" si="3">L7*1.2</f>
        <v>939188.22</v>
      </c>
      <c r="N7" s="1123" t="s">
        <v>1025</v>
      </c>
      <c r="O7" s="1087" t="s">
        <v>1130</v>
      </c>
      <c r="T7" s="1124">
        <v>488182.64</v>
      </c>
    </row>
    <row r="8" spans="1:25" s="1087" customFormat="1" ht="236.25">
      <c r="A8" s="1134">
        <v>2</v>
      </c>
      <c r="B8" s="1135" t="s">
        <v>983</v>
      </c>
      <c r="C8" s="1136" t="s">
        <v>893</v>
      </c>
      <c r="D8" s="1137">
        <v>560</v>
      </c>
      <c r="E8" s="1136" t="s">
        <v>1020</v>
      </c>
      <c r="F8" s="1136" t="s">
        <v>891</v>
      </c>
      <c r="G8" s="1153">
        <v>77197.95</v>
      </c>
      <c r="H8" s="1137">
        <v>1171.7</v>
      </c>
      <c r="I8" s="1153">
        <f>G8/H8</f>
        <v>65.89</v>
      </c>
      <c r="J8" s="1153">
        <f>D8*I8</f>
        <v>36898.400000000001</v>
      </c>
      <c r="K8" s="1289">
        <f>$K$55^(1/2)*$K$56*$K$57*$K$58*$K$59*$K$60*$K$61*$K$62*$K$63^(1/4)</f>
        <v>1.6367</v>
      </c>
      <c r="L8" s="1153">
        <f>J8*K8</f>
        <v>60391.61</v>
      </c>
      <c r="M8" s="1154">
        <f>L8*1.2</f>
        <v>72469.929999999993</v>
      </c>
      <c r="N8" s="1119" t="s">
        <v>1022</v>
      </c>
      <c r="T8" s="1124"/>
      <c r="U8" s="1124"/>
      <c r="Y8" s="1124"/>
    </row>
    <row r="9" spans="1:25" s="1087" customFormat="1" ht="236.25">
      <c r="A9" s="1134">
        <v>3</v>
      </c>
      <c r="B9" s="1138" t="s">
        <v>984</v>
      </c>
      <c r="C9" s="1137" t="s">
        <v>893</v>
      </c>
      <c r="D9" s="1137">
        <v>30</v>
      </c>
      <c r="E9" s="1136" t="s">
        <v>1020</v>
      </c>
      <c r="F9" s="1136" t="s">
        <v>891</v>
      </c>
      <c r="G9" s="1153">
        <v>77197.95</v>
      </c>
      <c r="H9" s="1137">
        <v>1171.7</v>
      </c>
      <c r="I9" s="1153">
        <f>G9/H9</f>
        <v>65.89</v>
      </c>
      <c r="J9" s="1153">
        <f t="shared" ref="J9" si="4">D9*I9</f>
        <v>1976.7</v>
      </c>
      <c r="K9" s="1289">
        <f>$K$55^(1/2)*$K$56*$K$57*$K$58*$K$59*$K$60*$K$61*$K$62*$K$63^(1/4)</f>
        <v>1.6367</v>
      </c>
      <c r="L9" s="1153">
        <f>J9*K9</f>
        <v>3235.26</v>
      </c>
      <c r="M9" s="1154">
        <f>L9*1.2</f>
        <v>3882.31</v>
      </c>
      <c r="N9" s="1119" t="s">
        <v>1022</v>
      </c>
      <c r="T9" s="1124"/>
    </row>
    <row r="10" spans="1:25" s="1087" customFormat="1" ht="126">
      <c r="A10" s="1134">
        <v>4</v>
      </c>
      <c r="B10" s="1135" t="s">
        <v>980</v>
      </c>
      <c r="C10" s="1136" t="s">
        <v>893</v>
      </c>
      <c r="D10" s="1137">
        <v>100</v>
      </c>
      <c r="E10" s="1136" t="s">
        <v>894</v>
      </c>
      <c r="F10" s="1136" t="s">
        <v>892</v>
      </c>
      <c r="G10" s="1153">
        <v>46986.78</v>
      </c>
      <c r="H10" s="1137">
        <v>685</v>
      </c>
      <c r="I10" s="1153">
        <f t="shared" si="0"/>
        <v>68.59</v>
      </c>
      <c r="J10" s="1153">
        <f>D10*I10</f>
        <v>6859</v>
      </c>
      <c r="K10" s="1289">
        <f>$K$59*$K$60*$K$61*$K$62*$K$63^(1/4)</f>
        <v>1.3612</v>
      </c>
      <c r="L10" s="1153">
        <f t="shared" si="2"/>
        <v>9336.4699999999993</v>
      </c>
      <c r="M10" s="1154">
        <f t="shared" ref="M10:M13" si="5">L10*1.2</f>
        <v>11203.76</v>
      </c>
      <c r="N10" s="1119" t="s">
        <v>1682</v>
      </c>
    </row>
    <row r="11" spans="1:25" s="1087" customFormat="1" ht="126">
      <c r="A11" s="1134">
        <v>5</v>
      </c>
      <c r="B11" s="1139" t="s">
        <v>989</v>
      </c>
      <c r="C11" s="1136" t="s">
        <v>893</v>
      </c>
      <c r="D11" s="1137">
        <f>50*3</f>
        <v>150</v>
      </c>
      <c r="E11" s="1136" t="s">
        <v>894</v>
      </c>
      <c r="F11" s="1136" t="s">
        <v>892</v>
      </c>
      <c r="G11" s="1153">
        <v>46986.78</v>
      </c>
      <c r="H11" s="1137">
        <v>685</v>
      </c>
      <c r="I11" s="1153">
        <f t="shared" ref="I11" si="6">G11/H11</f>
        <v>68.59</v>
      </c>
      <c r="J11" s="1153">
        <f>D11*I11</f>
        <v>10288.5</v>
      </c>
      <c r="K11" s="1289">
        <f>$K$59*$K$60*$K$61*$K$62*$K$63^(1/4)</f>
        <v>1.3612</v>
      </c>
      <c r="L11" s="1153">
        <f t="shared" ref="L11" si="7">J11*K11</f>
        <v>14004.71</v>
      </c>
      <c r="M11" s="1154">
        <f t="shared" si="5"/>
        <v>16805.650000000001</v>
      </c>
      <c r="N11" s="788" t="s">
        <v>1683</v>
      </c>
    </row>
    <row r="12" spans="1:25" s="1087" customFormat="1" ht="63">
      <c r="A12" s="1134">
        <v>6</v>
      </c>
      <c r="B12" s="1135" t="s">
        <v>990</v>
      </c>
      <c r="C12" s="1137" t="s">
        <v>897</v>
      </c>
      <c r="D12" s="1137">
        <v>400</v>
      </c>
      <c r="E12" s="1136" t="s">
        <v>898</v>
      </c>
      <c r="F12" s="1136" t="s">
        <v>899</v>
      </c>
      <c r="G12" s="1153">
        <v>23894.53</v>
      </c>
      <c r="H12" s="1137">
        <v>2154.5100000000002</v>
      </c>
      <c r="I12" s="1153">
        <f t="shared" ref="I12" si="8">G12/H12</f>
        <v>11.09</v>
      </c>
      <c r="J12" s="1153">
        <f t="shared" ref="J12" si="9">I12*D12</f>
        <v>4436</v>
      </c>
      <c r="K12" s="1289">
        <f>$K$60*$K$61*$K$62*$K$63^(1/4)</f>
        <v>1.2817000000000001</v>
      </c>
      <c r="L12" s="1153">
        <f>J12*K12</f>
        <v>5685.62</v>
      </c>
      <c r="M12" s="1154">
        <f t="shared" si="5"/>
        <v>6822.74</v>
      </c>
      <c r="N12" s="788" t="s">
        <v>991</v>
      </c>
    </row>
    <row r="13" spans="1:25" s="1087" customFormat="1" ht="63">
      <c r="A13" s="1134">
        <v>7</v>
      </c>
      <c r="B13" s="1138" t="s">
        <v>992</v>
      </c>
      <c r="C13" s="1137" t="s">
        <v>897</v>
      </c>
      <c r="D13" s="1137">
        <v>100</v>
      </c>
      <c r="E13" s="1140" t="s">
        <v>898</v>
      </c>
      <c r="F13" s="1140" t="s">
        <v>899</v>
      </c>
      <c r="G13" s="1168">
        <v>23894.53</v>
      </c>
      <c r="H13" s="1141">
        <v>2154.5100000000002</v>
      </c>
      <c r="I13" s="1168">
        <f t="shared" ref="I13" si="10">G13/H13</f>
        <v>11.09</v>
      </c>
      <c r="J13" s="1168">
        <f t="shared" ref="J13" si="11">I13*D13</f>
        <v>1109</v>
      </c>
      <c r="K13" s="1289">
        <f>$K$60*$K$61*$K$62*$K$63^(1/4)</f>
        <v>1.2817000000000001</v>
      </c>
      <c r="L13" s="1168">
        <f>J13*K13</f>
        <v>1421.41</v>
      </c>
      <c r="M13" s="1173">
        <f t="shared" si="5"/>
        <v>1705.69</v>
      </c>
      <c r="N13" s="1125" t="s">
        <v>1026</v>
      </c>
    </row>
    <row r="14" spans="1:25" s="1127" customFormat="1">
      <c r="A14" s="1142"/>
      <c r="B14" s="1143" t="s">
        <v>995</v>
      </c>
      <c r="C14" s="1144"/>
      <c r="D14" s="1145"/>
      <c r="E14" s="1144"/>
      <c r="F14" s="1144"/>
      <c r="G14" s="1169"/>
      <c r="H14" s="1145"/>
      <c r="I14" s="1169"/>
      <c r="J14" s="1169"/>
      <c r="K14" s="1290"/>
      <c r="L14" s="1169"/>
      <c r="M14" s="1174"/>
      <c r="N14" s="1126"/>
    </row>
    <row r="15" spans="1:25" s="1087" customFormat="1" ht="141.75">
      <c r="A15" s="1134">
        <v>8</v>
      </c>
      <c r="B15" s="1146" t="s">
        <v>996</v>
      </c>
      <c r="C15" s="1147" t="s">
        <v>897</v>
      </c>
      <c r="D15" s="1147">
        <v>200</v>
      </c>
      <c r="E15" s="1136" t="s">
        <v>900</v>
      </c>
      <c r="F15" s="1136" t="s">
        <v>892</v>
      </c>
      <c r="G15" s="1153">
        <v>26446.11</v>
      </c>
      <c r="H15" s="1137">
        <v>3208</v>
      </c>
      <c r="I15" s="1153">
        <f>G15/H15</f>
        <v>8.24</v>
      </c>
      <c r="J15" s="1153">
        <f t="shared" ref="J15:J20" si="12">D15*I15</f>
        <v>1648</v>
      </c>
      <c r="K15" s="1289">
        <f>$K$59*$K$60*$K$61*$K$62*$K$63^(1/4)</f>
        <v>1.3612</v>
      </c>
      <c r="L15" s="1153">
        <f t="shared" ref="L15:L20" si="13">J15*K15</f>
        <v>2243.2600000000002</v>
      </c>
      <c r="M15" s="1154">
        <f t="shared" ref="M15:M20" si="14">L15*1.2</f>
        <v>2691.91</v>
      </c>
      <c r="N15" s="1128" t="s">
        <v>997</v>
      </c>
    </row>
    <row r="16" spans="1:25" s="1087" customFormat="1" ht="54" customHeight="1">
      <c r="A16" s="1134">
        <v>9</v>
      </c>
      <c r="B16" s="1138" t="s">
        <v>1027</v>
      </c>
      <c r="C16" s="1137" t="s">
        <v>889</v>
      </c>
      <c r="D16" s="1137">
        <v>1</v>
      </c>
      <c r="E16" s="1136" t="s">
        <v>1719</v>
      </c>
      <c r="F16" s="1148">
        <v>44562</v>
      </c>
      <c r="G16" s="1168"/>
      <c r="H16" s="1141"/>
      <c r="I16" s="1168">
        <f>'УНЦС (справочно)'!F11</f>
        <v>549.61</v>
      </c>
      <c r="J16" s="1168">
        <f t="shared" si="12"/>
        <v>549.61</v>
      </c>
      <c r="K16" s="1291">
        <f>$K$61*$K$62*$K$63^(1/4)</f>
        <v>1.2219</v>
      </c>
      <c r="L16" s="1168">
        <f t="shared" si="13"/>
        <v>671.57</v>
      </c>
      <c r="M16" s="1173">
        <f t="shared" si="14"/>
        <v>805.88</v>
      </c>
      <c r="N16" s="1086" t="s">
        <v>1033</v>
      </c>
    </row>
    <row r="17" spans="1:14" s="1087" customFormat="1" ht="141.75">
      <c r="A17" s="1134">
        <v>10</v>
      </c>
      <c r="B17" s="1146" t="s">
        <v>996</v>
      </c>
      <c r="C17" s="1147" t="s">
        <v>897</v>
      </c>
      <c r="D17" s="1147">
        <v>150</v>
      </c>
      <c r="E17" s="1136" t="s">
        <v>900</v>
      </c>
      <c r="F17" s="1136" t="s">
        <v>892</v>
      </c>
      <c r="G17" s="1153">
        <v>26446.11</v>
      </c>
      <c r="H17" s="1137">
        <v>3208</v>
      </c>
      <c r="I17" s="1153">
        <f>G17/H17</f>
        <v>8.24</v>
      </c>
      <c r="J17" s="1153">
        <f t="shared" si="12"/>
        <v>1236</v>
      </c>
      <c r="K17" s="1289">
        <f>$K$59*$K$60*$K$61*$K$62*$K$63^(1/4)</f>
        <v>1.3612</v>
      </c>
      <c r="L17" s="1153">
        <f t="shared" si="13"/>
        <v>1682.44</v>
      </c>
      <c r="M17" s="1154">
        <f t="shared" si="14"/>
        <v>2018.93</v>
      </c>
      <c r="N17" s="788" t="s">
        <v>1685</v>
      </c>
    </row>
    <row r="18" spans="1:14" s="1087" customFormat="1">
      <c r="A18" s="1134">
        <v>11</v>
      </c>
      <c r="B18" s="1138" t="s">
        <v>916</v>
      </c>
      <c r="C18" s="1137" t="s">
        <v>1721</v>
      </c>
      <c r="D18" s="1137">
        <v>2</v>
      </c>
      <c r="E18" s="1136" t="s">
        <v>1720</v>
      </c>
      <c r="F18" s="1149">
        <v>44562</v>
      </c>
      <c r="G18" s="1153"/>
      <c r="H18" s="1137"/>
      <c r="I18" s="1153">
        <f>'УНЦС (справочно)'!$F$9</f>
        <v>475.66</v>
      </c>
      <c r="J18" s="1153">
        <f t="shared" si="12"/>
        <v>951.32</v>
      </c>
      <c r="K18" s="1291">
        <f>$K$61*$K$62*$K$63^(1/4)</f>
        <v>1.2219</v>
      </c>
      <c r="L18" s="1153">
        <f t="shared" si="13"/>
        <v>1162.42</v>
      </c>
      <c r="M18" s="1154">
        <f t="shared" si="14"/>
        <v>1394.9</v>
      </c>
      <c r="N18" s="788" t="s">
        <v>999</v>
      </c>
    </row>
    <row r="19" spans="1:14" s="1087" customFormat="1" ht="126">
      <c r="A19" s="1134">
        <v>12</v>
      </c>
      <c r="B19" s="1135" t="s">
        <v>1000</v>
      </c>
      <c r="C19" s="1136" t="s">
        <v>897</v>
      </c>
      <c r="D19" s="1137">
        <v>200</v>
      </c>
      <c r="E19" s="1136" t="s">
        <v>901</v>
      </c>
      <c r="F19" s="1136" t="s">
        <v>891</v>
      </c>
      <c r="G19" s="1153">
        <v>7345.3</v>
      </c>
      <c r="H19" s="1137">
        <v>9435</v>
      </c>
      <c r="I19" s="1153">
        <f>G19/H19</f>
        <v>0.78</v>
      </c>
      <c r="J19" s="1153">
        <f t="shared" si="12"/>
        <v>156</v>
      </c>
      <c r="K19" s="1289">
        <f>$K$55^(1/2)*$K$56*$K$57*$K$58*$K$59*$K$60*$K$61*$K$62*$K$63^(1/4)</f>
        <v>1.6367</v>
      </c>
      <c r="L19" s="1153">
        <f t="shared" si="13"/>
        <v>255.33</v>
      </c>
      <c r="M19" s="1154">
        <f t="shared" si="14"/>
        <v>306.39999999999998</v>
      </c>
      <c r="N19" s="788" t="s">
        <v>1686</v>
      </c>
    </row>
    <row r="20" spans="1:14" s="1087" customFormat="1" ht="220.5">
      <c r="A20" s="1134">
        <v>13</v>
      </c>
      <c r="B20" s="1135" t="s">
        <v>1001</v>
      </c>
      <c r="C20" s="1136" t="s">
        <v>902</v>
      </c>
      <c r="D20" s="1137">
        <v>1300</v>
      </c>
      <c r="E20" s="1136" t="s">
        <v>976</v>
      </c>
      <c r="F20" s="1136" t="s">
        <v>891</v>
      </c>
      <c r="G20" s="1153">
        <v>10096.42</v>
      </c>
      <c r="H20" s="1137">
        <v>2122</v>
      </c>
      <c r="I20" s="1153">
        <f t="shared" ref="I20" si="15">G20/H20</f>
        <v>4.76</v>
      </c>
      <c r="J20" s="1153">
        <f t="shared" si="12"/>
        <v>6188</v>
      </c>
      <c r="K20" s="1289">
        <f>$K$55^(1/2)*$K$56*$K$57*$K$58*$K$59*$K$60*$K$61*$K$62*$K$63^(1/4)</f>
        <v>1.6367</v>
      </c>
      <c r="L20" s="1153">
        <f t="shared" si="13"/>
        <v>10127.9</v>
      </c>
      <c r="M20" s="1154">
        <f t="shared" si="14"/>
        <v>12153.48</v>
      </c>
      <c r="N20" s="1129" t="s">
        <v>1024</v>
      </c>
    </row>
    <row r="21" spans="1:14" ht="31.5" outlineLevel="1">
      <c r="A21" s="1156" t="s">
        <v>1748</v>
      </c>
      <c r="B21" s="1150" t="s">
        <v>968</v>
      </c>
      <c r="C21" s="1151" t="s">
        <v>1002</v>
      </c>
      <c r="D21" s="1152">
        <v>4</v>
      </c>
      <c r="E21" s="1151"/>
      <c r="F21" s="1151"/>
      <c r="G21" s="1170"/>
      <c r="H21" s="1152"/>
      <c r="I21" s="1170"/>
      <c r="J21" s="1170"/>
      <c r="K21" s="1292"/>
      <c r="L21" s="1170"/>
      <c r="M21" s="1175"/>
      <c r="N21" s="784" t="s">
        <v>1008</v>
      </c>
    </row>
    <row r="22" spans="1:14" outlineLevel="1">
      <c r="A22" s="1156" t="s">
        <v>1749</v>
      </c>
      <c r="B22" s="1150" t="s">
        <v>969</v>
      </c>
      <c r="C22" s="1151" t="s">
        <v>903</v>
      </c>
      <c r="D22" s="1152">
        <v>19</v>
      </c>
      <c r="E22" s="1151"/>
      <c r="F22" s="1151"/>
      <c r="G22" s="1170"/>
      <c r="H22" s="1152"/>
      <c r="I22" s="1170"/>
      <c r="J22" s="1170"/>
      <c r="K22" s="1292"/>
      <c r="L22" s="1170"/>
      <c r="M22" s="1175"/>
      <c r="N22" s="784" t="s">
        <v>1009</v>
      </c>
    </row>
    <row r="23" spans="1:14" outlineLevel="1">
      <c r="A23" s="1156" t="s">
        <v>1750</v>
      </c>
      <c r="B23" s="1150" t="s">
        <v>1010</v>
      </c>
      <c r="C23" s="1151" t="s">
        <v>903</v>
      </c>
      <c r="D23" s="1152">
        <v>6</v>
      </c>
      <c r="E23" s="1151"/>
      <c r="F23" s="1151"/>
      <c r="G23" s="1170"/>
      <c r="H23" s="1152"/>
      <c r="I23" s="1170"/>
      <c r="J23" s="1170"/>
      <c r="K23" s="1292"/>
      <c r="L23" s="1170"/>
      <c r="M23" s="1175"/>
      <c r="N23" s="784" t="s">
        <v>1009</v>
      </c>
    </row>
    <row r="24" spans="1:14" ht="47.25" outlineLevel="1">
      <c r="A24" s="1156" t="s">
        <v>1751</v>
      </c>
      <c r="B24" s="1150" t="s">
        <v>905</v>
      </c>
      <c r="C24" s="1151" t="s">
        <v>904</v>
      </c>
      <c r="D24" s="1152">
        <v>5</v>
      </c>
      <c r="E24" s="1151"/>
      <c r="F24" s="1151"/>
      <c r="G24" s="1170"/>
      <c r="H24" s="1152"/>
      <c r="I24" s="1170"/>
      <c r="J24" s="1170"/>
      <c r="K24" s="1292"/>
      <c r="L24" s="1170"/>
      <c r="M24" s="1175"/>
      <c r="N24" s="1085" t="s">
        <v>1687</v>
      </c>
    </row>
    <row r="25" spans="1:14" ht="31.5" outlineLevel="1">
      <c r="A25" s="1156" t="s">
        <v>1752</v>
      </c>
      <c r="B25" s="1150" t="s">
        <v>907</v>
      </c>
      <c r="C25" s="1151" t="s">
        <v>904</v>
      </c>
      <c r="D25" s="1152">
        <v>3</v>
      </c>
      <c r="E25" s="1151"/>
      <c r="F25" s="1151"/>
      <c r="G25" s="1170"/>
      <c r="H25" s="1152"/>
      <c r="I25" s="1170"/>
      <c r="J25" s="1170"/>
      <c r="K25" s="1292"/>
      <c r="L25" s="1170"/>
      <c r="M25" s="1175"/>
      <c r="N25" s="1085" t="s">
        <v>1688</v>
      </c>
    </row>
    <row r="26" spans="1:14" outlineLevel="1">
      <c r="A26" s="1156" t="s">
        <v>1753</v>
      </c>
      <c r="B26" s="1150" t="s">
        <v>844</v>
      </c>
      <c r="C26" s="1152" t="s">
        <v>897</v>
      </c>
      <c r="D26" s="1152">
        <v>250</v>
      </c>
      <c r="E26" s="1151"/>
      <c r="F26" s="1151"/>
      <c r="G26" s="1170"/>
      <c r="H26" s="1152"/>
      <c r="I26" s="1170"/>
      <c r="J26" s="1170"/>
      <c r="K26" s="1292"/>
      <c r="L26" s="1170"/>
      <c r="M26" s="1175"/>
      <c r="N26" s="784" t="s">
        <v>1009</v>
      </c>
    </row>
    <row r="27" spans="1:14" outlineLevel="1">
      <c r="A27" s="1156" t="s">
        <v>1754</v>
      </c>
      <c r="B27" s="1150" t="s">
        <v>909</v>
      </c>
      <c r="C27" s="1152" t="s">
        <v>910</v>
      </c>
      <c r="D27" s="1152">
        <v>2</v>
      </c>
      <c r="E27" s="1151"/>
      <c r="F27" s="1151"/>
      <c r="G27" s="1170"/>
      <c r="H27" s="1152"/>
      <c r="I27" s="1170"/>
      <c r="J27" s="1170"/>
      <c r="K27" s="1292"/>
      <c r="L27" s="1170"/>
      <c r="M27" s="1175"/>
      <c r="N27" s="1085" t="s">
        <v>1689</v>
      </c>
    </row>
    <row r="28" spans="1:14" ht="63" outlineLevel="1">
      <c r="A28" s="1156" t="s">
        <v>1755</v>
      </c>
      <c r="B28" s="1150" t="s">
        <v>1003</v>
      </c>
      <c r="C28" s="1151" t="s">
        <v>1690</v>
      </c>
      <c r="D28" s="1152">
        <v>1000</v>
      </c>
      <c r="E28" s="1151"/>
      <c r="F28" s="1151"/>
      <c r="G28" s="1170"/>
      <c r="H28" s="1152"/>
      <c r="I28" s="1170"/>
      <c r="J28" s="1170"/>
      <c r="K28" s="1292"/>
      <c r="L28" s="1170"/>
      <c r="M28" s="1175"/>
      <c r="N28" s="1085" t="s">
        <v>1691</v>
      </c>
    </row>
    <row r="29" spans="1:14" outlineLevel="1">
      <c r="A29" s="1156" t="s">
        <v>1756</v>
      </c>
      <c r="B29" s="1150" t="s">
        <v>970</v>
      </c>
      <c r="C29" s="1152" t="s">
        <v>908</v>
      </c>
      <c r="D29" s="1152">
        <v>18</v>
      </c>
      <c r="E29" s="1151"/>
      <c r="F29" s="1151"/>
      <c r="G29" s="1170"/>
      <c r="H29" s="1152"/>
      <c r="I29" s="1170"/>
      <c r="J29" s="1170"/>
      <c r="K29" s="1292"/>
      <c r="L29" s="1170"/>
      <c r="M29" s="1175"/>
      <c r="N29" s="784" t="s">
        <v>1008</v>
      </c>
    </row>
    <row r="30" spans="1:14" outlineLevel="1">
      <c r="A30" s="1156" t="s">
        <v>1757</v>
      </c>
      <c r="B30" s="1150" t="s">
        <v>911</v>
      </c>
      <c r="C30" s="1152" t="s">
        <v>912</v>
      </c>
      <c r="D30" s="1152">
        <v>32</v>
      </c>
      <c r="E30" s="1151"/>
      <c r="F30" s="1151"/>
      <c r="G30" s="1170"/>
      <c r="H30" s="1152"/>
      <c r="I30" s="1170"/>
      <c r="J30" s="1170"/>
      <c r="K30" s="1292"/>
      <c r="L30" s="1170"/>
      <c r="M30" s="1175"/>
      <c r="N30" s="784" t="s">
        <v>1009</v>
      </c>
    </row>
    <row r="31" spans="1:14" outlineLevel="1">
      <c r="A31" s="1156" t="s">
        <v>1758</v>
      </c>
      <c r="B31" s="1150" t="s">
        <v>913</v>
      </c>
      <c r="C31" s="1152" t="s">
        <v>908</v>
      </c>
      <c r="D31" s="1152">
        <v>28</v>
      </c>
      <c r="E31" s="1151"/>
      <c r="F31" s="1151"/>
      <c r="G31" s="1170"/>
      <c r="H31" s="1152"/>
      <c r="I31" s="1170"/>
      <c r="J31" s="1170"/>
      <c r="K31" s="1292"/>
      <c r="L31" s="1170"/>
      <c r="M31" s="1175"/>
      <c r="N31" s="784" t="s">
        <v>1009</v>
      </c>
    </row>
    <row r="32" spans="1:14" ht="47.25" outlineLevel="1">
      <c r="A32" s="1156" t="s">
        <v>1759</v>
      </c>
      <c r="B32" s="1150" t="s">
        <v>830</v>
      </c>
      <c r="C32" s="1151" t="s">
        <v>914</v>
      </c>
      <c r="D32" s="1152">
        <v>4</v>
      </c>
      <c r="E32" s="1151"/>
      <c r="F32" s="1151"/>
      <c r="G32" s="1170"/>
      <c r="H32" s="1152"/>
      <c r="I32" s="1170"/>
      <c r="J32" s="1170"/>
      <c r="K32" s="1292"/>
      <c r="L32" s="1170"/>
      <c r="M32" s="1175"/>
      <c r="N32" s="784" t="s">
        <v>1009</v>
      </c>
    </row>
    <row r="33" spans="1:14" ht="47.25" outlineLevel="1">
      <c r="A33" s="1156" t="s">
        <v>1760</v>
      </c>
      <c r="B33" s="1150" t="s">
        <v>832</v>
      </c>
      <c r="C33" s="1152" t="s">
        <v>889</v>
      </c>
      <c r="D33" s="1152">
        <v>2</v>
      </c>
      <c r="E33" s="1151"/>
      <c r="F33" s="1151"/>
      <c r="G33" s="1170"/>
      <c r="H33" s="1152"/>
      <c r="I33" s="1170"/>
      <c r="J33" s="1170"/>
      <c r="K33" s="1292"/>
      <c r="L33" s="1170"/>
      <c r="M33" s="1175"/>
      <c r="N33" s="1085" t="s">
        <v>1692</v>
      </c>
    </row>
    <row r="34" spans="1:14" outlineLevel="1">
      <c r="A34" s="1156" t="s">
        <v>1761</v>
      </c>
      <c r="B34" s="1150" t="s">
        <v>915</v>
      </c>
      <c r="C34" s="1152" t="s">
        <v>903</v>
      </c>
      <c r="D34" s="1152">
        <v>2</v>
      </c>
      <c r="E34" s="1151"/>
      <c r="F34" s="1151"/>
      <c r="G34" s="1170"/>
      <c r="H34" s="1152"/>
      <c r="I34" s="1170"/>
      <c r="J34" s="1170"/>
      <c r="K34" s="1292"/>
      <c r="L34" s="1170"/>
      <c r="M34" s="1175"/>
      <c r="N34" s="784" t="s">
        <v>1009</v>
      </c>
    </row>
    <row r="35" spans="1:14" outlineLevel="1">
      <c r="A35" s="1156" t="s">
        <v>1762</v>
      </c>
      <c r="B35" s="1150" t="s">
        <v>1004</v>
      </c>
      <c r="C35" s="1152" t="s">
        <v>1005</v>
      </c>
      <c r="D35" s="1152">
        <v>6</v>
      </c>
      <c r="E35" s="1151"/>
      <c r="F35" s="1152"/>
      <c r="G35" s="1170"/>
      <c r="H35" s="1152"/>
      <c r="I35" s="1170"/>
      <c r="J35" s="1170"/>
      <c r="K35" s="1292"/>
      <c r="L35" s="1170"/>
      <c r="M35" s="1175"/>
      <c r="N35" s="784" t="s">
        <v>1009</v>
      </c>
    </row>
    <row r="36" spans="1:14" ht="31.5" outlineLevel="1">
      <c r="A36" s="1156" t="s">
        <v>1763</v>
      </c>
      <c r="B36" s="1150" t="s">
        <v>1004</v>
      </c>
      <c r="C36" s="1151" t="s">
        <v>1006</v>
      </c>
      <c r="D36" s="1152">
        <v>1</v>
      </c>
      <c r="E36" s="1151"/>
      <c r="F36" s="1152"/>
      <c r="G36" s="1170"/>
      <c r="H36" s="1152"/>
      <c r="I36" s="1170"/>
      <c r="J36" s="1170"/>
      <c r="K36" s="1292"/>
      <c r="L36" s="1170"/>
      <c r="M36" s="1175"/>
      <c r="N36" s="784" t="s">
        <v>1009</v>
      </c>
    </row>
    <row r="37" spans="1:14" ht="47.25" outlineLevel="1">
      <c r="A37" s="1156" t="s">
        <v>1764</v>
      </c>
      <c r="B37" s="1150" t="s">
        <v>1007</v>
      </c>
      <c r="C37" s="1152" t="s">
        <v>906</v>
      </c>
      <c r="D37" s="1152">
        <v>560</v>
      </c>
      <c r="E37" s="1151"/>
      <c r="F37" s="1151"/>
      <c r="G37" s="1170"/>
      <c r="H37" s="1152"/>
      <c r="I37" s="1170"/>
      <c r="J37" s="1170"/>
      <c r="K37" s="1292"/>
      <c r="L37" s="1170"/>
      <c r="M37" s="1175"/>
      <c r="N37" s="1085" t="s">
        <v>1693</v>
      </c>
    </row>
    <row r="38" spans="1:14" ht="47.25" outlineLevel="1">
      <c r="A38" s="1156" t="s">
        <v>1765</v>
      </c>
      <c r="B38" s="1150" t="s">
        <v>1007</v>
      </c>
      <c r="C38" s="1152" t="s">
        <v>906</v>
      </c>
      <c r="D38" s="1152">
        <v>12</v>
      </c>
      <c r="E38" s="1151"/>
      <c r="F38" s="1151"/>
      <c r="G38" s="1170"/>
      <c r="H38" s="1152"/>
      <c r="I38" s="1170"/>
      <c r="J38" s="1170"/>
      <c r="K38" s="1292"/>
      <c r="L38" s="1170"/>
      <c r="M38" s="1175"/>
      <c r="N38" s="1085" t="s">
        <v>1694</v>
      </c>
    </row>
    <row r="39" spans="1:14" s="1087" customFormat="1" ht="94.5">
      <c r="A39" s="1134">
        <v>14</v>
      </c>
      <c r="B39" s="1138" t="s">
        <v>1695</v>
      </c>
      <c r="C39" s="1137" t="s">
        <v>1696</v>
      </c>
      <c r="D39" s="1137">
        <v>56</v>
      </c>
      <c r="E39" s="1136" t="s">
        <v>1734</v>
      </c>
      <c r="F39" s="1136" t="s">
        <v>1735</v>
      </c>
      <c r="G39" s="1153">
        <v>7493.51</v>
      </c>
      <c r="H39" s="1137">
        <v>167</v>
      </c>
      <c r="I39" s="1153">
        <f>G39/H39</f>
        <v>44.87</v>
      </c>
      <c r="J39" s="1153">
        <f>I39*D39</f>
        <v>2512.7199999999998</v>
      </c>
      <c r="K39" s="1289">
        <f>$K$58^(1/2)*$K$59*$K$60*$K$61*$K$62*$K$63^(1/4)</f>
        <v>1.4067000000000001</v>
      </c>
      <c r="L39" s="1153">
        <f>J39*K39</f>
        <v>3534.64</v>
      </c>
      <c r="M39" s="1154">
        <f t="shared" ref="M39" si="16">L39*1.2</f>
        <v>4241.57</v>
      </c>
      <c r="N39" s="1086"/>
    </row>
    <row r="40" spans="1:14" s="1087" customFormat="1">
      <c r="A40" s="1134">
        <v>15</v>
      </c>
      <c r="B40" s="1138" t="s">
        <v>1747</v>
      </c>
      <c r="C40" s="1137" t="s">
        <v>180</v>
      </c>
      <c r="D40" s="1137">
        <v>2.8</v>
      </c>
      <c r="E40" s="1137" t="s">
        <v>1740</v>
      </c>
      <c r="F40" s="1149">
        <v>44562</v>
      </c>
      <c r="G40" s="1153"/>
      <c r="H40" s="1137"/>
      <c r="I40" s="1153">
        <f>'УНЦС (справочно)'!$F$22</f>
        <v>586.77</v>
      </c>
      <c r="J40" s="1153">
        <f>D40*I40</f>
        <v>1642.96</v>
      </c>
      <c r="K40" s="1291">
        <f>$K$61*$K$62*$K$63^(1/4)</f>
        <v>1.2219</v>
      </c>
      <c r="L40" s="1153">
        <f>J40*K40</f>
        <v>2007.53</v>
      </c>
      <c r="M40" s="1154">
        <f>L40*1.2</f>
        <v>2409.04</v>
      </c>
      <c r="N40" s="1086"/>
    </row>
    <row r="41" spans="1:14" s="1087" customFormat="1" ht="189">
      <c r="A41" s="1134">
        <v>16</v>
      </c>
      <c r="B41" s="1138" t="s">
        <v>1738</v>
      </c>
      <c r="C41" s="1136" t="s">
        <v>1737</v>
      </c>
      <c r="D41" s="1137">
        <f>18*16</f>
        <v>288</v>
      </c>
      <c r="E41" s="1136" t="s">
        <v>1739</v>
      </c>
      <c r="F41" s="1136" t="s">
        <v>891</v>
      </c>
      <c r="G41" s="1153">
        <v>866.97</v>
      </c>
      <c r="H41" s="1137">
        <v>4460</v>
      </c>
      <c r="I41" s="1153">
        <f>G41/H41</f>
        <v>0.19</v>
      </c>
      <c r="J41" s="1153">
        <f>I41*D41</f>
        <v>54.72</v>
      </c>
      <c r="K41" s="1289">
        <f>$K$55^(1/2)*$K$56*$K$57*$K$58*$K$59*$K$60*$K$61*$K$62*$K$63^(1/4)</f>
        <v>1.6367</v>
      </c>
      <c r="L41" s="1153">
        <f>J41*K41</f>
        <v>89.56</v>
      </c>
      <c r="M41" s="1154">
        <f t="shared" ref="M41:M48" si="17">L41*1.2</f>
        <v>107.47</v>
      </c>
      <c r="N41" s="1086" t="s">
        <v>1697</v>
      </c>
    </row>
    <row r="42" spans="1:14" s="1087" customFormat="1" ht="94.5">
      <c r="A42" s="1134">
        <v>17</v>
      </c>
      <c r="B42" s="1138" t="s">
        <v>1698</v>
      </c>
      <c r="C42" s="1137" t="s">
        <v>1699</v>
      </c>
      <c r="D42" s="1137">
        <v>2</v>
      </c>
      <c r="E42" s="1136" t="s">
        <v>1734</v>
      </c>
      <c r="F42" s="1136" t="s">
        <v>1735</v>
      </c>
      <c r="G42" s="1153">
        <v>17.34</v>
      </c>
      <c r="H42" s="1137">
        <v>5</v>
      </c>
      <c r="I42" s="1153">
        <f t="shared" ref="I42" si="18">G42/H42</f>
        <v>3.47</v>
      </c>
      <c r="J42" s="1153">
        <f t="shared" ref="J42" si="19">I42*D42</f>
        <v>6.94</v>
      </c>
      <c r="K42" s="1289">
        <f>$K$58^(1/2)*$K$59*$K$60*$K$61*$K$62*$K$63^(1/4)</f>
        <v>1.4067000000000001</v>
      </c>
      <c r="L42" s="1153">
        <f t="shared" ref="L42" si="20">J42*K42</f>
        <v>9.76</v>
      </c>
      <c r="M42" s="1154">
        <f t="shared" si="17"/>
        <v>11.71</v>
      </c>
      <c r="N42" s="1086"/>
    </row>
    <row r="43" spans="1:14" s="1087" customFormat="1" ht="94.5">
      <c r="A43" s="1134">
        <v>18</v>
      </c>
      <c r="B43" s="1138" t="s">
        <v>1700</v>
      </c>
      <c r="C43" s="1137" t="s">
        <v>903</v>
      </c>
      <c r="D43" s="1137">
        <v>12</v>
      </c>
      <c r="E43" s="1136" t="s">
        <v>1734</v>
      </c>
      <c r="F43" s="1136" t="s">
        <v>1735</v>
      </c>
      <c r="G43" s="1153">
        <v>7493.51</v>
      </c>
      <c r="H43" s="1137">
        <v>167</v>
      </c>
      <c r="I43" s="1153">
        <f>G43/H43</f>
        <v>44.87</v>
      </c>
      <c r="J43" s="1153">
        <f>I43*D43</f>
        <v>538.44000000000005</v>
      </c>
      <c r="K43" s="1289">
        <f>$K$58^(1/2)*$K$59*$K$60*$K$61*$K$62*$K$63^(1/4)</f>
        <v>1.4067000000000001</v>
      </c>
      <c r="L43" s="1153">
        <f>J43*K43</f>
        <v>757.42</v>
      </c>
      <c r="M43" s="1154">
        <f t="shared" si="17"/>
        <v>908.9</v>
      </c>
      <c r="N43" s="1086"/>
    </row>
    <row r="44" spans="1:14" s="1087" customFormat="1" ht="94.5">
      <c r="A44" s="1134">
        <v>19</v>
      </c>
      <c r="B44" s="1138" t="s">
        <v>1582</v>
      </c>
      <c r="C44" s="1137" t="s">
        <v>1701</v>
      </c>
      <c r="D44" s="1137">
        <v>2</v>
      </c>
      <c r="E44" s="1136" t="s">
        <v>1734</v>
      </c>
      <c r="F44" s="1136" t="s">
        <v>1735</v>
      </c>
      <c r="G44" s="1153">
        <v>1084.5</v>
      </c>
      <c r="H44" s="1137">
        <v>9</v>
      </c>
      <c r="I44" s="1153">
        <f t="shared" ref="I44" si="21">G44/H44</f>
        <v>120.5</v>
      </c>
      <c r="J44" s="1153">
        <f t="shared" ref="J44" si="22">I44*D44</f>
        <v>241</v>
      </c>
      <c r="K44" s="1289">
        <f>$K$58^(1/2)*$K$59*$K$60*$K$61*$K$62*$K$63^(1/4)</f>
        <v>1.4067000000000001</v>
      </c>
      <c r="L44" s="1153">
        <f t="shared" ref="L44" si="23">J44*K44</f>
        <v>339.01</v>
      </c>
      <c r="M44" s="1154">
        <f t="shared" si="17"/>
        <v>406.81</v>
      </c>
      <c r="N44" s="1086"/>
    </row>
    <row r="45" spans="1:14" s="1087" customFormat="1" ht="103.5" customHeight="1">
      <c r="A45" s="1134">
        <v>20</v>
      </c>
      <c r="B45" s="1138" t="s">
        <v>1702</v>
      </c>
      <c r="C45" s="1136" t="s">
        <v>1736</v>
      </c>
      <c r="D45" s="1137">
        <v>2</v>
      </c>
      <c r="E45" s="1136" t="s">
        <v>1734</v>
      </c>
      <c r="F45" s="1136" t="s">
        <v>1735</v>
      </c>
      <c r="G45" s="1153">
        <v>1890.95</v>
      </c>
      <c r="H45" s="1137">
        <v>4</v>
      </c>
      <c r="I45" s="1153">
        <f>G45/H45</f>
        <v>472.74</v>
      </c>
      <c r="J45" s="1153">
        <f>I45*D45</f>
        <v>945.48</v>
      </c>
      <c r="K45" s="1289">
        <f>$K$58^(1/2)*$K$59*$K$60*$K$61*$K$62*$K$63^(1/4)</f>
        <v>1.4067000000000001</v>
      </c>
      <c r="L45" s="1153">
        <f>J45*K45</f>
        <v>1330.01</v>
      </c>
      <c r="M45" s="1154">
        <f t="shared" si="17"/>
        <v>1596.01</v>
      </c>
      <c r="N45" s="1086"/>
    </row>
    <row r="46" spans="1:14" s="1087" customFormat="1" ht="126">
      <c r="A46" s="1134">
        <v>21</v>
      </c>
      <c r="B46" s="1138" t="s">
        <v>1703</v>
      </c>
      <c r="C46" s="1137" t="s">
        <v>917</v>
      </c>
      <c r="D46" s="1137">
        <v>200</v>
      </c>
      <c r="E46" s="1136" t="s">
        <v>901</v>
      </c>
      <c r="F46" s="1136" t="s">
        <v>891</v>
      </c>
      <c r="G46" s="1153">
        <v>7345.3</v>
      </c>
      <c r="H46" s="1137">
        <v>9435</v>
      </c>
      <c r="I46" s="1153">
        <f>G46/H46</f>
        <v>0.78</v>
      </c>
      <c r="J46" s="1153">
        <f>D46*I46</f>
        <v>156</v>
      </c>
      <c r="K46" s="1289">
        <f>$K$55^(1/2)*$K$56*$K$57*$K$58*$K$59*$K$60*$K$61*$K$62*$K$63^(1/4)</f>
        <v>1.6367</v>
      </c>
      <c r="L46" s="1153">
        <f t="shared" ref="L46:L48" si="24">J46*K46</f>
        <v>255.33</v>
      </c>
      <c r="M46" s="1154">
        <f t="shared" si="17"/>
        <v>306.39999999999998</v>
      </c>
      <c r="N46" s="1086" t="s">
        <v>1704</v>
      </c>
    </row>
    <row r="47" spans="1:14" s="1087" customFormat="1" ht="94.5">
      <c r="A47" s="1134">
        <v>22</v>
      </c>
      <c r="B47" s="1155" t="s">
        <v>1601</v>
      </c>
      <c r="C47" s="1137" t="s">
        <v>1705</v>
      </c>
      <c r="D47" s="1137">
        <v>2</v>
      </c>
      <c r="E47" s="1136" t="s">
        <v>1734</v>
      </c>
      <c r="F47" s="1136" t="s">
        <v>1735</v>
      </c>
      <c r="G47" s="1153">
        <v>1084.5</v>
      </c>
      <c r="H47" s="1137">
        <v>9</v>
      </c>
      <c r="I47" s="1153">
        <f t="shared" ref="I47" si="25">G47/H47</f>
        <v>120.5</v>
      </c>
      <c r="J47" s="1153">
        <f t="shared" ref="J47" si="26">I47*D47</f>
        <v>241</v>
      </c>
      <c r="K47" s="1289">
        <f>$K$58^(1/2)*$K$59*$K$60*$K$61*$K$62*$K$63^(1/4)</f>
        <v>1.4067000000000001</v>
      </c>
      <c r="L47" s="1153">
        <f t="shared" si="24"/>
        <v>339.01</v>
      </c>
      <c r="M47" s="1154">
        <f t="shared" si="17"/>
        <v>406.81</v>
      </c>
      <c r="N47" s="1086"/>
    </row>
    <row r="48" spans="1:14" s="1087" customFormat="1" ht="31.5">
      <c r="A48" s="1134">
        <v>23</v>
      </c>
      <c r="B48" s="1155"/>
      <c r="C48" s="1137" t="s">
        <v>1706</v>
      </c>
      <c r="D48" s="1137">
        <v>1</v>
      </c>
      <c r="E48" s="1136" t="s">
        <v>1898</v>
      </c>
      <c r="F48" s="1136" t="s">
        <v>1899</v>
      </c>
      <c r="G48" s="1153"/>
      <c r="H48" s="1137"/>
      <c r="I48" s="1153">
        <f>'ЛСР №2 видеоэкран'!$N$94*1.15/1000</f>
        <v>1090.8</v>
      </c>
      <c r="J48" s="1153">
        <f t="shared" ref="J48" si="27">D48*I48</f>
        <v>1090.8</v>
      </c>
      <c r="K48" s="1293">
        <f>$K$61^(1/4)*$K$62*$K$63^(1/4)</f>
        <v>1.1082000000000001</v>
      </c>
      <c r="L48" s="1153">
        <f t="shared" si="24"/>
        <v>1208.82</v>
      </c>
      <c r="M48" s="1154">
        <f t="shared" si="17"/>
        <v>1450.58</v>
      </c>
      <c r="N48" s="1086" t="s">
        <v>1900</v>
      </c>
    </row>
    <row r="49" spans="1:16" s="1087" customFormat="1" ht="47.25">
      <c r="A49" s="1157">
        <v>24</v>
      </c>
      <c r="B49" s="1158" t="s">
        <v>1732</v>
      </c>
      <c r="C49" s="1159" t="s">
        <v>1733</v>
      </c>
      <c r="D49" s="1159">
        <f>3*60</f>
        <v>180</v>
      </c>
      <c r="E49" s="1160" t="s">
        <v>1726</v>
      </c>
      <c r="F49" s="1161">
        <v>44562</v>
      </c>
      <c r="G49" s="1171"/>
      <c r="H49" s="1159"/>
      <c r="I49" s="1171">
        <f>'УНЦС (справочно)'!$F$16</f>
        <v>433.99</v>
      </c>
      <c r="J49" s="1171">
        <f>D49*I49</f>
        <v>78118.2</v>
      </c>
      <c r="K49" s="1293">
        <f>$K$61*$K$62*$K$63^(1/4)</f>
        <v>1.2219</v>
      </c>
      <c r="L49" s="1176">
        <f>J49*K49</f>
        <v>95452.63</v>
      </c>
      <c r="M49" s="1177">
        <f>L49*1.2</f>
        <v>114543.16</v>
      </c>
      <c r="N49" s="1086" t="s">
        <v>1707</v>
      </c>
    </row>
    <row r="50" spans="1:16">
      <c r="A50" s="1315" t="s">
        <v>139</v>
      </c>
      <c r="B50" s="1315"/>
      <c r="C50" s="1315"/>
      <c r="D50" s="1315"/>
      <c r="E50" s="1315"/>
      <c r="F50" s="1315"/>
      <c r="G50" s="1315"/>
      <c r="H50" s="1315"/>
      <c r="I50" s="1315"/>
      <c r="J50" s="1315"/>
      <c r="K50" s="1315"/>
      <c r="L50" s="1178">
        <f>SUM(L7:L49)</f>
        <v>998198.57</v>
      </c>
      <c r="M50" s="1178">
        <f>SUM(M7:M49)</f>
        <v>1197838.26</v>
      </c>
      <c r="N50" s="1088"/>
      <c r="O50" s="1081" t="s">
        <v>1708</v>
      </c>
      <c r="P50" s="1084">
        <f>НМЦ!E17/1000</f>
        <v>54759.78</v>
      </c>
    </row>
    <row r="51" spans="1:16">
      <c r="A51" s="1089"/>
      <c r="B51" s="1089"/>
      <c r="C51" s="1089"/>
      <c r="D51" s="1089"/>
      <c r="E51" s="1089"/>
      <c r="F51" s="1089"/>
      <c r="G51" s="1089"/>
      <c r="H51" s="1089"/>
      <c r="I51" s="1089"/>
      <c r="J51" s="1089"/>
      <c r="K51" s="1089"/>
      <c r="L51" s="1089"/>
      <c r="M51" s="1089"/>
      <c r="O51" s="1081" t="s">
        <v>1709</v>
      </c>
      <c r="P51" s="1090">
        <f>P50/M50</f>
        <v>4.5699999999999998E-2</v>
      </c>
    </row>
    <row r="52" spans="1:16">
      <c r="A52" s="235"/>
      <c r="B52" s="1091" t="s">
        <v>1711</v>
      </c>
      <c r="C52" s="235"/>
      <c r="D52" s="235"/>
      <c r="E52" s="235"/>
      <c r="F52" s="235"/>
      <c r="G52" s="235"/>
      <c r="H52" s="235"/>
      <c r="I52" s="235"/>
      <c r="J52" s="235"/>
      <c r="K52" s="235"/>
      <c r="L52" s="1092"/>
      <c r="M52" s="1092"/>
      <c r="O52" s="1093"/>
      <c r="P52" s="1094"/>
    </row>
    <row r="53" spans="1:16" ht="15" customHeight="1">
      <c r="A53" s="1312" t="s">
        <v>1712</v>
      </c>
      <c r="B53" s="1312"/>
      <c r="C53" s="1312"/>
      <c r="D53" s="1312"/>
      <c r="E53" s="1312"/>
      <c r="F53" s="1312"/>
      <c r="G53" s="1312"/>
      <c r="H53" s="1312"/>
      <c r="I53" s="1312"/>
      <c r="J53" s="1081">
        <v>2014</v>
      </c>
      <c r="K53" s="1095">
        <v>1.0489999999999999</v>
      </c>
      <c r="L53" s="1092"/>
      <c r="M53" s="1096"/>
    </row>
    <row r="54" spans="1:16">
      <c r="A54" s="1312"/>
      <c r="B54" s="1312"/>
      <c r="C54" s="1312"/>
      <c r="D54" s="1312"/>
      <c r="E54" s="1312"/>
      <c r="F54" s="1312"/>
      <c r="G54" s="1312"/>
      <c r="H54" s="1312"/>
      <c r="I54" s="1312"/>
      <c r="J54" s="1081">
        <v>2015</v>
      </c>
      <c r="K54" s="1095">
        <v>1.143</v>
      </c>
      <c r="L54" s="1092"/>
      <c r="M54" s="1096"/>
    </row>
    <row r="55" spans="1:16" ht="15" customHeight="1">
      <c r="A55" s="1312" t="s">
        <v>1713</v>
      </c>
      <c r="B55" s="1312"/>
      <c r="C55" s="1312"/>
      <c r="D55" s="1312"/>
      <c r="E55" s="1312"/>
      <c r="F55" s="1312"/>
      <c r="G55" s="1312"/>
      <c r="H55" s="1312"/>
      <c r="I55" s="1312"/>
      <c r="J55" s="1081">
        <v>2016</v>
      </c>
      <c r="K55" s="1095">
        <v>1.0629999999999999</v>
      </c>
      <c r="L55" s="1092"/>
      <c r="M55" s="1096"/>
    </row>
    <row r="56" spans="1:16" ht="21" customHeight="1">
      <c r="A56" s="1312" t="s">
        <v>1714</v>
      </c>
      <c r="B56" s="1312"/>
      <c r="C56" s="1312"/>
      <c r="D56" s="1312"/>
      <c r="E56" s="1312"/>
      <c r="F56" s="1312"/>
      <c r="G56" s="1312"/>
      <c r="H56" s="1312"/>
      <c r="I56" s="1312"/>
      <c r="J56" s="1081">
        <v>2017</v>
      </c>
      <c r="K56" s="1095">
        <v>1.0369999999999999</v>
      </c>
      <c r="L56" s="1092"/>
      <c r="M56" s="1096"/>
    </row>
    <row r="57" spans="1:16" ht="36.75" customHeight="1">
      <c r="A57" s="1312" t="s">
        <v>1715</v>
      </c>
      <c r="B57" s="1312"/>
      <c r="C57" s="1312"/>
      <c r="D57" s="1312"/>
      <c r="E57" s="1312"/>
      <c r="F57" s="1312"/>
      <c r="G57" s="1312"/>
      <c r="H57" s="1312"/>
      <c r="I57" s="1312"/>
      <c r="J57" s="1081">
        <v>2018</v>
      </c>
      <c r="K57" s="1095">
        <v>1.0529999999999999</v>
      </c>
      <c r="L57" s="1092"/>
      <c r="M57" s="1096"/>
    </row>
    <row r="58" spans="1:16" ht="15" customHeight="1">
      <c r="A58" s="1312" t="s">
        <v>1710</v>
      </c>
      <c r="B58" s="1312"/>
      <c r="C58" s="1312"/>
      <c r="D58" s="1312"/>
      <c r="E58" s="1312"/>
      <c r="F58" s="1312"/>
      <c r="G58" s="1312"/>
      <c r="H58" s="1312"/>
      <c r="I58" s="1312"/>
      <c r="J58" s="1081">
        <v>2019</v>
      </c>
      <c r="K58" s="722">
        <v>1.0680000000000001</v>
      </c>
      <c r="L58" s="1092"/>
      <c r="M58" s="1096"/>
    </row>
    <row r="59" spans="1:16">
      <c r="A59" s="1312"/>
      <c r="B59" s="1312"/>
      <c r="C59" s="1312"/>
      <c r="D59" s="1312"/>
      <c r="E59" s="1312"/>
      <c r="F59" s="1312"/>
      <c r="G59" s="1312"/>
      <c r="H59" s="1312"/>
      <c r="I59" s="1312"/>
      <c r="J59" s="1081">
        <v>2020</v>
      </c>
      <c r="K59" s="1097">
        <v>1.0620000000000001</v>
      </c>
      <c r="L59" s="1092"/>
      <c r="M59" s="1096"/>
    </row>
    <row r="60" spans="1:16" ht="15" customHeight="1">
      <c r="A60" s="1312" t="s">
        <v>1716</v>
      </c>
      <c r="B60" s="1312"/>
      <c r="C60" s="1312"/>
      <c r="D60" s="1312"/>
      <c r="E60" s="1312"/>
      <c r="F60" s="1312"/>
      <c r="G60" s="1312"/>
      <c r="H60" s="1312"/>
      <c r="I60" s="1312"/>
      <c r="J60" s="1081">
        <v>2021</v>
      </c>
      <c r="K60" s="1097">
        <v>1.0489999999999999</v>
      </c>
      <c r="L60" s="1092"/>
      <c r="M60" s="1096"/>
    </row>
    <row r="61" spans="1:16">
      <c r="A61" s="1312"/>
      <c r="B61" s="1312"/>
      <c r="C61" s="1312"/>
      <c r="D61" s="1312"/>
      <c r="E61" s="1312"/>
      <c r="F61" s="1312"/>
      <c r="G61" s="1312"/>
      <c r="H61" s="1312"/>
      <c r="I61" s="1312"/>
      <c r="J61" s="1081">
        <v>2022</v>
      </c>
      <c r="K61" s="722">
        <v>1.139</v>
      </c>
      <c r="L61" s="1092"/>
      <c r="M61" s="1096"/>
    </row>
    <row r="62" spans="1:16">
      <c r="A62" s="1312"/>
      <c r="B62" s="1312"/>
      <c r="C62" s="1312"/>
      <c r="D62" s="1312"/>
      <c r="E62" s="1312"/>
      <c r="F62" s="1312"/>
      <c r="G62" s="1312"/>
      <c r="H62" s="1312"/>
      <c r="I62" s="1312"/>
      <c r="J62" s="1081">
        <v>2023</v>
      </c>
      <c r="K62" s="722">
        <v>1.0589999999999999</v>
      </c>
      <c r="L62" s="1092"/>
      <c r="M62" s="1096"/>
    </row>
    <row r="63" spans="1:16">
      <c r="A63" s="1312"/>
      <c r="B63" s="1312"/>
      <c r="C63" s="1312"/>
      <c r="D63" s="1312"/>
      <c r="E63" s="1312"/>
      <c r="F63" s="1312"/>
      <c r="G63" s="1312"/>
      <c r="H63" s="1312"/>
      <c r="I63" s="1312"/>
      <c r="J63" s="1081">
        <v>2024</v>
      </c>
      <c r="K63" s="722">
        <v>1.0529999999999999</v>
      </c>
      <c r="L63" s="1092"/>
      <c r="M63" s="1096"/>
    </row>
    <row r="64" spans="1:16">
      <c r="A64" s="1312"/>
      <c r="B64" s="1312"/>
      <c r="C64" s="1312"/>
      <c r="D64" s="1312"/>
      <c r="E64" s="1312"/>
      <c r="F64" s="1312"/>
      <c r="G64" s="1312"/>
      <c r="H64" s="1312"/>
      <c r="I64" s="1312"/>
      <c r="J64" s="1081">
        <v>2025</v>
      </c>
      <c r="K64" s="722">
        <v>1.048</v>
      </c>
      <c r="L64" s="1092"/>
      <c r="M64" s="1096"/>
    </row>
    <row r="72" spans="1:14">
      <c r="B72" s="1098" t="s">
        <v>1019</v>
      </c>
    </row>
    <row r="74" spans="1:14" ht="393.75">
      <c r="A74" s="789">
        <v>1</v>
      </c>
      <c r="B74" s="222" t="s">
        <v>1021</v>
      </c>
      <c r="C74" s="790" t="s">
        <v>888</v>
      </c>
      <c r="D74" s="789">
        <v>1300</v>
      </c>
      <c r="E74" s="790" t="s">
        <v>976</v>
      </c>
      <c r="F74" s="789" t="s">
        <v>977</v>
      </c>
      <c r="G74" s="1099">
        <v>1014449.26</v>
      </c>
      <c r="H74" s="789">
        <v>2122</v>
      </c>
      <c r="I74" s="1099">
        <f t="shared" ref="I74" si="28">G74/H74</f>
        <v>478.06</v>
      </c>
      <c r="J74" s="1099">
        <f t="shared" ref="J74" si="29">D74*I74</f>
        <v>621478</v>
      </c>
      <c r="K74" s="1100">
        <f>$M$55^6*$K$56*$K$57*$K$58*$K$59*$K$60*$M$61^3</f>
        <v>0</v>
      </c>
      <c r="L74" s="1099">
        <f t="shared" ref="L74" si="30">J74*K74</f>
        <v>0</v>
      </c>
      <c r="M74" s="1099">
        <f t="shared" ref="M74" si="31">L74*1.2</f>
        <v>0</v>
      </c>
      <c r="N74" s="1101" t="s">
        <v>1014</v>
      </c>
    </row>
    <row r="75" spans="1:14" ht="47.25">
      <c r="A75" s="1081">
        <v>11</v>
      </c>
      <c r="B75" s="785" t="s">
        <v>993</v>
      </c>
      <c r="C75" s="787" t="s">
        <v>893</v>
      </c>
      <c r="D75" s="787">
        <v>1500</v>
      </c>
      <c r="E75" s="990"/>
      <c r="F75" s="1102"/>
      <c r="G75" s="1103"/>
      <c r="H75" s="1104"/>
      <c r="I75" s="1103"/>
      <c r="J75" s="1103"/>
      <c r="K75" s="1105"/>
      <c r="L75" s="1103"/>
      <c r="M75" s="1103"/>
      <c r="N75" s="1106" t="s">
        <v>1023</v>
      </c>
    </row>
    <row r="76" spans="1:14" ht="47.25">
      <c r="A76" s="1081">
        <v>12</v>
      </c>
      <c r="B76" s="785" t="s">
        <v>994</v>
      </c>
      <c r="C76" s="787" t="s">
        <v>893</v>
      </c>
      <c r="D76" s="787">
        <v>1600</v>
      </c>
      <c r="E76" s="990"/>
      <c r="F76" s="1102"/>
      <c r="G76" s="1103"/>
      <c r="H76" s="1104"/>
      <c r="I76" s="1103"/>
      <c r="J76" s="1103"/>
      <c r="K76" s="1105"/>
      <c r="L76" s="1103"/>
      <c r="M76" s="1103"/>
      <c r="N76" s="1106" t="s">
        <v>1684</v>
      </c>
    </row>
    <row r="77" spans="1:14" ht="126">
      <c r="A77" s="1107">
        <v>3</v>
      </c>
      <c r="B77" s="1108" t="s">
        <v>979</v>
      </c>
      <c r="C77" s="1109" t="s">
        <v>889</v>
      </c>
      <c r="D77" s="1107">
        <f>18+2*2</f>
        <v>22</v>
      </c>
      <c r="E77" s="1109" t="s">
        <v>890</v>
      </c>
      <c r="F77" s="1109" t="s">
        <v>891</v>
      </c>
      <c r="G77" s="1110">
        <f>2291501.243-1923183.722</f>
        <v>368317.52</v>
      </c>
      <c r="H77" s="1111">
        <v>27</v>
      </c>
      <c r="I77" s="1112">
        <f>G77/H77</f>
        <v>13641.39</v>
      </c>
      <c r="J77" s="1112">
        <f t="shared" ref="J77:J81" si="32">D77*I77</f>
        <v>300110.58</v>
      </c>
      <c r="K77" s="1113">
        <f>M55^6*K56*K57*K58*K59*K60*K61</f>
        <v>0</v>
      </c>
      <c r="L77" s="1112">
        <f>J77*K77</f>
        <v>0</v>
      </c>
      <c r="M77" s="1112">
        <f t="shared" ref="M77:M83" si="33">L77*1.2</f>
        <v>0</v>
      </c>
      <c r="N77" s="1114" t="s">
        <v>1018</v>
      </c>
    </row>
    <row r="78" spans="1:14" ht="126">
      <c r="A78" s="1107">
        <v>5</v>
      </c>
      <c r="B78" s="1108" t="s">
        <v>981</v>
      </c>
      <c r="C78" s="1109" t="s">
        <v>893</v>
      </c>
      <c r="D78" s="1107">
        <v>400</v>
      </c>
      <c r="E78" s="1109" t="s">
        <v>894</v>
      </c>
      <c r="F78" s="1109" t="s">
        <v>892</v>
      </c>
      <c r="G78" s="1115">
        <v>46986.78</v>
      </c>
      <c r="H78" s="1107">
        <v>685</v>
      </c>
      <c r="I78" s="1115">
        <f>G78/H78</f>
        <v>68.59</v>
      </c>
      <c r="J78" s="1115">
        <f t="shared" si="32"/>
        <v>27436</v>
      </c>
      <c r="K78" s="1116">
        <f>$K$59*$K$60*$K$61</f>
        <v>1.2689999999999999</v>
      </c>
      <c r="L78" s="1115">
        <f>J78*K78</f>
        <v>34816.28</v>
      </c>
      <c r="M78" s="1115">
        <f t="shared" si="33"/>
        <v>41779.54</v>
      </c>
      <c r="N78" s="1114" t="s">
        <v>1018</v>
      </c>
    </row>
    <row r="79" spans="1:14" ht="111" thickBot="1">
      <c r="A79" s="1107">
        <v>14</v>
      </c>
      <c r="B79" s="1108" t="s">
        <v>982</v>
      </c>
      <c r="C79" s="1109" t="s">
        <v>893</v>
      </c>
      <c r="D79" s="1107">
        <v>50</v>
      </c>
      <c r="E79" s="1109" t="s">
        <v>895</v>
      </c>
      <c r="F79" s="1109" t="s">
        <v>891</v>
      </c>
      <c r="G79" s="1115">
        <v>61074.64</v>
      </c>
      <c r="H79" s="1107">
        <v>315</v>
      </c>
      <c r="I79" s="1115">
        <f>G79/H79</f>
        <v>193.89</v>
      </c>
      <c r="J79" s="1115">
        <f t="shared" si="32"/>
        <v>9694.5</v>
      </c>
      <c r="K79" s="1116">
        <f>M55^6*$K$56*$K$57*$K$58*$K$59*$K$60*$K$61</f>
        <v>0</v>
      </c>
      <c r="L79" s="1115">
        <f>J79*K79</f>
        <v>0</v>
      </c>
      <c r="M79" s="1115">
        <f t="shared" si="33"/>
        <v>0</v>
      </c>
      <c r="N79" s="1114" t="s">
        <v>1018</v>
      </c>
    </row>
    <row r="80" spans="1:14" ht="126.75" thickBot="1">
      <c r="A80" s="1107"/>
      <c r="B80" s="762" t="s">
        <v>985</v>
      </c>
      <c r="C80" s="761" t="s">
        <v>893</v>
      </c>
      <c r="D80" s="761">
        <v>400</v>
      </c>
      <c r="E80" s="1109" t="s">
        <v>894</v>
      </c>
      <c r="F80" s="1109" t="s">
        <v>892</v>
      </c>
      <c r="G80" s="1115">
        <v>46986.78</v>
      </c>
      <c r="H80" s="1107">
        <v>685</v>
      </c>
      <c r="I80" s="1115">
        <f t="shared" ref="I80" si="34">G80/H80</f>
        <v>68.59</v>
      </c>
      <c r="J80" s="1115">
        <f t="shared" si="32"/>
        <v>27436</v>
      </c>
      <c r="K80" s="1116">
        <f>$K$59*$K$60*$K$61</f>
        <v>1.2689999999999999</v>
      </c>
      <c r="L80" s="1115">
        <f t="shared" ref="L80" si="35">J80*K80</f>
        <v>34816.28</v>
      </c>
      <c r="M80" s="1115">
        <f t="shared" si="33"/>
        <v>41779.54</v>
      </c>
      <c r="N80" s="1114" t="s">
        <v>1018</v>
      </c>
    </row>
    <row r="81" spans="1:20" ht="110.25">
      <c r="A81" s="1107"/>
      <c r="B81" s="763" t="s">
        <v>986</v>
      </c>
      <c r="C81" s="1109" t="s">
        <v>893</v>
      </c>
      <c r="D81" s="1107">
        <v>40</v>
      </c>
      <c r="E81" s="1109" t="s">
        <v>895</v>
      </c>
      <c r="F81" s="1109" t="s">
        <v>891</v>
      </c>
      <c r="G81" s="1115">
        <v>61074.64</v>
      </c>
      <c r="H81" s="1107">
        <v>315</v>
      </c>
      <c r="I81" s="1115">
        <f>G81/H81</f>
        <v>193.89</v>
      </c>
      <c r="J81" s="1115">
        <f t="shared" si="32"/>
        <v>7755.6</v>
      </c>
      <c r="K81" s="1116">
        <f>M59^6*$K$56*$K$57*$K$58*$K$59*$K$60*$K$61</f>
        <v>0</v>
      </c>
      <c r="L81" s="1115">
        <f>J81*K81</f>
        <v>0</v>
      </c>
      <c r="M81" s="1115">
        <f t="shared" si="33"/>
        <v>0</v>
      </c>
      <c r="N81" s="1114" t="s">
        <v>1018</v>
      </c>
    </row>
    <row r="82" spans="1:20" ht="110.25">
      <c r="A82" s="789"/>
      <c r="B82" s="788" t="s">
        <v>1004</v>
      </c>
      <c r="C82" s="789" t="s">
        <v>1005</v>
      </c>
      <c r="D82" s="789">
        <v>6</v>
      </c>
      <c r="E82" s="1117" t="s">
        <v>1034</v>
      </c>
      <c r="F82" s="789" t="s">
        <v>977</v>
      </c>
      <c r="G82" s="1099">
        <v>5828.57</v>
      </c>
      <c r="H82" s="789">
        <v>15</v>
      </c>
      <c r="I82" s="1099">
        <f>G82/H82</f>
        <v>388.57</v>
      </c>
      <c r="J82" s="1099">
        <f>D82*I82</f>
        <v>2331.42</v>
      </c>
      <c r="K82" s="1100">
        <f>$M$55^6*$K$56*$K$57*$K$58*$K$59*$K$60*$M$61^3</f>
        <v>0</v>
      </c>
      <c r="L82" s="1099">
        <f t="shared" ref="L82:L83" si="36">J82*K82</f>
        <v>0</v>
      </c>
      <c r="M82" s="1118">
        <f t="shared" si="33"/>
        <v>0</v>
      </c>
      <c r="N82" s="784" t="s">
        <v>1009</v>
      </c>
    </row>
    <row r="83" spans="1:20" ht="110.25">
      <c r="A83" s="789"/>
      <c r="B83" s="788" t="s">
        <v>1004</v>
      </c>
      <c r="C83" s="790" t="s">
        <v>1006</v>
      </c>
      <c r="D83" s="789">
        <v>2</v>
      </c>
      <c r="E83" s="1117" t="s">
        <v>1034</v>
      </c>
      <c r="F83" s="789" t="s">
        <v>977</v>
      </c>
      <c r="G83" s="1099">
        <v>382.85</v>
      </c>
      <c r="H83" s="789">
        <v>1</v>
      </c>
      <c r="I83" s="1099">
        <f>G83/H83</f>
        <v>382.85</v>
      </c>
      <c r="J83" s="1099">
        <f>D83*I83</f>
        <v>765.7</v>
      </c>
      <c r="K83" s="1100">
        <f>$M$55^6*$K$56*$K$57*$K$58*$K$59*$K$60*$M$61^3</f>
        <v>0</v>
      </c>
      <c r="L83" s="1099">
        <f t="shared" si="36"/>
        <v>0</v>
      </c>
      <c r="M83" s="1118">
        <f t="shared" si="33"/>
        <v>0</v>
      </c>
      <c r="N83" s="784" t="s">
        <v>1009</v>
      </c>
    </row>
    <row r="84" spans="1:20" s="1087" customFormat="1" ht="220.5">
      <c r="A84" s="789">
        <v>4</v>
      </c>
      <c r="B84" s="1051" t="s">
        <v>978</v>
      </c>
      <c r="C84" s="790" t="s">
        <v>917</v>
      </c>
      <c r="D84" s="789">
        <v>240</v>
      </c>
      <c r="E84" s="790" t="s">
        <v>1012</v>
      </c>
      <c r="F84" s="790" t="s">
        <v>1013</v>
      </c>
      <c r="G84" s="1099">
        <f>(17.099*7.31+1349.848*3.67)*1.15</f>
        <v>5840.78</v>
      </c>
      <c r="H84" s="789">
        <v>71</v>
      </c>
      <c r="I84" s="1099">
        <f>G84/H84</f>
        <v>82.26</v>
      </c>
      <c r="J84" s="1099">
        <f>D84*I84</f>
        <v>19742.400000000001</v>
      </c>
      <c r="K84" s="1100">
        <f>$M$56^9*$K$57*$K$58*$K$59*$K$60*$M$61^3</f>
        <v>0</v>
      </c>
      <c r="L84" s="1099">
        <f t="shared" ref="L84" si="37">J84*K84</f>
        <v>0</v>
      </c>
      <c r="M84" s="1118">
        <f t="shared" ref="M84" si="38">L84*1.2</f>
        <v>0</v>
      </c>
      <c r="N84" s="1119" t="s">
        <v>1011</v>
      </c>
      <c r="T84" s="1120">
        <f>(1349.848*3.67)/H84*D84*K84*1.2</f>
        <v>0</v>
      </c>
    </row>
    <row r="85" spans="1:20" ht="31.5">
      <c r="A85" s="787">
        <v>6</v>
      </c>
      <c r="B85" s="784" t="s">
        <v>987</v>
      </c>
      <c r="C85" s="1117" t="s">
        <v>893</v>
      </c>
      <c r="D85" s="789">
        <f>5*250</f>
        <v>1250</v>
      </c>
      <c r="E85" s="790" t="s">
        <v>1017</v>
      </c>
      <c r="F85" s="1121">
        <v>44197</v>
      </c>
      <c r="G85" s="1099"/>
      <c r="H85" s="789"/>
      <c r="I85" s="1099"/>
      <c r="J85" s="1099" t="e">
        <f>'УНЦС (справочно)'!#REF!</f>
        <v>#REF!</v>
      </c>
      <c r="K85" s="1100">
        <f>$K$60*$M$61^3</f>
        <v>0</v>
      </c>
      <c r="L85" s="1099" t="e">
        <f>J85*K85</f>
        <v>#REF!</v>
      </c>
      <c r="M85" s="1118" t="e">
        <f>L85*1.2</f>
        <v>#REF!</v>
      </c>
      <c r="N85" s="1084" t="s">
        <v>988</v>
      </c>
    </row>
    <row r="86" spans="1:20" ht="63">
      <c r="A86" s="1081">
        <v>8</v>
      </c>
      <c r="B86" s="155" t="s">
        <v>896</v>
      </c>
      <c r="C86" s="992" t="s">
        <v>897</v>
      </c>
      <c r="D86" s="1081">
        <v>2000</v>
      </c>
      <c r="E86" s="992" t="s">
        <v>898</v>
      </c>
      <c r="F86" s="992" t="s">
        <v>899</v>
      </c>
      <c r="G86" s="176">
        <v>482652.09</v>
      </c>
      <c r="H86" s="1081">
        <v>4112</v>
      </c>
      <c r="I86" s="176">
        <f>G86/H86</f>
        <v>117.38</v>
      </c>
      <c r="J86" s="176">
        <f>I86*D86</f>
        <v>234760</v>
      </c>
      <c r="K86" s="1082">
        <f>K60*$M$61^3</f>
        <v>0</v>
      </c>
      <c r="L86" s="176">
        <f>J86*K86</f>
        <v>0</v>
      </c>
      <c r="M86" s="1083">
        <f>L86*1.2</f>
        <v>0</v>
      </c>
      <c r="N86" s="1084"/>
    </row>
    <row r="87" spans="1:20" ht="141.75">
      <c r="A87" s="789">
        <v>14</v>
      </c>
      <c r="B87" s="785" t="s">
        <v>996</v>
      </c>
      <c r="C87" s="786" t="s">
        <v>897</v>
      </c>
      <c r="D87" s="786">
        <v>50</v>
      </c>
      <c r="E87" s="1117" t="s">
        <v>900</v>
      </c>
      <c r="F87" s="790" t="s">
        <v>892</v>
      </c>
      <c r="G87" s="1099">
        <v>26446.11</v>
      </c>
      <c r="H87" s="789">
        <v>3208</v>
      </c>
      <c r="I87" s="1099">
        <f>G87/H87</f>
        <v>8.24</v>
      </c>
      <c r="J87" s="1099">
        <f>D87*I87</f>
        <v>412</v>
      </c>
      <c r="K87" s="1082">
        <f>$K$59*$K$60*$M$61^3</f>
        <v>0</v>
      </c>
      <c r="L87" s="1099">
        <f>J87*K87</f>
        <v>0</v>
      </c>
      <c r="M87" s="1118">
        <f>L87*1.2</f>
        <v>0</v>
      </c>
      <c r="N87" s="1122" t="s">
        <v>998</v>
      </c>
    </row>
  </sheetData>
  <autoFilter ref="E5:I50"/>
  <mergeCells count="19">
    <mergeCell ref="N4:N5"/>
    <mergeCell ref="A50:K50"/>
    <mergeCell ref="K4:K5"/>
    <mergeCell ref="L4:L5"/>
    <mergeCell ref="M4:M5"/>
    <mergeCell ref="A4:A5"/>
    <mergeCell ref="B4:B5"/>
    <mergeCell ref="C4:C5"/>
    <mergeCell ref="D4:D5"/>
    <mergeCell ref="E4:I4"/>
    <mergeCell ref="J4:J5"/>
    <mergeCell ref="A56:I56"/>
    <mergeCell ref="A57:I57"/>
    <mergeCell ref="A58:I59"/>
    <mergeCell ref="A60:I64"/>
    <mergeCell ref="A1:M1"/>
    <mergeCell ref="A2:M2"/>
    <mergeCell ref="A53:I54"/>
    <mergeCell ref="A55:I55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headerFooter>
    <oddFooter>Страница  &amp;P из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7" sqref="C7"/>
    </sheetView>
  </sheetViews>
  <sheetFormatPr defaultRowHeight="15"/>
  <cols>
    <col min="2" max="2" width="65.42578125" customWidth="1"/>
    <col min="3" max="3" width="30.5703125" customWidth="1"/>
    <col min="4" max="4" width="34.7109375" customWidth="1"/>
  </cols>
  <sheetData>
    <row r="1" spans="1:4">
      <c r="A1" s="1640" t="s">
        <v>813</v>
      </c>
      <c r="B1" s="1640"/>
      <c r="C1" s="1640"/>
    </row>
    <row r="2" spans="1:4">
      <c r="A2" s="1806" t="s">
        <v>814</v>
      </c>
      <c r="B2" s="1806"/>
      <c r="C2" s="1806"/>
    </row>
    <row r="3" spans="1:4" ht="54.75" customHeight="1">
      <c r="A3" s="1807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807"/>
      <c r="C3" s="1807"/>
    </row>
    <row r="4" spans="1:4" ht="30">
      <c r="A4" s="124"/>
      <c r="B4" s="691" t="s">
        <v>607</v>
      </c>
      <c r="C4" s="691" t="s">
        <v>815</v>
      </c>
      <c r="D4" s="709" t="s">
        <v>860</v>
      </c>
    </row>
    <row r="5" spans="1:4">
      <c r="A5" s="710">
        <v>1</v>
      </c>
      <c r="B5" s="693" t="s">
        <v>128</v>
      </c>
      <c r="C5" s="711">
        <f>Геодезия!N89</f>
        <v>550472</v>
      </c>
      <c r="D5" s="718">
        <f>Геодезия!N87*Геодезия!D89</f>
        <v>50042.879999999997</v>
      </c>
    </row>
    <row r="6" spans="1:4" s="89" customFormat="1">
      <c r="A6" s="710">
        <v>2</v>
      </c>
      <c r="B6" s="693" t="s">
        <v>129</v>
      </c>
      <c r="C6" s="711">
        <f>Геология!L67*1.1</f>
        <v>23237325.329999998</v>
      </c>
      <c r="D6" s="719">
        <f>Геология!L67*10%</f>
        <v>2112484.12</v>
      </c>
    </row>
    <row r="7" spans="1:4" s="89" customFormat="1">
      <c r="A7" s="710">
        <v>3</v>
      </c>
      <c r="B7" s="693" t="s">
        <v>182</v>
      </c>
      <c r="C7" s="711">
        <f>'Геофизика '!L36</f>
        <v>4826768.91</v>
      </c>
      <c r="D7" s="693"/>
    </row>
    <row r="8" spans="1:4">
      <c r="A8" s="710">
        <v>4</v>
      </c>
      <c r="B8" s="693" t="s">
        <v>130</v>
      </c>
      <c r="C8" s="711">
        <f>Гидромет!J50</f>
        <v>497570.11</v>
      </c>
      <c r="D8" s="718">
        <f>Гидромет!J49*Гидромет!I50</f>
        <v>45233.65</v>
      </c>
    </row>
    <row r="9" spans="1:4">
      <c r="A9" s="710">
        <v>5</v>
      </c>
      <c r="B9" s="693" t="s">
        <v>550</v>
      </c>
      <c r="C9" s="711">
        <f>'Сели Лавины'!J45</f>
        <v>941831.16</v>
      </c>
      <c r="D9" s="718">
        <f>'Сели Лавины'!J44*'Сели Лавины'!G45</f>
        <v>85642.2</v>
      </c>
    </row>
    <row r="10" spans="1:4">
      <c r="A10" s="710">
        <v>6</v>
      </c>
      <c r="B10" s="693" t="s">
        <v>131</v>
      </c>
      <c r="C10" s="711">
        <f>Экология!G73</f>
        <v>644010.12</v>
      </c>
      <c r="D10" s="124"/>
    </row>
    <row r="11" spans="1:4">
      <c r="A11" s="710">
        <v>7</v>
      </c>
      <c r="B11" s="693" t="s">
        <v>744</v>
      </c>
      <c r="C11" s="711">
        <f>Археология!G28</f>
        <v>370267.36</v>
      </c>
      <c r="D11" s="124"/>
    </row>
    <row r="12" spans="1:4">
      <c r="A12" s="710">
        <v>8</v>
      </c>
      <c r="B12" s="693" t="s">
        <v>811</v>
      </c>
      <c r="C12" s="711">
        <f>'ВОП (по форме 3п)'!G25</f>
        <v>378763.83</v>
      </c>
      <c r="D12" s="124"/>
    </row>
    <row r="13" spans="1:4">
      <c r="A13" s="124"/>
      <c r="B13" s="692" t="s">
        <v>629</v>
      </c>
      <c r="C13" s="712">
        <f>SUM(C5:C12)</f>
        <v>31447008.82</v>
      </c>
      <c r="D13" s="720">
        <f>SUM(D5:D12)</f>
        <v>2293402.85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20" zoomScaleNormal="120" workbookViewId="0">
      <selection activeCell="A2" sqref="A2:G2"/>
    </sheetView>
  </sheetViews>
  <sheetFormatPr defaultColWidth="8.7109375" defaultRowHeight="12.75"/>
  <cols>
    <col min="1" max="1" width="4.7109375" style="615" customWidth="1"/>
    <col min="2" max="2" width="24.7109375" style="615" customWidth="1"/>
    <col min="3" max="3" width="32.7109375" style="615" customWidth="1"/>
    <col min="4" max="4" width="14.28515625" style="615" customWidth="1"/>
    <col min="5" max="5" width="10.28515625" style="615" customWidth="1"/>
    <col min="6" max="6" width="20.85546875" style="615" customWidth="1"/>
    <col min="7" max="7" width="16.5703125" style="690" customWidth="1"/>
    <col min="8" max="8" width="28.5703125" style="615" hidden="1" customWidth="1"/>
    <col min="9" max="16384" width="8.7109375" style="615"/>
  </cols>
  <sheetData>
    <row r="1" spans="1:11">
      <c r="A1" s="1762" t="s">
        <v>771</v>
      </c>
      <c r="B1" s="1762"/>
      <c r="C1" s="1762"/>
      <c r="D1" s="1762"/>
      <c r="E1" s="1762"/>
      <c r="F1" s="1762"/>
      <c r="G1" s="1762"/>
      <c r="H1" s="614"/>
      <c r="I1" s="614"/>
    </row>
    <row r="2" spans="1:11" ht="28.9" customHeight="1">
      <c r="A2" s="1763" t="s">
        <v>745</v>
      </c>
      <c r="B2" s="1763"/>
      <c r="C2" s="1763"/>
      <c r="D2" s="1763"/>
      <c r="E2" s="1763"/>
      <c r="F2" s="1763"/>
      <c r="G2" s="1763"/>
      <c r="H2" s="614"/>
      <c r="I2" s="614"/>
    </row>
    <row r="3" spans="1:11" ht="61.5" customHeight="1">
      <c r="A3" s="616"/>
      <c r="B3" s="617" t="s">
        <v>700</v>
      </c>
      <c r="C3" s="1764" t="s">
        <v>701</v>
      </c>
      <c r="D3" s="1764"/>
      <c r="E3" s="1764"/>
      <c r="F3" s="1764"/>
      <c r="G3" s="618"/>
      <c r="H3" s="614"/>
      <c r="I3" s="614"/>
    </row>
    <row r="4" spans="1:11" s="622" customFormat="1" ht="22.9" customHeight="1">
      <c r="A4" s="619" t="s">
        <v>702</v>
      </c>
      <c r="B4" s="619"/>
      <c r="C4" s="619"/>
      <c r="D4" s="619"/>
      <c r="E4" s="619"/>
      <c r="F4" s="619"/>
      <c r="G4" s="620"/>
      <c r="H4" s="619"/>
      <c r="I4" s="619"/>
      <c r="J4" s="621"/>
    </row>
    <row r="5" spans="1:11" s="622" customFormat="1" ht="18" customHeight="1">
      <c r="A5" s="623" t="s">
        <v>703</v>
      </c>
      <c r="B5" s="623"/>
      <c r="C5" s="623"/>
      <c r="D5" s="623"/>
      <c r="E5" s="623"/>
      <c r="F5" s="623"/>
      <c r="G5" s="624"/>
      <c r="H5" s="623"/>
      <c r="I5" s="623"/>
      <c r="J5" s="625"/>
      <c r="K5" s="626"/>
    </row>
    <row r="6" spans="1:11">
      <c r="A6" s="1811" t="s">
        <v>746</v>
      </c>
      <c r="B6" s="1765"/>
      <c r="C6" s="1765"/>
      <c r="D6" s="1765"/>
      <c r="E6" s="1765"/>
      <c r="F6" s="1765"/>
      <c r="G6" s="1765"/>
      <c r="H6" s="614"/>
      <c r="I6" s="614"/>
    </row>
    <row r="7" spans="1:11" ht="25.5">
      <c r="A7" s="627" t="s">
        <v>100</v>
      </c>
      <c r="B7" s="627" t="s">
        <v>704</v>
      </c>
      <c r="C7" s="627" t="s">
        <v>198</v>
      </c>
      <c r="D7" s="627" t="s">
        <v>553</v>
      </c>
      <c r="E7" s="627" t="s">
        <v>20</v>
      </c>
      <c r="F7" s="627" t="s">
        <v>705</v>
      </c>
      <c r="G7" s="628" t="s">
        <v>706</v>
      </c>
      <c r="H7" s="614"/>
      <c r="I7" s="614"/>
    </row>
    <row r="8" spans="1:11">
      <c r="A8" s="629">
        <v>1</v>
      </c>
      <c r="B8" s="629">
        <v>2</v>
      </c>
      <c r="C8" s="629">
        <v>3</v>
      </c>
      <c r="D8" s="629">
        <v>4</v>
      </c>
      <c r="E8" s="629">
        <v>5</v>
      </c>
      <c r="F8" s="629">
        <v>6</v>
      </c>
      <c r="G8" s="630">
        <v>7</v>
      </c>
      <c r="H8" s="614"/>
      <c r="I8" s="614"/>
    </row>
    <row r="9" spans="1:11">
      <c r="A9" s="1766" t="s">
        <v>747</v>
      </c>
      <c r="B9" s="1767"/>
      <c r="C9" s="1767"/>
      <c r="D9" s="1767"/>
      <c r="E9" s="1767"/>
      <c r="F9" s="1767"/>
      <c r="G9" s="1768"/>
      <c r="H9" s="614"/>
      <c r="I9" s="614"/>
    </row>
    <row r="10" spans="1:11" ht="23.25" customHeight="1">
      <c r="A10" s="631">
        <v>1</v>
      </c>
      <c r="B10" s="644" t="s">
        <v>748</v>
      </c>
      <c r="C10" s="694" t="s">
        <v>749</v>
      </c>
      <c r="D10" s="631" t="s">
        <v>750</v>
      </c>
      <c r="E10" s="631">
        <v>1</v>
      </c>
      <c r="F10" s="634">
        <v>1706</v>
      </c>
      <c r="G10" s="695">
        <f>E10*F10</f>
        <v>1706</v>
      </c>
      <c r="H10" s="614"/>
      <c r="I10" s="614"/>
    </row>
    <row r="11" spans="1:11" ht="26.25" thickBot="1">
      <c r="A11" s="635">
        <v>2</v>
      </c>
      <c r="B11" s="636" t="s">
        <v>751</v>
      </c>
      <c r="C11" s="696" t="s">
        <v>313</v>
      </c>
      <c r="D11" s="638" t="s">
        <v>752</v>
      </c>
      <c r="E11" s="638">
        <v>25</v>
      </c>
      <c r="F11" s="668">
        <v>3270</v>
      </c>
      <c r="G11" s="634">
        <f>F11*25</f>
        <v>81750</v>
      </c>
      <c r="H11" s="639"/>
    </row>
    <row r="12" spans="1:11" ht="13.9" hidden="1" customHeight="1">
      <c r="A12" s="640">
        <v>4</v>
      </c>
      <c r="B12" s="641" t="s">
        <v>714</v>
      </c>
      <c r="C12" s="641" t="s">
        <v>715</v>
      </c>
      <c r="D12" s="641" t="s">
        <v>716</v>
      </c>
      <c r="E12" s="642">
        <v>0</v>
      </c>
      <c r="F12" s="642">
        <v>680</v>
      </c>
      <c r="G12" s="643">
        <f>E12*F12</f>
        <v>0</v>
      </c>
    </row>
    <row r="13" spans="1:11" ht="20.25" customHeight="1">
      <c r="A13" s="1769" t="s">
        <v>726</v>
      </c>
      <c r="B13" s="1770"/>
      <c r="C13" s="1770"/>
      <c r="D13" s="1770"/>
      <c r="E13" s="1770"/>
      <c r="F13" s="1771"/>
      <c r="G13" s="661">
        <f>SUM(G10:G12)</f>
        <v>83456</v>
      </c>
      <c r="H13" s="614"/>
      <c r="I13" s="614"/>
    </row>
    <row r="14" spans="1:11" ht="17.25" customHeight="1">
      <c r="A14" s="655">
        <v>3</v>
      </c>
      <c r="B14" s="636" t="s">
        <v>753</v>
      </c>
      <c r="C14" s="662" t="s">
        <v>566</v>
      </c>
      <c r="D14" s="663" t="s">
        <v>632</v>
      </c>
      <c r="E14" s="668">
        <f>G11</f>
        <v>81750</v>
      </c>
      <c r="F14" s="697">
        <v>7.4999999999999997E-2</v>
      </c>
      <c r="G14" s="698">
        <f>E14*7.5%</f>
        <v>6131.25</v>
      </c>
      <c r="H14" s="665"/>
      <c r="I14" s="614"/>
    </row>
    <row r="15" spans="1:11" ht="15" customHeight="1">
      <c r="A15" s="666">
        <v>4</v>
      </c>
      <c r="B15" s="644" t="s">
        <v>754</v>
      </c>
      <c r="C15" s="699" t="s">
        <v>542</v>
      </c>
      <c r="D15" s="667" t="s">
        <v>632</v>
      </c>
      <c r="E15" s="668">
        <f>G11</f>
        <v>81750</v>
      </c>
      <c r="F15" s="700">
        <v>0.19600000000000001</v>
      </c>
      <c r="G15" s="634">
        <f>E15*19.6%</f>
        <v>16023</v>
      </c>
      <c r="H15" s="669"/>
      <c r="I15" s="614"/>
    </row>
    <row r="16" spans="1:11">
      <c r="A16" s="655">
        <v>5</v>
      </c>
      <c r="B16" s="644" t="s">
        <v>755</v>
      </c>
      <c r="C16" s="662" t="s">
        <v>756</v>
      </c>
      <c r="D16" s="663" t="s">
        <v>757</v>
      </c>
      <c r="E16" s="670">
        <v>1</v>
      </c>
      <c r="F16" s="670"/>
      <c r="G16" s="698">
        <v>1800</v>
      </c>
      <c r="H16" s="671"/>
      <c r="I16" s="614"/>
    </row>
    <row r="17" spans="1:9" ht="29.25" customHeight="1">
      <c r="A17" s="655">
        <v>6</v>
      </c>
      <c r="B17" s="632" t="s">
        <v>758</v>
      </c>
      <c r="C17" s="662" t="s">
        <v>759</v>
      </c>
      <c r="D17" s="701" t="s">
        <v>632</v>
      </c>
      <c r="E17" s="668">
        <f>G11+G14+G16</f>
        <v>89681.25</v>
      </c>
      <c r="F17" s="702">
        <v>0.06</v>
      </c>
      <c r="G17" s="698">
        <f>E17*6%</f>
        <v>5380.88</v>
      </c>
      <c r="H17" s="671"/>
      <c r="I17" s="614"/>
    </row>
    <row r="18" spans="1:9">
      <c r="A18" s="655">
        <v>7</v>
      </c>
      <c r="B18" s="662"/>
      <c r="C18" s="673" t="s">
        <v>726</v>
      </c>
      <c r="D18" s="662"/>
      <c r="E18" s="674"/>
      <c r="F18" s="659"/>
      <c r="G18" s="660">
        <f>SUM(G14:G17)</f>
        <v>29335.13</v>
      </c>
      <c r="H18" s="671"/>
      <c r="I18" s="614"/>
    </row>
    <row r="19" spans="1:9">
      <c r="A19" s="631">
        <v>8</v>
      </c>
      <c r="B19" s="662"/>
      <c r="C19" s="673" t="s">
        <v>760</v>
      </c>
      <c r="D19" s="675"/>
      <c r="E19" s="675"/>
      <c r="F19" s="673"/>
      <c r="G19" s="676">
        <f>G13+G18</f>
        <v>112791.13</v>
      </c>
      <c r="H19" s="614"/>
      <c r="I19" s="614"/>
    </row>
    <row r="20" spans="1:9" s="679" customFormat="1" ht="15" customHeight="1">
      <c r="A20" s="1759" t="s">
        <v>761</v>
      </c>
      <c r="B20" s="1760"/>
      <c r="C20" s="1760"/>
      <c r="D20" s="1760"/>
      <c r="E20" s="1760"/>
      <c r="F20" s="1760"/>
      <c r="G20" s="1761"/>
      <c r="H20" s="678"/>
      <c r="I20" s="678"/>
    </row>
    <row r="21" spans="1:9" ht="31.5" customHeight="1">
      <c r="A21" s="631">
        <v>11</v>
      </c>
      <c r="B21" s="632" t="s">
        <v>762</v>
      </c>
      <c r="C21" s="677" t="s">
        <v>151</v>
      </c>
      <c r="D21" s="663" t="s">
        <v>632</v>
      </c>
      <c r="E21" s="703">
        <f>G13</f>
        <v>83456</v>
      </c>
      <c r="F21" s="701">
        <v>0.1</v>
      </c>
      <c r="G21" s="676">
        <f>E21*10%</f>
        <v>8345.6</v>
      </c>
      <c r="H21" s="614"/>
      <c r="I21" s="614"/>
    </row>
    <row r="22" spans="1:9" ht="13.5" customHeight="1">
      <c r="A22" s="631"/>
      <c r="B22" s="632"/>
      <c r="C22" s="1808" t="s">
        <v>763</v>
      </c>
      <c r="D22" s="1809"/>
      <c r="E22" s="1809"/>
      <c r="F22" s="1810"/>
      <c r="G22" s="676">
        <f>G21+G19+G13</f>
        <v>204592.73</v>
      </c>
      <c r="H22" s="614"/>
      <c r="I22" s="614"/>
    </row>
    <row r="23" spans="1:9" ht="29.25" customHeight="1">
      <c r="A23" s="631"/>
      <c r="B23" s="632" t="s">
        <v>764</v>
      </c>
      <c r="C23" s="677" t="s">
        <v>765</v>
      </c>
      <c r="D23" s="663" t="s">
        <v>766</v>
      </c>
      <c r="E23" s="663">
        <v>4.66</v>
      </c>
      <c r="F23" s="704"/>
      <c r="G23" s="676">
        <f>G22*E23</f>
        <v>953402.12</v>
      </c>
      <c r="H23" s="614"/>
      <c r="I23" s="614"/>
    </row>
    <row r="24" spans="1:9" ht="19.5" customHeight="1">
      <c r="A24" s="631"/>
      <c r="B24" s="632"/>
      <c r="C24" s="677" t="s">
        <v>365</v>
      </c>
      <c r="D24" s="663" t="s">
        <v>632</v>
      </c>
      <c r="E24" s="663"/>
      <c r="F24" s="701">
        <v>0.2</v>
      </c>
      <c r="G24" s="676">
        <f>G23*F24</f>
        <v>190680.42</v>
      </c>
      <c r="H24" s="614"/>
      <c r="I24" s="614"/>
    </row>
    <row r="25" spans="1:9">
      <c r="A25" s="681"/>
      <c r="B25" s="682"/>
      <c r="C25" s="683" t="s">
        <v>12</v>
      </c>
      <c r="D25" s="682"/>
      <c r="E25" s="682"/>
      <c r="F25" s="682"/>
      <c r="G25" s="676">
        <f>G23+G24</f>
        <v>1144082.54</v>
      </c>
      <c r="H25" s="614"/>
      <c r="I25" s="614"/>
    </row>
    <row r="26" spans="1:9" ht="15" customHeight="1">
      <c r="A26" s="684"/>
      <c r="B26" s="684"/>
      <c r="C26" s="87"/>
      <c r="D26" s="685"/>
      <c r="E26" s="685"/>
      <c r="F26" s="685"/>
      <c r="G26" s="687"/>
      <c r="H26" s="614"/>
      <c r="I26" s="614"/>
    </row>
    <row r="27" spans="1:9">
      <c r="A27" s="686"/>
      <c r="B27" s="87"/>
      <c r="C27" s="87"/>
      <c r="D27" s="685"/>
      <c r="E27" s="685"/>
      <c r="F27" s="685"/>
      <c r="G27" s="687"/>
    </row>
    <row r="28" spans="1:9">
      <c r="A28" s="685"/>
      <c r="B28" s="688"/>
      <c r="C28" s="689"/>
      <c r="D28" s="685"/>
      <c r="E28" s="685"/>
      <c r="F28" s="685"/>
      <c r="G28" s="687"/>
    </row>
    <row r="29" spans="1:9">
      <c r="A29" s="685"/>
      <c r="B29" s="688"/>
      <c r="C29" s="688"/>
      <c r="D29" s="685"/>
      <c r="E29" s="685"/>
      <c r="F29" s="685"/>
      <c r="G29" s="687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9" workbookViewId="0">
      <selection activeCell="A22" sqref="A22:XFD28"/>
    </sheetView>
  </sheetViews>
  <sheetFormatPr defaultRowHeight="1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</cols>
  <sheetData>
    <row r="1" spans="1:7" ht="51">
      <c r="A1" s="725" t="s">
        <v>2</v>
      </c>
      <c r="B1" s="726" t="s">
        <v>918</v>
      </c>
      <c r="C1" s="726" t="s">
        <v>919</v>
      </c>
      <c r="D1" s="726" t="s">
        <v>36</v>
      </c>
      <c r="E1" s="726" t="s">
        <v>920</v>
      </c>
      <c r="F1" s="727" t="s">
        <v>1723</v>
      </c>
      <c r="G1" s="727" t="s">
        <v>921</v>
      </c>
    </row>
    <row r="2" spans="1:7">
      <c r="A2" s="728">
        <v>1</v>
      </c>
      <c r="B2" s="728" t="s">
        <v>916</v>
      </c>
      <c r="C2" s="729" t="s">
        <v>1720</v>
      </c>
      <c r="D2" s="730"/>
      <c r="E2" s="730"/>
      <c r="F2" s="730"/>
      <c r="G2" s="730"/>
    </row>
    <row r="3" spans="1:7" ht="114.75">
      <c r="A3" s="731"/>
      <c r="B3" s="732" t="s">
        <v>931</v>
      </c>
      <c r="C3" s="730" t="s">
        <v>932</v>
      </c>
      <c r="D3" s="733" t="s">
        <v>930</v>
      </c>
      <c r="E3" s="733">
        <v>2</v>
      </c>
      <c r="F3" s="733">
        <v>552.26</v>
      </c>
      <c r="G3" s="734">
        <f>E3*F3</f>
        <v>1104.52</v>
      </c>
    </row>
    <row r="4" spans="1:7" ht="25.5">
      <c r="A4" s="739"/>
      <c r="B4" s="740" t="s">
        <v>923</v>
      </c>
      <c r="C4" s="730"/>
      <c r="D4" s="730"/>
      <c r="E4" s="730"/>
      <c r="F4" s="730"/>
      <c r="G4" s="730"/>
    </row>
    <row r="5" spans="1:7" ht="63">
      <c r="A5" s="735"/>
      <c r="B5" s="736" t="s">
        <v>924</v>
      </c>
      <c r="C5" s="737" t="s">
        <v>925</v>
      </c>
      <c r="D5" s="738"/>
      <c r="E5" s="738">
        <v>0.87</v>
      </c>
      <c r="F5" s="738"/>
      <c r="G5" s="738"/>
    </row>
    <row r="6" spans="1:7" ht="47.25">
      <c r="A6" s="741"/>
      <c r="B6" s="742" t="s">
        <v>926</v>
      </c>
      <c r="C6" s="737" t="s">
        <v>1722</v>
      </c>
      <c r="D6" s="738"/>
      <c r="E6" s="738">
        <v>0.99</v>
      </c>
      <c r="F6" s="743"/>
      <c r="G6" s="738"/>
    </row>
    <row r="7" spans="1:7" ht="31.5">
      <c r="A7" s="744"/>
      <c r="B7" s="742" t="s">
        <v>927</v>
      </c>
      <c r="C7" s="737" t="s">
        <v>928</v>
      </c>
      <c r="D7" s="745"/>
      <c r="E7" s="745">
        <v>1</v>
      </c>
      <c r="F7" s="743"/>
      <c r="G7" s="738"/>
    </row>
    <row r="8" spans="1:7" ht="15.75">
      <c r="A8" s="746"/>
      <c r="B8" s="747" t="s">
        <v>929</v>
      </c>
      <c r="C8" s="748"/>
      <c r="D8" s="749"/>
      <c r="E8" s="749"/>
      <c r="F8" s="750"/>
      <c r="G8" s="751"/>
    </row>
    <row r="9" spans="1:7" ht="15.75">
      <c r="A9" s="731"/>
      <c r="B9" s="752" t="s">
        <v>16</v>
      </c>
      <c r="C9" s="753"/>
      <c r="D9" s="753"/>
      <c r="E9" s="753"/>
      <c r="F9" s="1029">
        <f>F3*E5*E6*E7</f>
        <v>475.66</v>
      </c>
      <c r="G9" s="754">
        <f>G3*E5*E6*E7</f>
        <v>951.32</v>
      </c>
    </row>
    <row r="11" spans="1:7" s="756" customFormat="1" ht="45">
      <c r="A11" s="757">
        <v>3</v>
      </c>
      <c r="B11" s="755" t="s">
        <v>1027</v>
      </c>
      <c r="C11" s="758" t="s">
        <v>1718</v>
      </c>
      <c r="D11" s="755" t="s">
        <v>1030</v>
      </c>
      <c r="E11" s="758">
        <v>1</v>
      </c>
      <c r="F11" s="760">
        <f>F12*E13*E14</f>
        <v>549.61</v>
      </c>
      <c r="G11" s="760">
        <f>E11*F11</f>
        <v>549.61</v>
      </c>
    </row>
    <row r="12" spans="1:7" ht="60">
      <c r="A12" s="124"/>
      <c r="B12" s="709" t="s">
        <v>1028</v>
      </c>
      <c r="C12" s="748" t="s">
        <v>1029</v>
      </c>
      <c r="D12" s="709" t="s">
        <v>1030</v>
      </c>
      <c r="E12" s="124"/>
      <c r="F12" s="759">
        <v>639.08000000000004</v>
      </c>
      <c r="G12" s="124"/>
    </row>
    <row r="13" spans="1:7" ht="63">
      <c r="A13" s="124"/>
      <c r="B13" s="749" t="s">
        <v>924</v>
      </c>
      <c r="C13" s="748" t="s">
        <v>1031</v>
      </c>
      <c r="D13" s="124"/>
      <c r="E13" s="124">
        <v>0.86</v>
      </c>
      <c r="F13" s="124"/>
      <c r="G13" s="124"/>
    </row>
    <row r="14" spans="1:7" ht="47.25">
      <c r="A14" s="124"/>
      <c r="B14" s="749" t="s">
        <v>926</v>
      </c>
      <c r="C14" s="748" t="s">
        <v>1032</v>
      </c>
      <c r="D14" s="124"/>
      <c r="E14" s="124">
        <v>1</v>
      </c>
      <c r="F14" s="124"/>
      <c r="G14" s="124"/>
    </row>
    <row r="16" spans="1:7" s="1034" customFormat="1" ht="38.25">
      <c r="A16" s="1030" t="s">
        <v>1724</v>
      </c>
      <c r="B16" s="1030" t="s">
        <v>1725</v>
      </c>
      <c r="C16" s="1031" t="s">
        <v>1726</v>
      </c>
      <c r="D16" s="1032" t="s">
        <v>1727</v>
      </c>
      <c r="E16" s="1032">
        <v>1</v>
      </c>
      <c r="F16" s="1033">
        <f>F17*E19*E20*E21</f>
        <v>433.99</v>
      </c>
      <c r="G16" s="1032"/>
    </row>
    <row r="17" spans="1:7" s="1040" customFormat="1">
      <c r="A17" s="1035"/>
      <c r="B17" s="732" t="s">
        <v>1728</v>
      </c>
      <c r="C17" s="1036" t="s">
        <v>1729</v>
      </c>
      <c r="D17" s="1037" t="s">
        <v>1727</v>
      </c>
      <c r="E17" s="1037">
        <v>1</v>
      </c>
      <c r="F17" s="1038">
        <v>428.29</v>
      </c>
      <c r="G17" s="1039">
        <f>E17*F17</f>
        <v>428.29</v>
      </c>
    </row>
    <row r="18" spans="1:7" s="1040" customFormat="1" ht="25.5">
      <c r="A18" s="1041"/>
      <c r="B18" s="1042" t="s">
        <v>923</v>
      </c>
      <c r="C18" s="1036"/>
      <c r="D18" s="1036"/>
      <c r="E18" s="1036"/>
      <c r="F18" s="1036"/>
      <c r="G18" s="1036"/>
    </row>
    <row r="19" spans="1:7" s="1040" customFormat="1" ht="63.75">
      <c r="A19" s="1043"/>
      <c r="B19" s="1044" t="s">
        <v>1730</v>
      </c>
      <c r="C19" s="1045" t="s">
        <v>1015</v>
      </c>
      <c r="D19" s="1036"/>
      <c r="E19" s="1046">
        <v>1.1000000000000001</v>
      </c>
      <c r="F19" s="1036"/>
      <c r="G19" s="1036"/>
    </row>
    <row r="20" spans="1:7" s="1040" customFormat="1" ht="66.75" customHeight="1">
      <c r="A20" s="1047"/>
      <c r="B20" s="1048" t="s">
        <v>924</v>
      </c>
      <c r="C20" s="1045" t="s">
        <v>1016</v>
      </c>
      <c r="D20" s="1046"/>
      <c r="E20" s="1046">
        <v>0.94</v>
      </c>
      <c r="F20" s="1046"/>
      <c r="G20" s="1046"/>
    </row>
    <row r="21" spans="1:7" s="1040" customFormat="1" ht="47.25">
      <c r="A21" s="1049"/>
      <c r="B21" s="1050" t="s">
        <v>926</v>
      </c>
      <c r="C21" s="1045" t="s">
        <v>1731</v>
      </c>
      <c r="D21" s="1046"/>
      <c r="E21" s="1046">
        <v>0.98</v>
      </c>
      <c r="F21" s="1046"/>
      <c r="G21" s="1046"/>
    </row>
    <row r="22" spans="1:7" ht="63.75">
      <c r="A22" s="1052">
        <v>1</v>
      </c>
      <c r="B22" s="1053" t="s">
        <v>1741</v>
      </c>
      <c r="C22" s="1052" t="s">
        <v>1740</v>
      </c>
      <c r="D22" s="1052" t="s">
        <v>180</v>
      </c>
      <c r="E22" s="1052">
        <v>1</v>
      </c>
      <c r="F22" s="1054">
        <f>F23*E26*E27*E28</f>
        <v>586.77</v>
      </c>
      <c r="G22" s="1055">
        <f>E22*F22</f>
        <v>586.77</v>
      </c>
    </row>
    <row r="23" spans="1:7" ht="102">
      <c r="A23" s="1056"/>
      <c r="B23" s="1057" t="s">
        <v>1742</v>
      </c>
      <c r="C23" s="1058" t="s">
        <v>1743</v>
      </c>
      <c r="D23" s="1059" t="s">
        <v>180</v>
      </c>
      <c r="E23" s="1059">
        <v>1</v>
      </c>
      <c r="F23" s="1060">
        <v>731.73</v>
      </c>
      <c r="G23" s="1061">
        <f>E23*F23</f>
        <v>731.73</v>
      </c>
    </row>
    <row r="24" spans="1:7" ht="38.25">
      <c r="A24" s="1062"/>
      <c r="B24" s="1063" t="s">
        <v>922</v>
      </c>
      <c r="C24" s="1059"/>
      <c r="D24" s="1059"/>
      <c r="E24" s="1059"/>
      <c r="F24" s="1060"/>
      <c r="G24" s="1064">
        <f>G23</f>
        <v>731.73</v>
      </c>
    </row>
    <row r="25" spans="1:7" ht="25.5">
      <c r="A25" s="1065"/>
      <c r="B25" s="1066" t="s">
        <v>923</v>
      </c>
      <c r="C25" s="1058"/>
      <c r="D25" s="1058"/>
      <c r="E25" s="1058"/>
      <c r="F25" s="1067"/>
      <c r="G25" s="1058"/>
    </row>
    <row r="26" spans="1:7" ht="63">
      <c r="A26" s="1065"/>
      <c r="B26" s="1068" t="s">
        <v>1744</v>
      </c>
      <c r="C26" s="1069" t="s">
        <v>1031</v>
      </c>
      <c r="D26" s="1070"/>
      <c r="E26" s="1070">
        <v>0.81</v>
      </c>
      <c r="F26" s="1071"/>
      <c r="G26" s="1070"/>
    </row>
    <row r="27" spans="1:7" ht="47.25">
      <c r="A27" s="1072"/>
      <c r="B27" s="1073" t="s">
        <v>926</v>
      </c>
      <c r="C27" s="1069" t="s">
        <v>1745</v>
      </c>
      <c r="D27" s="1074"/>
      <c r="E27" s="1074">
        <v>0.99</v>
      </c>
      <c r="F27" s="1075"/>
      <c r="G27" s="1070"/>
    </row>
    <row r="28" spans="1:7" ht="31.5">
      <c r="A28" s="1056"/>
      <c r="B28" s="1076" t="s">
        <v>927</v>
      </c>
      <c r="C28" s="1077" t="s">
        <v>1746</v>
      </c>
      <c r="D28" s="1078"/>
      <c r="E28" s="1078">
        <v>1</v>
      </c>
      <c r="F28" s="1079"/>
      <c r="G28" s="107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6"/>
  <sheetViews>
    <sheetView topLeftCell="A53" workbookViewId="0">
      <selection activeCell="J69" sqref="J69"/>
    </sheetView>
  </sheetViews>
  <sheetFormatPr defaultColWidth="9.140625" defaultRowHeight="10.5" customHeight="1"/>
  <cols>
    <col min="1" max="1" width="8.85546875" style="1180" customWidth="1"/>
    <col min="2" max="2" width="20.140625" style="1287" customWidth="1"/>
    <col min="3" max="4" width="10.42578125" style="1287" customWidth="1"/>
    <col min="5" max="5" width="13.28515625" style="1287" customWidth="1"/>
    <col min="6" max="6" width="8.5703125" style="1287" customWidth="1"/>
    <col min="7" max="7" width="7.85546875" style="1287" customWidth="1"/>
    <col min="8" max="8" width="8.42578125" style="1287" customWidth="1"/>
    <col min="9" max="9" width="14.5703125" style="1287" customWidth="1"/>
    <col min="10" max="10" width="8.7109375" style="1287" customWidth="1"/>
    <col min="11" max="11" width="8.5703125" style="1287" customWidth="1"/>
    <col min="12" max="12" width="10" style="1287" customWidth="1"/>
    <col min="13" max="13" width="7.85546875" style="1287" customWidth="1"/>
    <col min="14" max="14" width="9.7109375" style="1287" customWidth="1"/>
    <col min="15" max="15" width="11" style="1287" hidden="1" customWidth="1"/>
    <col min="16" max="16" width="14.28515625" style="1287" customWidth="1"/>
    <col min="17" max="19" width="9.140625" style="1287"/>
    <col min="20" max="20" width="49.85546875" style="1185" hidden="1" customWidth="1"/>
    <col min="21" max="21" width="44.28515625" style="1185" hidden="1" customWidth="1"/>
    <col min="22" max="22" width="75.140625" style="1185" hidden="1" customWidth="1"/>
    <col min="23" max="26" width="146.85546875" style="1185" hidden="1" customWidth="1"/>
    <col min="27" max="27" width="34.140625" style="1185" hidden="1" customWidth="1"/>
    <col min="28" max="28" width="117.85546875" style="1185" hidden="1" customWidth="1"/>
    <col min="29" max="33" width="34.140625" style="1185" hidden="1" customWidth="1"/>
    <col min="34" max="34" width="117.85546875" style="1185" hidden="1" customWidth="1"/>
    <col min="35" max="37" width="90.28515625" style="1185" hidden="1" customWidth="1"/>
    <col min="38" max="16384" width="9.140625" style="1287"/>
  </cols>
  <sheetData>
    <row r="1" spans="1:22" s="1179" customFormat="1" ht="15"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1" t="s">
        <v>1766</v>
      </c>
    </row>
    <row r="2" spans="1:22" s="1179" customFormat="1" ht="15">
      <c r="A2" s="1182"/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1" t="s">
        <v>1767</v>
      </c>
    </row>
    <row r="3" spans="1:22" s="1179" customFormat="1" ht="8.25" customHeight="1">
      <c r="A3" s="1182"/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1"/>
    </row>
    <row r="4" spans="1:22" s="1179" customFormat="1" ht="14.25" customHeight="1">
      <c r="A4" s="1324" t="s">
        <v>1768</v>
      </c>
      <c r="B4" s="1324"/>
      <c r="C4" s="1324"/>
      <c r="D4" s="1183"/>
      <c r="E4" s="1182"/>
      <c r="F4" s="1182"/>
      <c r="G4" s="1182"/>
      <c r="H4" s="1182"/>
      <c r="I4" s="1182"/>
      <c r="J4" s="1180"/>
      <c r="K4" s="1324" t="s">
        <v>1769</v>
      </c>
      <c r="L4" s="1324"/>
      <c r="M4" s="1324"/>
      <c r="N4" s="1324"/>
    </row>
    <row r="5" spans="1:22" s="1179" customFormat="1" ht="12" customHeight="1">
      <c r="A5" s="1325"/>
      <c r="B5" s="1325"/>
      <c r="C5" s="1325"/>
      <c r="D5" s="1325"/>
      <c r="E5" s="1184"/>
      <c r="F5" s="1182"/>
      <c r="G5" s="1182"/>
      <c r="H5" s="1182"/>
      <c r="I5" s="1182"/>
      <c r="J5" s="1326"/>
      <c r="K5" s="1326"/>
      <c r="L5" s="1326"/>
      <c r="M5" s="1326"/>
      <c r="N5" s="1326"/>
    </row>
    <row r="6" spans="1:22" s="1179" customFormat="1" ht="15">
      <c r="A6" s="1327"/>
      <c r="B6" s="1327"/>
      <c r="C6" s="1327"/>
      <c r="D6" s="1327"/>
      <c r="E6" s="1182"/>
      <c r="F6" s="1182"/>
      <c r="G6" s="1182"/>
      <c r="H6" s="1182"/>
      <c r="I6" s="1182"/>
      <c r="J6" s="1327"/>
      <c r="K6" s="1327"/>
      <c r="L6" s="1327"/>
      <c r="M6" s="1327"/>
      <c r="N6" s="1327"/>
      <c r="T6" s="1185" t="s">
        <v>1770</v>
      </c>
      <c r="U6" s="1185" t="s">
        <v>1770</v>
      </c>
    </row>
    <row r="7" spans="1:22" s="1179" customFormat="1" ht="17.25" customHeight="1">
      <c r="A7" s="1186"/>
      <c r="B7" s="1187"/>
      <c r="C7" s="1184"/>
      <c r="D7" s="1184"/>
      <c r="E7" s="1182"/>
      <c r="F7" s="1182"/>
      <c r="G7" s="1182"/>
      <c r="H7" s="1182"/>
      <c r="I7" s="1182"/>
      <c r="J7" s="1186"/>
      <c r="K7" s="1186"/>
      <c r="L7" s="1186"/>
      <c r="M7" s="1186"/>
      <c r="N7" s="1187"/>
    </row>
    <row r="8" spans="1:22" s="1179" customFormat="1" ht="16.5" customHeight="1">
      <c r="A8" s="1180" t="s">
        <v>1771</v>
      </c>
      <c r="B8" s="1188"/>
      <c r="C8" s="1188"/>
      <c r="D8" s="1188"/>
      <c r="E8" s="1182"/>
      <c r="F8" s="1182"/>
      <c r="G8" s="1182"/>
      <c r="H8" s="1182"/>
      <c r="I8" s="1182"/>
      <c r="J8" s="1180"/>
      <c r="K8" s="1180"/>
      <c r="L8" s="1188"/>
      <c r="M8" s="1188"/>
      <c r="N8" s="1189" t="s">
        <v>1771</v>
      </c>
    </row>
    <row r="9" spans="1:22" s="1179" customFormat="1" ht="15.75" customHeight="1">
      <c r="A9" s="1182"/>
      <c r="B9" s="1182"/>
      <c r="C9" s="1182"/>
      <c r="D9" s="1182"/>
      <c r="E9" s="1182"/>
      <c r="F9" s="1190"/>
      <c r="G9" s="1182"/>
      <c r="H9" s="1182"/>
      <c r="I9" s="1182"/>
      <c r="J9" s="1182"/>
      <c r="K9" s="1182"/>
      <c r="L9" s="1182"/>
      <c r="M9" s="1182"/>
      <c r="N9" s="1182"/>
    </row>
    <row r="10" spans="1:22" s="1179" customFormat="1" ht="15" customHeight="1">
      <c r="A10" s="1191" t="s">
        <v>1772</v>
      </c>
      <c r="B10" s="1188"/>
      <c r="C10" s="1182"/>
      <c r="E10" s="1182"/>
      <c r="F10" s="1182"/>
      <c r="G10" s="1328" t="s">
        <v>1773</v>
      </c>
      <c r="H10" s="1328"/>
      <c r="I10" s="1328"/>
      <c r="J10" s="1328"/>
      <c r="K10" s="1328"/>
      <c r="L10" s="1328"/>
      <c r="M10" s="1328"/>
      <c r="N10" s="1328"/>
    </row>
    <row r="11" spans="1:22" s="1179" customFormat="1" ht="68.25">
      <c r="A11" s="1191" t="s">
        <v>1774</v>
      </c>
      <c r="B11" s="1188"/>
      <c r="C11" s="1182"/>
      <c r="E11" s="1192"/>
      <c r="F11" s="1192"/>
      <c r="G11" s="1328" t="s">
        <v>1775</v>
      </c>
      <c r="H11" s="1328"/>
      <c r="I11" s="1328"/>
      <c r="J11" s="1328"/>
      <c r="K11" s="1328"/>
      <c r="L11" s="1328"/>
      <c r="M11" s="1328"/>
      <c r="N11" s="1328"/>
      <c r="V11" s="1193" t="s">
        <v>1775</v>
      </c>
    </row>
    <row r="12" spans="1:22" s="1179" customFormat="1" ht="24.75" customHeight="1">
      <c r="A12" s="1329" t="s">
        <v>1776</v>
      </c>
      <c r="B12" s="1329"/>
      <c r="C12" s="1329"/>
      <c r="D12" s="1329"/>
      <c r="E12" s="1329"/>
      <c r="F12" s="1329"/>
      <c r="G12" s="1328"/>
      <c r="H12" s="1328"/>
      <c r="I12" s="1328"/>
      <c r="J12" s="1328"/>
      <c r="K12" s="1328"/>
      <c r="L12" s="1328"/>
      <c r="M12" s="1328"/>
      <c r="N12" s="1328"/>
    </row>
    <row r="13" spans="1:22" s="1179" customFormat="1" ht="75.75" customHeight="1">
      <c r="A13" s="1329" t="s">
        <v>1777</v>
      </c>
      <c r="B13" s="1329"/>
      <c r="C13" s="1329"/>
      <c r="D13" s="1329"/>
      <c r="E13" s="1329"/>
      <c r="F13" s="1329"/>
      <c r="G13" s="1328"/>
      <c r="H13" s="1328"/>
      <c r="I13" s="1328"/>
      <c r="J13" s="1328"/>
      <c r="K13" s="1328"/>
      <c r="L13" s="1328"/>
      <c r="M13" s="1328"/>
      <c r="N13" s="1328"/>
    </row>
    <row r="14" spans="1:22" s="1179" customFormat="1" ht="35.25" customHeight="1">
      <c r="A14" s="1329" t="s">
        <v>1778</v>
      </c>
      <c r="B14" s="1329"/>
      <c r="C14" s="1329"/>
      <c r="D14" s="1329"/>
      <c r="E14" s="1329"/>
      <c r="F14" s="1329"/>
      <c r="G14" s="1328"/>
      <c r="H14" s="1328"/>
      <c r="I14" s="1328"/>
      <c r="J14" s="1328"/>
      <c r="K14" s="1328"/>
      <c r="L14" s="1328"/>
      <c r="M14" s="1328"/>
      <c r="N14" s="1328"/>
    </row>
    <row r="15" spans="1:22" s="1179" customFormat="1" ht="15" customHeight="1">
      <c r="A15" s="1330" t="s">
        <v>1779</v>
      </c>
      <c r="B15" s="1330"/>
      <c r="C15" s="1330"/>
      <c r="D15" s="1330"/>
      <c r="E15" s="1330"/>
      <c r="F15" s="1330"/>
      <c r="G15" s="1328"/>
      <c r="H15" s="1328"/>
      <c r="I15" s="1328"/>
      <c r="J15" s="1328"/>
      <c r="K15" s="1328"/>
      <c r="L15" s="1328"/>
      <c r="M15" s="1328"/>
      <c r="N15" s="1328"/>
    </row>
    <row r="16" spans="1:22" s="1179" customFormat="1" ht="15" customHeight="1">
      <c r="A16" s="1330" t="s">
        <v>1780</v>
      </c>
      <c r="B16" s="1330"/>
      <c r="C16" s="1330"/>
      <c r="D16" s="1330"/>
      <c r="E16" s="1330"/>
      <c r="F16" s="1330"/>
      <c r="G16" s="1328"/>
      <c r="H16" s="1328"/>
      <c r="I16" s="1328"/>
      <c r="J16" s="1328"/>
      <c r="K16" s="1328"/>
      <c r="L16" s="1328"/>
      <c r="M16" s="1328"/>
      <c r="N16" s="1328"/>
    </row>
    <row r="17" spans="1:25" s="1179" customFormat="1" ht="8.25" customHeight="1">
      <c r="A17" s="1194"/>
      <c r="B17" s="1182"/>
      <c r="C17" s="1182"/>
      <c r="D17" s="1182"/>
      <c r="E17" s="1182"/>
      <c r="F17" s="1188"/>
      <c r="G17" s="1188"/>
      <c r="H17" s="1188"/>
      <c r="I17" s="1188"/>
      <c r="J17" s="1188"/>
      <c r="K17" s="1188"/>
      <c r="L17" s="1188"/>
      <c r="M17" s="1188"/>
      <c r="N17" s="1188"/>
    </row>
    <row r="18" spans="1:25" s="1179" customFormat="1" ht="15">
      <c r="A18" s="1332" t="s">
        <v>1781</v>
      </c>
      <c r="B18" s="1332"/>
      <c r="C18" s="1332"/>
      <c r="D18" s="1332"/>
      <c r="E18" s="1332"/>
      <c r="F18" s="1332"/>
      <c r="G18" s="1332"/>
      <c r="H18" s="1332"/>
      <c r="I18" s="1332"/>
      <c r="J18" s="1332"/>
      <c r="K18" s="1332"/>
      <c r="L18" s="1332"/>
      <c r="M18" s="1332"/>
      <c r="N18" s="1332"/>
      <c r="W18" s="1193" t="s">
        <v>1781</v>
      </c>
    </row>
    <row r="19" spans="1:25" s="1179" customFormat="1" ht="15">
      <c r="A19" s="1333" t="s">
        <v>1782</v>
      </c>
      <c r="B19" s="1333"/>
      <c r="C19" s="1333"/>
      <c r="D19" s="1333"/>
      <c r="E19" s="1333"/>
      <c r="F19" s="1333"/>
      <c r="G19" s="1333"/>
      <c r="H19" s="1333"/>
      <c r="I19" s="1333"/>
      <c r="J19" s="1333"/>
      <c r="K19" s="1333"/>
      <c r="L19" s="1333"/>
      <c r="M19" s="1333"/>
      <c r="N19" s="1333"/>
    </row>
    <row r="20" spans="1:25" s="1179" customFormat="1" ht="8.25" customHeight="1">
      <c r="A20" s="1195"/>
      <c r="B20" s="1195"/>
      <c r="C20" s="1195"/>
      <c r="D20" s="1195"/>
      <c r="E20" s="1195"/>
      <c r="F20" s="1195"/>
      <c r="G20" s="1195"/>
      <c r="H20" s="1195"/>
      <c r="I20" s="1195"/>
      <c r="J20" s="1195"/>
      <c r="K20" s="1195"/>
      <c r="L20" s="1195"/>
      <c r="M20" s="1195"/>
      <c r="N20" s="1195"/>
    </row>
    <row r="21" spans="1:25" s="1179" customFormat="1" ht="15">
      <c r="A21" s="1332" t="s">
        <v>1783</v>
      </c>
      <c r="B21" s="1332"/>
      <c r="C21" s="1332"/>
      <c r="D21" s="1332"/>
      <c r="E21" s="1332"/>
      <c r="F21" s="1332"/>
      <c r="G21" s="1332"/>
      <c r="H21" s="1332"/>
      <c r="I21" s="1332"/>
      <c r="J21" s="1332"/>
      <c r="K21" s="1332"/>
      <c r="L21" s="1332"/>
      <c r="M21" s="1332"/>
      <c r="N21" s="1332"/>
      <c r="X21" s="1193" t="s">
        <v>1783</v>
      </c>
    </row>
    <row r="22" spans="1:25" s="1179" customFormat="1" ht="15">
      <c r="A22" s="1333" t="s">
        <v>1784</v>
      </c>
      <c r="B22" s="1333"/>
      <c r="C22" s="1333"/>
      <c r="D22" s="1333"/>
      <c r="E22" s="1333"/>
      <c r="F22" s="1333"/>
      <c r="G22" s="1333"/>
      <c r="H22" s="1333"/>
      <c r="I22" s="1333"/>
      <c r="J22" s="1333"/>
      <c r="K22" s="1333"/>
      <c r="L22" s="1333"/>
      <c r="M22" s="1333"/>
      <c r="N22" s="1333"/>
    </row>
    <row r="23" spans="1:25" s="1179" customFormat="1" ht="24" customHeight="1">
      <c r="A23" s="1334" t="s">
        <v>1785</v>
      </c>
      <c r="B23" s="1334"/>
      <c r="C23" s="1334"/>
      <c r="D23" s="1334"/>
      <c r="E23" s="1334"/>
      <c r="F23" s="1334"/>
      <c r="G23" s="1334"/>
      <c r="H23" s="1334"/>
      <c r="I23" s="1334"/>
      <c r="J23" s="1334"/>
      <c r="K23" s="1334"/>
      <c r="L23" s="1334"/>
      <c r="M23" s="1334"/>
      <c r="N23" s="1334"/>
    </row>
    <row r="24" spans="1:25" s="1179" customFormat="1" ht="8.25" customHeight="1">
      <c r="A24" s="1196"/>
      <c r="B24" s="1196"/>
      <c r="C24" s="1196"/>
      <c r="D24" s="1196"/>
      <c r="E24" s="1196"/>
      <c r="F24" s="1196"/>
      <c r="G24" s="1196"/>
      <c r="H24" s="1196"/>
      <c r="I24" s="1196"/>
      <c r="J24" s="1196"/>
      <c r="K24" s="1196"/>
      <c r="L24" s="1196"/>
      <c r="M24" s="1196"/>
      <c r="N24" s="1196"/>
    </row>
    <row r="25" spans="1:25" s="1179" customFormat="1" ht="15">
      <c r="A25" s="1335" t="s">
        <v>1786</v>
      </c>
      <c r="B25" s="1335"/>
      <c r="C25" s="1335"/>
      <c r="D25" s="1335"/>
      <c r="E25" s="1335"/>
      <c r="F25" s="1335"/>
      <c r="G25" s="1335"/>
      <c r="H25" s="1335"/>
      <c r="I25" s="1335"/>
      <c r="J25" s="1335"/>
      <c r="K25" s="1335"/>
      <c r="L25" s="1335"/>
      <c r="M25" s="1335"/>
      <c r="N25" s="1335"/>
      <c r="Y25" s="1193" t="s">
        <v>1786</v>
      </c>
    </row>
    <row r="26" spans="1:25" s="1179" customFormat="1" ht="13.5" customHeight="1">
      <c r="A26" s="1333" t="s">
        <v>1787</v>
      </c>
      <c r="B26" s="1333"/>
      <c r="C26" s="1333"/>
      <c r="D26" s="1333"/>
      <c r="E26" s="1333"/>
      <c r="F26" s="1333"/>
      <c r="G26" s="1333"/>
      <c r="H26" s="1333"/>
      <c r="I26" s="1333"/>
      <c r="J26" s="1333"/>
      <c r="K26" s="1333"/>
      <c r="L26" s="1333"/>
      <c r="M26" s="1333"/>
      <c r="N26" s="1333"/>
    </row>
    <row r="27" spans="1:25" s="1179" customFormat="1" ht="15" customHeight="1">
      <c r="A27" s="1182" t="s">
        <v>1788</v>
      </c>
      <c r="B27" s="1197" t="s">
        <v>1789</v>
      </c>
      <c r="C27" s="1180" t="s">
        <v>1790</v>
      </c>
      <c r="D27" s="1180"/>
      <c r="E27" s="1180"/>
      <c r="F27" s="1192"/>
      <c r="G27" s="1192"/>
      <c r="H27" s="1192"/>
      <c r="I27" s="1192"/>
      <c r="J27" s="1192"/>
      <c r="K27" s="1192"/>
      <c r="L27" s="1192"/>
      <c r="M27" s="1192"/>
      <c r="N27" s="1192"/>
    </row>
    <row r="28" spans="1:25" s="1179" customFormat="1" ht="18" customHeight="1">
      <c r="A28" s="1182" t="s">
        <v>1791</v>
      </c>
      <c r="B28" s="1335"/>
      <c r="C28" s="1335"/>
      <c r="D28" s="1335"/>
      <c r="E28" s="1335"/>
      <c r="F28" s="1335"/>
      <c r="G28" s="1192"/>
      <c r="H28" s="1192"/>
      <c r="I28" s="1192"/>
      <c r="J28" s="1192"/>
      <c r="K28" s="1192"/>
      <c r="L28" s="1192"/>
      <c r="M28" s="1192"/>
      <c r="N28" s="1192"/>
    </row>
    <row r="29" spans="1:25" s="1179" customFormat="1" ht="15">
      <c r="A29" s="1182"/>
      <c r="B29" s="1336" t="s">
        <v>1792</v>
      </c>
      <c r="C29" s="1336"/>
      <c r="D29" s="1336"/>
      <c r="E29" s="1336"/>
      <c r="F29" s="1336"/>
      <c r="G29" s="1198"/>
      <c r="H29" s="1198"/>
      <c r="I29" s="1198"/>
      <c r="J29" s="1198"/>
      <c r="K29" s="1198"/>
      <c r="L29" s="1198"/>
      <c r="M29" s="1199"/>
      <c r="N29" s="1198"/>
    </row>
    <row r="30" spans="1:25" s="1179" customFormat="1" ht="9.75" customHeight="1">
      <c r="A30" s="1182"/>
      <c r="B30" s="1182"/>
      <c r="C30" s="1182"/>
      <c r="D30" s="1200"/>
      <c r="E30" s="1200"/>
      <c r="F30" s="1200"/>
      <c r="G30" s="1200"/>
      <c r="H30" s="1200"/>
      <c r="I30" s="1200"/>
      <c r="J30" s="1200"/>
      <c r="K30" s="1200"/>
      <c r="L30" s="1200"/>
      <c r="M30" s="1198"/>
      <c r="N30" s="1198"/>
    </row>
    <row r="31" spans="1:25" s="1179" customFormat="1" ht="15">
      <c r="A31" s="1201" t="s">
        <v>1793</v>
      </c>
      <c r="B31" s="1182"/>
      <c r="C31" s="1182"/>
      <c r="D31" s="1202" t="s">
        <v>1794</v>
      </c>
      <c r="E31" s="1180"/>
      <c r="F31" s="1203"/>
      <c r="G31" s="1203"/>
      <c r="H31" s="1203"/>
      <c r="I31" s="1203"/>
      <c r="J31" s="1203"/>
      <c r="K31" s="1203"/>
      <c r="L31" s="1203"/>
      <c r="M31" s="1203"/>
      <c r="N31" s="1203"/>
    </row>
    <row r="32" spans="1:25" s="1179" customFormat="1" ht="9.75" customHeight="1">
      <c r="A32" s="1182"/>
      <c r="B32" s="1204"/>
      <c r="C32" s="1204"/>
      <c r="D32" s="1205"/>
      <c r="E32" s="1205"/>
      <c r="F32" s="1205"/>
      <c r="G32" s="1205"/>
      <c r="H32" s="1205"/>
      <c r="I32" s="1205"/>
      <c r="J32" s="1205"/>
      <c r="K32" s="1205"/>
      <c r="L32" s="1205"/>
      <c r="M32" s="1205"/>
      <c r="N32" s="1205"/>
    </row>
    <row r="33" spans="1:29" s="1179" customFormat="1" ht="12.75" customHeight="1">
      <c r="A33" s="1201" t="s">
        <v>1795</v>
      </c>
      <c r="B33" s="1204"/>
      <c r="C33" s="1206">
        <v>948.52</v>
      </c>
      <c r="D33" s="1187" t="s">
        <v>1796</v>
      </c>
      <c r="E33" s="1207" t="s">
        <v>1797</v>
      </c>
      <c r="G33" s="1204"/>
      <c r="H33" s="1204"/>
      <c r="I33" s="1204"/>
      <c r="J33" s="1204"/>
      <c r="K33" s="1204"/>
      <c r="L33" s="1208"/>
      <c r="M33" s="1208"/>
      <c r="N33" s="1204"/>
    </row>
    <row r="34" spans="1:29" s="1179" customFormat="1" ht="12.75" customHeight="1">
      <c r="A34" s="1182"/>
      <c r="B34" s="1209" t="s">
        <v>1798</v>
      </c>
      <c r="C34" s="1210"/>
      <c r="D34" s="1189"/>
      <c r="E34" s="1207"/>
      <c r="G34" s="1204"/>
    </row>
    <row r="35" spans="1:29" s="1179" customFormat="1" ht="12.75" customHeight="1">
      <c r="A35" s="1182"/>
      <c r="B35" s="1204" t="s">
        <v>1799</v>
      </c>
      <c r="C35" s="1206">
        <v>0</v>
      </c>
      <c r="D35" s="1187" t="s">
        <v>1800</v>
      </c>
      <c r="E35" s="1207" t="s">
        <v>1797</v>
      </c>
      <c r="G35" s="1204" t="s">
        <v>1801</v>
      </c>
      <c r="I35" s="1204"/>
      <c r="J35" s="1204"/>
      <c r="K35" s="1204"/>
      <c r="L35" s="1206">
        <v>42.26</v>
      </c>
      <c r="M35" s="1211" t="s">
        <v>1802</v>
      </c>
      <c r="N35" s="1207" t="s">
        <v>1797</v>
      </c>
    </row>
    <row r="36" spans="1:29" s="1179" customFormat="1" ht="12.75" customHeight="1">
      <c r="A36" s="1182"/>
      <c r="B36" s="1204" t="s">
        <v>1803</v>
      </c>
      <c r="C36" s="1206">
        <v>113.82</v>
      </c>
      <c r="D36" s="1212" t="s">
        <v>1804</v>
      </c>
      <c r="E36" s="1207" t="s">
        <v>1797</v>
      </c>
      <c r="G36" s="1204" t="s">
        <v>1805</v>
      </c>
      <c r="I36" s="1204"/>
      <c r="J36" s="1204"/>
      <c r="K36" s="1204"/>
      <c r="L36" s="1337">
        <v>159</v>
      </c>
      <c r="M36" s="1337"/>
      <c r="N36" s="1207" t="s">
        <v>1806</v>
      </c>
    </row>
    <row r="37" spans="1:29" s="1179" customFormat="1" ht="12.75" customHeight="1">
      <c r="A37" s="1182"/>
      <c r="B37" s="1204" t="s">
        <v>1807</v>
      </c>
      <c r="C37" s="1206">
        <v>834.7</v>
      </c>
      <c r="D37" s="1212" t="s">
        <v>1808</v>
      </c>
      <c r="E37" s="1207" t="s">
        <v>1797</v>
      </c>
      <c r="G37" s="1204" t="s">
        <v>1809</v>
      </c>
      <c r="I37" s="1204"/>
      <c r="J37" s="1204"/>
      <c r="K37" s="1204"/>
      <c r="L37" s="1337">
        <v>9.9600000000000009</v>
      </c>
      <c r="M37" s="1337"/>
      <c r="N37" s="1207" t="s">
        <v>1806</v>
      </c>
    </row>
    <row r="38" spans="1:29" s="1179" customFormat="1" ht="12.75" customHeight="1">
      <c r="A38" s="1182"/>
      <c r="B38" s="1204" t="s">
        <v>1810</v>
      </c>
      <c r="C38" s="1206">
        <v>0</v>
      </c>
      <c r="D38" s="1187" t="s">
        <v>1800</v>
      </c>
      <c r="E38" s="1207" t="s">
        <v>1797</v>
      </c>
      <c r="G38" s="1204"/>
      <c r="H38" s="1204"/>
      <c r="I38" s="1204"/>
      <c r="J38" s="1204"/>
      <c r="K38" s="1204"/>
      <c r="L38" s="1331" t="s">
        <v>93</v>
      </c>
      <c r="M38" s="1331"/>
      <c r="N38" s="1204"/>
    </row>
    <row r="39" spans="1:29" s="1179" customFormat="1" ht="12.75" customHeight="1">
      <c r="A39" s="1182"/>
      <c r="B39" s="1204"/>
      <c r="C39" s="1210"/>
      <c r="D39" s="1189"/>
      <c r="E39" s="1213"/>
      <c r="G39" s="1204"/>
      <c r="H39" s="1204"/>
      <c r="I39" s="1204"/>
      <c r="J39" s="1204"/>
      <c r="K39" s="1204"/>
      <c r="L39" s="1205"/>
      <c r="M39" s="1205"/>
      <c r="N39" s="1204"/>
    </row>
    <row r="40" spans="1:29" s="1179" customFormat="1" ht="9.75" customHeight="1">
      <c r="A40" s="1214"/>
    </row>
    <row r="41" spans="1:29" s="1179" customFormat="1" ht="36" customHeight="1">
      <c r="A41" s="1339" t="s">
        <v>2</v>
      </c>
      <c r="B41" s="1340" t="s">
        <v>919</v>
      </c>
      <c r="C41" s="1340" t="s">
        <v>18</v>
      </c>
      <c r="D41" s="1340"/>
      <c r="E41" s="1340"/>
      <c r="F41" s="1340" t="s">
        <v>36</v>
      </c>
      <c r="G41" s="1340" t="s">
        <v>1811</v>
      </c>
      <c r="H41" s="1340"/>
      <c r="I41" s="1340"/>
      <c r="J41" s="1340" t="s">
        <v>1812</v>
      </c>
      <c r="K41" s="1340"/>
      <c r="L41" s="1340"/>
      <c r="M41" s="1340" t="s">
        <v>1813</v>
      </c>
      <c r="N41" s="1340" t="s">
        <v>1814</v>
      </c>
    </row>
    <row r="42" spans="1:29" s="1179" customFormat="1" ht="36.75" customHeight="1">
      <c r="A42" s="1339"/>
      <c r="B42" s="1340"/>
      <c r="C42" s="1340"/>
      <c r="D42" s="1340"/>
      <c r="E42" s="1340"/>
      <c r="F42" s="1340"/>
      <c r="G42" s="1340"/>
      <c r="H42" s="1340"/>
      <c r="I42" s="1340"/>
      <c r="J42" s="1340"/>
      <c r="K42" s="1340"/>
      <c r="L42" s="1340"/>
      <c r="M42" s="1340"/>
      <c r="N42" s="1340"/>
    </row>
    <row r="43" spans="1:29" s="1179" customFormat="1" ht="22.5">
      <c r="A43" s="1339"/>
      <c r="B43" s="1340"/>
      <c r="C43" s="1340"/>
      <c r="D43" s="1340"/>
      <c r="E43" s="1340"/>
      <c r="F43" s="1340"/>
      <c r="G43" s="1215" t="s">
        <v>1815</v>
      </c>
      <c r="H43" s="1215" t="s">
        <v>1816</v>
      </c>
      <c r="I43" s="1215" t="s">
        <v>1817</v>
      </c>
      <c r="J43" s="1215" t="s">
        <v>1815</v>
      </c>
      <c r="K43" s="1215" t="s">
        <v>1816</v>
      </c>
      <c r="L43" s="1215" t="s">
        <v>1818</v>
      </c>
      <c r="M43" s="1340"/>
      <c r="N43" s="1340"/>
    </row>
    <row r="44" spans="1:29" s="1179" customFormat="1" ht="15">
      <c r="A44" s="1216">
        <v>1</v>
      </c>
      <c r="B44" s="1217">
        <v>2</v>
      </c>
      <c r="C44" s="1341">
        <v>3</v>
      </c>
      <c r="D44" s="1341"/>
      <c r="E44" s="1341"/>
      <c r="F44" s="1217">
        <v>4</v>
      </c>
      <c r="G44" s="1217">
        <v>5</v>
      </c>
      <c r="H44" s="1217">
        <v>6</v>
      </c>
      <c r="I44" s="1217">
        <v>7</v>
      </c>
      <c r="J44" s="1217">
        <v>8</v>
      </c>
      <c r="K44" s="1217">
        <v>9</v>
      </c>
      <c r="L44" s="1217">
        <v>10</v>
      </c>
      <c r="M44" s="1217">
        <v>11</v>
      </c>
      <c r="N44" s="1217">
        <v>12</v>
      </c>
      <c r="O44" s="1218"/>
      <c r="P44" s="1218"/>
      <c r="Q44" s="1218"/>
    </row>
    <row r="45" spans="1:29" s="1179" customFormat="1" ht="15">
      <c r="A45" s="1342" t="s">
        <v>1819</v>
      </c>
      <c r="B45" s="1343"/>
      <c r="C45" s="1343"/>
      <c r="D45" s="1343"/>
      <c r="E45" s="1343"/>
      <c r="F45" s="1343"/>
      <c r="G45" s="1343"/>
      <c r="H45" s="1343"/>
      <c r="I45" s="1343"/>
      <c r="J45" s="1343"/>
      <c r="K45" s="1343"/>
      <c r="L45" s="1343"/>
      <c r="M45" s="1343"/>
      <c r="N45" s="1344"/>
      <c r="Z45" s="1219" t="s">
        <v>1819</v>
      </c>
    </row>
    <row r="46" spans="1:29" s="1179" customFormat="1" ht="34.5">
      <c r="A46" s="1220" t="s">
        <v>1820</v>
      </c>
      <c r="B46" s="1221" t="s">
        <v>1821</v>
      </c>
      <c r="C46" s="1345" t="s">
        <v>1822</v>
      </c>
      <c r="D46" s="1345"/>
      <c r="E46" s="1345"/>
      <c r="F46" s="1222" t="s">
        <v>1823</v>
      </c>
      <c r="G46" s="1223"/>
      <c r="H46" s="1223"/>
      <c r="I46" s="1224">
        <v>1</v>
      </c>
      <c r="J46" s="1225"/>
      <c r="K46" s="1223"/>
      <c r="L46" s="1225"/>
      <c r="M46" s="1223"/>
      <c r="N46" s="1226"/>
      <c r="Z46" s="1219"/>
      <c r="AA46" s="1227" t="s">
        <v>1822</v>
      </c>
    </row>
    <row r="47" spans="1:29" s="1179" customFormat="1" ht="23.25">
      <c r="A47" s="1228"/>
      <c r="B47" s="1229" t="s">
        <v>1824</v>
      </c>
      <c r="C47" s="1327" t="s">
        <v>1825</v>
      </c>
      <c r="D47" s="1327"/>
      <c r="E47" s="1327"/>
      <c r="F47" s="1327"/>
      <c r="G47" s="1327"/>
      <c r="H47" s="1327"/>
      <c r="I47" s="1327"/>
      <c r="J47" s="1327"/>
      <c r="K47" s="1327"/>
      <c r="L47" s="1327"/>
      <c r="M47" s="1327"/>
      <c r="N47" s="1338"/>
      <c r="Z47" s="1219"/>
      <c r="AA47" s="1227"/>
      <c r="AB47" s="1185" t="s">
        <v>1825</v>
      </c>
    </row>
    <row r="48" spans="1:29" s="1179" customFormat="1" ht="15">
      <c r="A48" s="1230"/>
      <c r="B48" s="1229" t="s">
        <v>1826</v>
      </c>
      <c r="C48" s="1327" t="s">
        <v>1827</v>
      </c>
      <c r="D48" s="1327"/>
      <c r="E48" s="1327"/>
      <c r="F48" s="1231" t="s">
        <v>1828</v>
      </c>
      <c r="G48" s="1232">
        <v>106</v>
      </c>
      <c r="H48" s="1233">
        <v>1.5</v>
      </c>
      <c r="I48" s="1232">
        <v>159</v>
      </c>
      <c r="J48" s="1234">
        <v>10.210000000000001</v>
      </c>
      <c r="K48" s="1235"/>
      <c r="L48" s="1236">
        <v>1623.39</v>
      </c>
      <c r="M48" s="1235"/>
      <c r="N48" s="1237"/>
      <c r="Z48" s="1219"/>
      <c r="AA48" s="1227"/>
      <c r="AC48" s="1185" t="s">
        <v>1827</v>
      </c>
    </row>
    <row r="49" spans="1:32" s="1179" customFormat="1" ht="23.25">
      <c r="A49" s="1230"/>
      <c r="B49" s="1229" t="s">
        <v>1829</v>
      </c>
      <c r="C49" s="1327" t="s">
        <v>1830</v>
      </c>
      <c r="D49" s="1327"/>
      <c r="E49" s="1327"/>
      <c r="F49" s="1231" t="s">
        <v>1831</v>
      </c>
      <c r="G49" s="1238">
        <v>3.17</v>
      </c>
      <c r="H49" s="1233">
        <v>1.5</v>
      </c>
      <c r="I49" s="1239">
        <v>4.7549999999999999</v>
      </c>
      <c r="J49" s="1234">
        <v>115.4</v>
      </c>
      <c r="K49" s="1235"/>
      <c r="L49" s="1234">
        <v>548.73</v>
      </c>
      <c r="M49" s="1235"/>
      <c r="N49" s="1237"/>
      <c r="Z49" s="1219"/>
      <c r="AA49" s="1227"/>
      <c r="AC49" s="1185" t="s">
        <v>1830</v>
      </c>
    </row>
    <row r="50" spans="1:32" s="1179" customFormat="1" ht="23.25">
      <c r="A50" s="1230"/>
      <c r="B50" s="1229" t="s">
        <v>1832</v>
      </c>
      <c r="C50" s="1327" t="s">
        <v>1833</v>
      </c>
      <c r="D50" s="1327"/>
      <c r="E50" s="1327"/>
      <c r="F50" s="1231" t="s">
        <v>1831</v>
      </c>
      <c r="G50" s="1238">
        <v>3.36</v>
      </c>
      <c r="H50" s="1233">
        <v>1.5</v>
      </c>
      <c r="I50" s="1238">
        <v>5.04</v>
      </c>
      <c r="J50" s="1234">
        <v>3.28</v>
      </c>
      <c r="K50" s="1235"/>
      <c r="L50" s="1234">
        <v>16.53</v>
      </c>
      <c r="M50" s="1235"/>
      <c r="N50" s="1237"/>
      <c r="Z50" s="1219"/>
      <c r="AA50" s="1227"/>
      <c r="AC50" s="1185" t="s">
        <v>1833</v>
      </c>
    </row>
    <row r="51" spans="1:32" s="1179" customFormat="1" ht="23.25">
      <c r="A51" s="1230"/>
      <c r="B51" s="1229" t="s">
        <v>1834</v>
      </c>
      <c r="C51" s="1327" t="s">
        <v>1835</v>
      </c>
      <c r="D51" s="1327"/>
      <c r="E51" s="1327"/>
      <c r="F51" s="1231" t="s">
        <v>1831</v>
      </c>
      <c r="G51" s="1238">
        <v>3.47</v>
      </c>
      <c r="H51" s="1233">
        <v>1.5</v>
      </c>
      <c r="I51" s="1239">
        <v>5.2050000000000001</v>
      </c>
      <c r="J51" s="1234">
        <v>65.709999999999994</v>
      </c>
      <c r="K51" s="1235"/>
      <c r="L51" s="1234">
        <v>342.02</v>
      </c>
      <c r="M51" s="1235"/>
      <c r="N51" s="1237"/>
      <c r="Z51" s="1219"/>
      <c r="AA51" s="1227"/>
      <c r="AC51" s="1185" t="s">
        <v>1835</v>
      </c>
    </row>
    <row r="52" spans="1:32" s="1179" customFormat="1" ht="23.25">
      <c r="A52" s="1230"/>
      <c r="B52" s="1229" t="s">
        <v>1836</v>
      </c>
      <c r="C52" s="1327" t="s">
        <v>1837</v>
      </c>
      <c r="D52" s="1327"/>
      <c r="E52" s="1327"/>
      <c r="F52" s="1231" t="s">
        <v>1838</v>
      </c>
      <c r="G52" s="1239">
        <v>2.7E-2</v>
      </c>
      <c r="H52" s="1235"/>
      <c r="I52" s="1239">
        <v>2.7E-2</v>
      </c>
      <c r="J52" s="1234">
        <v>28.22</v>
      </c>
      <c r="K52" s="1235"/>
      <c r="L52" s="1234">
        <v>0.76</v>
      </c>
      <c r="M52" s="1235"/>
      <c r="N52" s="1237"/>
      <c r="Z52" s="1219"/>
      <c r="AA52" s="1227"/>
      <c r="AC52" s="1185" t="s">
        <v>1837</v>
      </c>
    </row>
    <row r="53" spans="1:32" s="1179" customFormat="1" ht="23.25">
      <c r="A53" s="1230"/>
      <c r="B53" s="1229" t="s">
        <v>1839</v>
      </c>
      <c r="C53" s="1327" t="s">
        <v>1840</v>
      </c>
      <c r="D53" s="1327"/>
      <c r="E53" s="1327"/>
      <c r="F53" s="1231" t="s">
        <v>1841</v>
      </c>
      <c r="G53" s="1240">
        <v>1.0000000000000001E-5</v>
      </c>
      <c r="H53" s="1235"/>
      <c r="I53" s="1240">
        <v>1.0000000000000001E-5</v>
      </c>
      <c r="J53" s="1236">
        <v>114220</v>
      </c>
      <c r="K53" s="1235"/>
      <c r="L53" s="1234">
        <v>1.1399999999999999</v>
      </c>
      <c r="M53" s="1235"/>
      <c r="N53" s="1237"/>
      <c r="Z53" s="1219"/>
      <c r="AA53" s="1227"/>
      <c r="AC53" s="1185" t="s">
        <v>1840</v>
      </c>
    </row>
    <row r="54" spans="1:32" s="1179" customFormat="1" ht="15">
      <c r="A54" s="1230"/>
      <c r="B54" s="1229" t="s">
        <v>1842</v>
      </c>
      <c r="C54" s="1327" t="s">
        <v>1843</v>
      </c>
      <c r="D54" s="1327"/>
      <c r="E54" s="1327"/>
      <c r="F54" s="1231" t="s">
        <v>1841</v>
      </c>
      <c r="G54" s="1240">
        <v>1.0000000000000001E-5</v>
      </c>
      <c r="H54" s="1235"/>
      <c r="I54" s="1240">
        <v>1.0000000000000001E-5</v>
      </c>
      <c r="J54" s="1236">
        <v>28300.400000000001</v>
      </c>
      <c r="K54" s="1235"/>
      <c r="L54" s="1234">
        <v>0.28000000000000003</v>
      </c>
      <c r="M54" s="1235"/>
      <c r="N54" s="1237"/>
      <c r="Z54" s="1219"/>
      <c r="AA54" s="1227"/>
      <c r="AC54" s="1185" t="s">
        <v>1843</v>
      </c>
    </row>
    <row r="55" spans="1:32" s="1179" customFormat="1" ht="23.25">
      <c r="A55" s="1230"/>
      <c r="B55" s="1229" t="s">
        <v>1844</v>
      </c>
      <c r="C55" s="1327" t="s">
        <v>1845</v>
      </c>
      <c r="D55" s="1327"/>
      <c r="E55" s="1327"/>
      <c r="F55" s="1231" t="s">
        <v>1846</v>
      </c>
      <c r="G55" s="1238">
        <v>0.02</v>
      </c>
      <c r="H55" s="1235"/>
      <c r="I55" s="1238">
        <v>0.02</v>
      </c>
      <c r="J55" s="1234">
        <v>365</v>
      </c>
      <c r="K55" s="1235"/>
      <c r="L55" s="1234">
        <v>7.3</v>
      </c>
      <c r="M55" s="1235"/>
      <c r="N55" s="1237"/>
      <c r="Z55" s="1219"/>
      <c r="AA55" s="1227"/>
      <c r="AC55" s="1185" t="s">
        <v>1845</v>
      </c>
    </row>
    <row r="56" spans="1:32" s="1179" customFormat="1" ht="15">
      <c r="A56" s="1230"/>
      <c r="B56" s="1229" t="s">
        <v>1847</v>
      </c>
      <c r="C56" s="1327" t="s">
        <v>1848</v>
      </c>
      <c r="D56" s="1327"/>
      <c r="E56" s="1327"/>
      <c r="F56" s="1231" t="s">
        <v>1841</v>
      </c>
      <c r="G56" s="1238">
        <v>0.85</v>
      </c>
      <c r="H56" s="1235"/>
      <c r="I56" s="1238">
        <v>0.85</v>
      </c>
      <c r="J56" s="1234">
        <v>0</v>
      </c>
      <c r="K56" s="1235"/>
      <c r="L56" s="1234">
        <v>0</v>
      </c>
      <c r="M56" s="1235"/>
      <c r="N56" s="1237"/>
      <c r="Z56" s="1219"/>
      <c r="AA56" s="1227"/>
      <c r="AC56" s="1185" t="s">
        <v>1848</v>
      </c>
    </row>
    <row r="57" spans="1:32" s="1179" customFormat="1" ht="23.25">
      <c r="A57" s="1230"/>
      <c r="B57" s="1229" t="s">
        <v>1849</v>
      </c>
      <c r="C57" s="1327" t="s">
        <v>1850</v>
      </c>
      <c r="D57" s="1327"/>
      <c r="E57" s="1327"/>
      <c r="F57" s="1231" t="s">
        <v>1851</v>
      </c>
      <c r="G57" s="1238">
        <v>21.65</v>
      </c>
      <c r="H57" s="1235"/>
      <c r="I57" s="1238">
        <v>21.65</v>
      </c>
      <c r="J57" s="1234">
        <v>1</v>
      </c>
      <c r="K57" s="1235"/>
      <c r="L57" s="1234">
        <v>21.65</v>
      </c>
      <c r="M57" s="1235"/>
      <c r="N57" s="1237"/>
      <c r="Z57" s="1219"/>
      <c r="AA57" s="1227"/>
      <c r="AC57" s="1185" t="s">
        <v>1850</v>
      </c>
    </row>
    <row r="58" spans="1:32" s="1179" customFormat="1" ht="15">
      <c r="A58" s="1241"/>
      <c r="B58" s="1229" t="s">
        <v>1820</v>
      </c>
      <c r="C58" s="1327" t="s">
        <v>1852</v>
      </c>
      <c r="D58" s="1327"/>
      <c r="E58" s="1327"/>
      <c r="F58" s="1231"/>
      <c r="G58" s="1235"/>
      <c r="H58" s="1235"/>
      <c r="I58" s="1235"/>
      <c r="J58" s="1236">
        <v>1082.26</v>
      </c>
      <c r="K58" s="1233">
        <v>1.5</v>
      </c>
      <c r="L58" s="1236">
        <v>1623.39</v>
      </c>
      <c r="M58" s="1238">
        <v>26.03</v>
      </c>
      <c r="N58" s="1242">
        <v>42256.84</v>
      </c>
      <c r="Z58" s="1219"/>
      <c r="AA58" s="1227"/>
      <c r="AD58" s="1185" t="s">
        <v>1852</v>
      </c>
    </row>
    <row r="59" spans="1:32" s="1179" customFormat="1" ht="15">
      <c r="A59" s="1241"/>
      <c r="B59" s="1229" t="s">
        <v>1853</v>
      </c>
      <c r="C59" s="1327" t="s">
        <v>1854</v>
      </c>
      <c r="D59" s="1327"/>
      <c r="E59" s="1327"/>
      <c r="F59" s="1231"/>
      <c r="G59" s="1235"/>
      <c r="H59" s="1235"/>
      <c r="I59" s="1235"/>
      <c r="J59" s="1234">
        <v>604.85</v>
      </c>
      <c r="K59" s="1233">
        <v>1.5</v>
      </c>
      <c r="L59" s="1234">
        <v>907.28</v>
      </c>
      <c r="M59" s="1238">
        <v>10.41</v>
      </c>
      <c r="N59" s="1242">
        <v>9444.7800000000007</v>
      </c>
      <c r="Z59" s="1219"/>
      <c r="AA59" s="1227"/>
      <c r="AD59" s="1185" t="s">
        <v>1854</v>
      </c>
    </row>
    <row r="60" spans="1:32" s="1179" customFormat="1" ht="15">
      <c r="A60" s="1241"/>
      <c r="B60" s="1229" t="s">
        <v>1855</v>
      </c>
      <c r="C60" s="1327" t="s">
        <v>1856</v>
      </c>
      <c r="D60" s="1327"/>
      <c r="E60" s="1327"/>
      <c r="F60" s="1231"/>
      <c r="G60" s="1235"/>
      <c r="H60" s="1235"/>
      <c r="I60" s="1235"/>
      <c r="J60" s="1234">
        <v>83.05</v>
      </c>
      <c r="K60" s="1233">
        <v>1.5</v>
      </c>
      <c r="L60" s="1234">
        <v>124.58</v>
      </c>
      <c r="M60" s="1238">
        <v>26.03</v>
      </c>
      <c r="N60" s="1242">
        <v>3242.82</v>
      </c>
      <c r="Z60" s="1219"/>
      <c r="AA60" s="1227"/>
      <c r="AD60" s="1185" t="s">
        <v>1856</v>
      </c>
    </row>
    <row r="61" spans="1:32" s="1179" customFormat="1" ht="15">
      <c r="A61" s="1241"/>
      <c r="B61" s="1229" t="s">
        <v>1857</v>
      </c>
      <c r="C61" s="1327" t="s">
        <v>1858</v>
      </c>
      <c r="D61" s="1327"/>
      <c r="E61" s="1327"/>
      <c r="F61" s="1231"/>
      <c r="G61" s="1235"/>
      <c r="H61" s="1235"/>
      <c r="I61" s="1235"/>
      <c r="J61" s="1234">
        <v>31.13</v>
      </c>
      <c r="K61" s="1235"/>
      <c r="L61" s="1234">
        <v>31.13</v>
      </c>
      <c r="M61" s="1238">
        <v>7.75</v>
      </c>
      <c r="N61" s="1243">
        <v>241.26</v>
      </c>
      <c r="Z61" s="1219"/>
      <c r="AA61" s="1227"/>
      <c r="AD61" s="1185" t="s">
        <v>1858</v>
      </c>
    </row>
    <row r="62" spans="1:32" s="1179" customFormat="1" ht="15">
      <c r="A62" s="1230"/>
      <c r="B62" s="1229"/>
      <c r="C62" s="1327" t="s">
        <v>1859</v>
      </c>
      <c r="D62" s="1327"/>
      <c r="E62" s="1327"/>
      <c r="F62" s="1231" t="s">
        <v>1828</v>
      </c>
      <c r="G62" s="1232">
        <v>106</v>
      </c>
      <c r="H62" s="1233">
        <v>1.5</v>
      </c>
      <c r="I62" s="1232">
        <v>159</v>
      </c>
      <c r="J62" s="1244"/>
      <c r="K62" s="1235"/>
      <c r="L62" s="1244"/>
      <c r="M62" s="1235"/>
      <c r="N62" s="1237"/>
      <c r="Z62" s="1219"/>
      <c r="AA62" s="1227"/>
      <c r="AE62" s="1185" t="s">
        <v>1859</v>
      </c>
    </row>
    <row r="63" spans="1:32" s="1179" customFormat="1" ht="15">
      <c r="A63" s="1230"/>
      <c r="B63" s="1229"/>
      <c r="C63" s="1327" t="s">
        <v>1860</v>
      </c>
      <c r="D63" s="1327"/>
      <c r="E63" s="1327"/>
      <c r="F63" s="1231" t="s">
        <v>1828</v>
      </c>
      <c r="G63" s="1238">
        <v>6.64</v>
      </c>
      <c r="H63" s="1233">
        <v>1.5</v>
      </c>
      <c r="I63" s="1238">
        <v>9.9600000000000009</v>
      </c>
      <c r="J63" s="1244"/>
      <c r="K63" s="1235"/>
      <c r="L63" s="1244"/>
      <c r="M63" s="1235"/>
      <c r="N63" s="1237"/>
      <c r="Z63" s="1219"/>
      <c r="AA63" s="1227"/>
      <c r="AE63" s="1185" t="s">
        <v>1860</v>
      </c>
    </row>
    <row r="64" spans="1:32" s="1179" customFormat="1" ht="15">
      <c r="A64" s="1245"/>
      <c r="B64" s="1229"/>
      <c r="C64" s="1346" t="s">
        <v>1861</v>
      </c>
      <c r="D64" s="1346"/>
      <c r="E64" s="1346"/>
      <c r="F64" s="1246"/>
      <c r="G64" s="1247"/>
      <c r="H64" s="1247"/>
      <c r="I64" s="1247"/>
      <c r="J64" s="1248">
        <v>1718.24</v>
      </c>
      <c r="K64" s="1247"/>
      <c r="L64" s="1248">
        <v>2561.8000000000002</v>
      </c>
      <c r="M64" s="1247"/>
      <c r="N64" s="1249"/>
      <c r="Z64" s="1219"/>
      <c r="AA64" s="1227"/>
      <c r="AF64" s="1185" t="s">
        <v>1861</v>
      </c>
    </row>
    <row r="65" spans="1:36" s="1179" customFormat="1" ht="15">
      <c r="A65" s="1230"/>
      <c r="B65" s="1229"/>
      <c r="C65" s="1327" t="s">
        <v>1862</v>
      </c>
      <c r="D65" s="1327"/>
      <c r="E65" s="1327"/>
      <c r="F65" s="1231"/>
      <c r="G65" s="1235"/>
      <c r="H65" s="1235"/>
      <c r="I65" s="1235"/>
      <c r="J65" s="1244"/>
      <c r="K65" s="1235"/>
      <c r="L65" s="1236">
        <v>1747.97</v>
      </c>
      <c r="M65" s="1235"/>
      <c r="N65" s="1242">
        <v>45499.66</v>
      </c>
      <c r="Z65" s="1219"/>
      <c r="AA65" s="1227"/>
      <c r="AE65" s="1185" t="s">
        <v>1862</v>
      </c>
    </row>
    <row r="66" spans="1:36" s="1179" customFormat="1" ht="23.25">
      <c r="A66" s="1230"/>
      <c r="B66" s="1229" t="s">
        <v>1863</v>
      </c>
      <c r="C66" s="1327" t="s">
        <v>1864</v>
      </c>
      <c r="D66" s="1327"/>
      <c r="E66" s="1327"/>
      <c r="F66" s="1231" t="s">
        <v>632</v>
      </c>
      <c r="G66" s="1232">
        <v>90</v>
      </c>
      <c r="H66" s="1235"/>
      <c r="I66" s="1232">
        <v>90</v>
      </c>
      <c r="J66" s="1244"/>
      <c r="K66" s="1235"/>
      <c r="L66" s="1236">
        <v>1573.17</v>
      </c>
      <c r="M66" s="1235"/>
      <c r="N66" s="1242">
        <v>40949.69</v>
      </c>
      <c r="Z66" s="1219"/>
      <c r="AA66" s="1227"/>
      <c r="AE66" s="1185" t="s">
        <v>1864</v>
      </c>
    </row>
    <row r="67" spans="1:36" s="1179" customFormat="1" ht="23.25">
      <c r="A67" s="1230"/>
      <c r="B67" s="1229" t="s">
        <v>1865</v>
      </c>
      <c r="C67" s="1327" t="s">
        <v>1866</v>
      </c>
      <c r="D67" s="1327"/>
      <c r="E67" s="1327"/>
      <c r="F67" s="1231" t="s">
        <v>632</v>
      </c>
      <c r="G67" s="1232">
        <v>46</v>
      </c>
      <c r="H67" s="1235"/>
      <c r="I67" s="1232">
        <v>46</v>
      </c>
      <c r="J67" s="1244"/>
      <c r="K67" s="1235"/>
      <c r="L67" s="1234">
        <v>804.07</v>
      </c>
      <c r="M67" s="1235"/>
      <c r="N67" s="1242">
        <v>20929.84</v>
      </c>
      <c r="Z67" s="1219"/>
      <c r="AA67" s="1227"/>
      <c r="AE67" s="1185" t="s">
        <v>1866</v>
      </c>
    </row>
    <row r="68" spans="1:36" s="1179" customFormat="1" ht="15">
      <c r="A68" s="1250"/>
      <c r="B68" s="1251"/>
      <c r="C68" s="1345" t="s">
        <v>1867</v>
      </c>
      <c r="D68" s="1345"/>
      <c r="E68" s="1345"/>
      <c r="F68" s="1222"/>
      <c r="G68" s="1223"/>
      <c r="H68" s="1223"/>
      <c r="I68" s="1223"/>
      <c r="J68" s="1225"/>
      <c r="K68" s="1223"/>
      <c r="L68" s="1252">
        <v>4939.04</v>
      </c>
      <c r="M68" s="1247"/>
      <c r="N68" s="1253">
        <v>113822.41</v>
      </c>
      <c r="Z68" s="1219"/>
      <c r="AA68" s="1227"/>
      <c r="AG68" s="1227" t="s">
        <v>1867</v>
      </c>
    </row>
    <row r="69" spans="1:36" s="1179" customFormat="1" ht="34.5">
      <c r="A69" s="1220" t="s">
        <v>1868</v>
      </c>
      <c r="B69" s="1221" t="s">
        <v>1869</v>
      </c>
      <c r="C69" s="1345" t="s">
        <v>1870</v>
      </c>
      <c r="D69" s="1345"/>
      <c r="E69" s="1345"/>
      <c r="F69" s="1222" t="s">
        <v>1823</v>
      </c>
      <c r="G69" s="1223"/>
      <c r="H69" s="1223"/>
      <c r="I69" s="1224">
        <v>1</v>
      </c>
      <c r="J69" s="1252">
        <v>158688.24</v>
      </c>
      <c r="K69" s="1223"/>
      <c r="L69" s="1252">
        <v>158688.24</v>
      </c>
      <c r="M69" s="1254">
        <v>5.26</v>
      </c>
      <c r="N69" s="1253">
        <v>834700.14</v>
      </c>
      <c r="Z69" s="1219"/>
      <c r="AA69" s="1227" t="s">
        <v>1870</v>
      </c>
      <c r="AG69" s="1227"/>
    </row>
    <row r="70" spans="1:36" s="1179" customFormat="1" ht="15">
      <c r="A70" s="1250"/>
      <c r="B70" s="1251"/>
      <c r="C70" s="1327" t="s">
        <v>1871</v>
      </c>
      <c r="D70" s="1327"/>
      <c r="E70" s="1327"/>
      <c r="F70" s="1327"/>
      <c r="G70" s="1327"/>
      <c r="H70" s="1327"/>
      <c r="I70" s="1327"/>
      <c r="J70" s="1327"/>
      <c r="K70" s="1327"/>
      <c r="L70" s="1327"/>
      <c r="M70" s="1327"/>
      <c r="N70" s="1338"/>
      <c r="Z70" s="1219"/>
      <c r="AA70" s="1227"/>
      <c r="AG70" s="1227"/>
      <c r="AH70" s="1185" t="s">
        <v>1871</v>
      </c>
    </row>
    <row r="71" spans="1:36" s="1179" customFormat="1" ht="15">
      <c r="A71" s="1250"/>
      <c r="B71" s="1251"/>
      <c r="C71" s="1345" t="s">
        <v>1867</v>
      </c>
      <c r="D71" s="1345"/>
      <c r="E71" s="1345"/>
      <c r="F71" s="1222"/>
      <c r="G71" s="1223"/>
      <c r="H71" s="1223"/>
      <c r="I71" s="1223"/>
      <c r="J71" s="1225"/>
      <c r="K71" s="1223"/>
      <c r="L71" s="1252">
        <v>158688.24</v>
      </c>
      <c r="M71" s="1247"/>
      <c r="N71" s="1253">
        <v>834700.14</v>
      </c>
      <c r="Z71" s="1219"/>
      <c r="AA71" s="1227"/>
      <c r="AG71" s="1227" t="s">
        <v>1867</v>
      </c>
    </row>
    <row r="72" spans="1:36" s="1179" customFormat="1" ht="0" hidden="1" customHeight="1">
      <c r="A72" s="1255"/>
      <c r="B72" s="1256"/>
      <c r="C72" s="1256"/>
      <c r="D72" s="1256"/>
      <c r="E72" s="1256"/>
      <c r="F72" s="1257"/>
      <c r="G72" s="1257"/>
      <c r="H72" s="1257"/>
      <c r="I72" s="1257"/>
      <c r="J72" s="1258"/>
      <c r="K72" s="1257"/>
      <c r="L72" s="1258"/>
      <c r="M72" s="1235"/>
      <c r="N72" s="1258"/>
      <c r="Z72" s="1219"/>
      <c r="AA72" s="1227"/>
      <c r="AG72" s="1227"/>
    </row>
    <row r="73" spans="1:36" s="1179" customFormat="1" ht="13.5" hidden="1" customHeight="1">
      <c r="B73" s="1259"/>
      <c r="C73" s="1259"/>
      <c r="D73" s="1259"/>
      <c r="E73" s="1259"/>
      <c r="F73" s="1259"/>
      <c r="G73" s="1259"/>
      <c r="H73" s="1259"/>
      <c r="I73" s="1259"/>
      <c r="J73" s="1259"/>
      <c r="K73" s="1259"/>
      <c r="L73" s="1260"/>
      <c r="M73" s="1260"/>
      <c r="N73" s="1260"/>
    </row>
    <row r="74" spans="1:36" s="1179" customFormat="1" ht="15">
      <c r="A74" s="1261"/>
      <c r="B74" s="1262"/>
      <c r="C74" s="1345" t="s">
        <v>1872</v>
      </c>
      <c r="D74" s="1345"/>
      <c r="E74" s="1345"/>
      <c r="F74" s="1345"/>
      <c r="G74" s="1345"/>
      <c r="H74" s="1345"/>
      <c r="I74" s="1345"/>
      <c r="J74" s="1345"/>
      <c r="K74" s="1345"/>
      <c r="L74" s="1263"/>
      <c r="M74" s="1264"/>
      <c r="N74" s="1265"/>
      <c r="AI74" s="1227" t="s">
        <v>1872</v>
      </c>
    </row>
    <row r="75" spans="1:36" s="1179" customFormat="1" ht="16.5">
      <c r="A75" s="1266"/>
      <c r="B75" s="1229"/>
      <c r="C75" s="1327" t="s">
        <v>1873</v>
      </c>
      <c r="D75" s="1327"/>
      <c r="E75" s="1327"/>
      <c r="F75" s="1327"/>
      <c r="G75" s="1327"/>
      <c r="H75" s="1327"/>
      <c r="I75" s="1327"/>
      <c r="J75" s="1327"/>
      <c r="K75" s="1327"/>
      <c r="L75" s="1267">
        <v>2561.8000000000002</v>
      </c>
      <c r="M75" s="1268"/>
      <c r="N75" s="1269">
        <v>51942.879999999997</v>
      </c>
      <c r="O75" s="1270"/>
      <c r="P75" s="1270"/>
      <c r="Q75" s="1270"/>
      <c r="AI75" s="1227"/>
      <c r="AJ75" s="1185" t="s">
        <v>1873</v>
      </c>
    </row>
    <row r="76" spans="1:36" s="1179" customFormat="1" ht="16.5">
      <c r="A76" s="1266"/>
      <c r="B76" s="1229"/>
      <c r="C76" s="1327" t="s">
        <v>1874</v>
      </c>
      <c r="D76" s="1327"/>
      <c r="E76" s="1327"/>
      <c r="F76" s="1327"/>
      <c r="G76" s="1327"/>
      <c r="H76" s="1327"/>
      <c r="I76" s="1327"/>
      <c r="J76" s="1327"/>
      <c r="K76" s="1327"/>
      <c r="L76" s="1271"/>
      <c r="M76" s="1268"/>
      <c r="N76" s="1272"/>
      <c r="O76" s="1270"/>
      <c r="P76" s="1270"/>
      <c r="Q76" s="1270"/>
      <c r="AI76" s="1227"/>
      <c r="AJ76" s="1185" t="s">
        <v>1874</v>
      </c>
    </row>
    <row r="77" spans="1:36" s="1179" customFormat="1" ht="16.5">
      <c r="A77" s="1266"/>
      <c r="B77" s="1229"/>
      <c r="C77" s="1327" t="s">
        <v>1875</v>
      </c>
      <c r="D77" s="1327"/>
      <c r="E77" s="1327"/>
      <c r="F77" s="1327"/>
      <c r="G77" s="1327"/>
      <c r="H77" s="1327"/>
      <c r="I77" s="1327"/>
      <c r="J77" s="1327"/>
      <c r="K77" s="1327"/>
      <c r="L77" s="1267">
        <v>1623.39</v>
      </c>
      <c r="M77" s="1268"/>
      <c r="N77" s="1269">
        <v>42256.84</v>
      </c>
      <c r="O77" s="1270"/>
      <c r="P77" s="1270"/>
      <c r="Q77" s="1270"/>
      <c r="AI77" s="1227"/>
      <c r="AJ77" s="1185" t="s">
        <v>1875</v>
      </c>
    </row>
    <row r="78" spans="1:36" s="1179" customFormat="1" ht="16.5">
      <c r="A78" s="1266"/>
      <c r="B78" s="1229"/>
      <c r="C78" s="1327" t="s">
        <v>1876</v>
      </c>
      <c r="D78" s="1327"/>
      <c r="E78" s="1327"/>
      <c r="F78" s="1327"/>
      <c r="G78" s="1327"/>
      <c r="H78" s="1327"/>
      <c r="I78" s="1327"/>
      <c r="J78" s="1327"/>
      <c r="K78" s="1327"/>
      <c r="L78" s="1273">
        <v>907.28</v>
      </c>
      <c r="M78" s="1268"/>
      <c r="N78" s="1269">
        <v>9444.7800000000007</v>
      </c>
      <c r="O78" s="1270"/>
      <c r="P78" s="1270"/>
      <c r="Q78" s="1270"/>
      <c r="AI78" s="1227"/>
      <c r="AJ78" s="1185" t="s">
        <v>1876</v>
      </c>
    </row>
    <row r="79" spans="1:36" s="1179" customFormat="1" ht="16.5">
      <c r="A79" s="1266"/>
      <c r="B79" s="1229"/>
      <c r="C79" s="1327" t="s">
        <v>1877</v>
      </c>
      <c r="D79" s="1327"/>
      <c r="E79" s="1327"/>
      <c r="F79" s="1327"/>
      <c r="G79" s="1327"/>
      <c r="H79" s="1327"/>
      <c r="I79" s="1327"/>
      <c r="J79" s="1327"/>
      <c r="K79" s="1327"/>
      <c r="L79" s="1273">
        <v>124.58</v>
      </c>
      <c r="M79" s="1268"/>
      <c r="N79" s="1269">
        <v>3242.82</v>
      </c>
      <c r="O79" s="1270"/>
      <c r="P79" s="1270"/>
      <c r="Q79" s="1270"/>
      <c r="AI79" s="1227"/>
      <c r="AJ79" s="1185" t="s">
        <v>1877</v>
      </c>
    </row>
    <row r="80" spans="1:36" s="1179" customFormat="1" ht="16.5">
      <c r="A80" s="1266"/>
      <c r="B80" s="1229"/>
      <c r="C80" s="1327" t="s">
        <v>1878</v>
      </c>
      <c r="D80" s="1327"/>
      <c r="E80" s="1327"/>
      <c r="F80" s="1327"/>
      <c r="G80" s="1327"/>
      <c r="H80" s="1327"/>
      <c r="I80" s="1327"/>
      <c r="J80" s="1327"/>
      <c r="K80" s="1327"/>
      <c r="L80" s="1273">
        <v>31.13</v>
      </c>
      <c r="M80" s="1268"/>
      <c r="N80" s="1274">
        <v>241.26</v>
      </c>
      <c r="O80" s="1270"/>
      <c r="P80" s="1270"/>
      <c r="Q80" s="1270"/>
      <c r="AI80" s="1227"/>
      <c r="AJ80" s="1185" t="s">
        <v>1878</v>
      </c>
    </row>
    <row r="81" spans="1:37" s="1179" customFormat="1" ht="16.5">
      <c r="A81" s="1266"/>
      <c r="B81" s="1229"/>
      <c r="C81" s="1327" t="s">
        <v>1879</v>
      </c>
      <c r="D81" s="1327"/>
      <c r="E81" s="1327"/>
      <c r="F81" s="1327"/>
      <c r="G81" s="1327"/>
      <c r="H81" s="1327"/>
      <c r="I81" s="1327"/>
      <c r="J81" s="1327"/>
      <c r="K81" s="1327"/>
      <c r="L81" s="1267">
        <v>4939.04</v>
      </c>
      <c r="M81" s="1268"/>
      <c r="N81" s="1269">
        <v>113822.41</v>
      </c>
      <c r="O81" s="1270"/>
      <c r="P81" s="1270"/>
      <c r="Q81" s="1270"/>
      <c r="AI81" s="1227"/>
      <c r="AJ81" s="1185" t="s">
        <v>1879</v>
      </c>
    </row>
    <row r="82" spans="1:37" s="1179" customFormat="1" ht="16.5">
      <c r="A82" s="1266"/>
      <c r="B82" s="1229"/>
      <c r="C82" s="1327" t="s">
        <v>1874</v>
      </c>
      <c r="D82" s="1327"/>
      <c r="E82" s="1327"/>
      <c r="F82" s="1327"/>
      <c r="G82" s="1327"/>
      <c r="H82" s="1327"/>
      <c r="I82" s="1327"/>
      <c r="J82" s="1327"/>
      <c r="K82" s="1327"/>
      <c r="L82" s="1271"/>
      <c r="M82" s="1268"/>
      <c r="N82" s="1272"/>
      <c r="O82" s="1270"/>
      <c r="P82" s="1270"/>
      <c r="Q82" s="1270"/>
      <c r="AI82" s="1227"/>
      <c r="AJ82" s="1185" t="s">
        <v>1874</v>
      </c>
    </row>
    <row r="83" spans="1:37" s="1179" customFormat="1" ht="16.5">
      <c r="A83" s="1266"/>
      <c r="B83" s="1229"/>
      <c r="C83" s="1327" t="s">
        <v>1880</v>
      </c>
      <c r="D83" s="1327"/>
      <c r="E83" s="1327"/>
      <c r="F83" s="1327"/>
      <c r="G83" s="1327"/>
      <c r="H83" s="1327"/>
      <c r="I83" s="1327"/>
      <c r="J83" s="1327"/>
      <c r="K83" s="1327"/>
      <c r="L83" s="1267">
        <v>1623.39</v>
      </c>
      <c r="M83" s="1268"/>
      <c r="N83" s="1269">
        <v>42256.84</v>
      </c>
      <c r="O83" s="1270"/>
      <c r="P83" s="1270"/>
      <c r="Q83" s="1270"/>
      <c r="AI83" s="1227"/>
      <c r="AJ83" s="1185" t="s">
        <v>1880</v>
      </c>
    </row>
    <row r="84" spans="1:37" s="1179" customFormat="1" ht="16.5">
      <c r="A84" s="1266"/>
      <c r="B84" s="1229"/>
      <c r="C84" s="1327" t="s">
        <v>1881</v>
      </c>
      <c r="D84" s="1327"/>
      <c r="E84" s="1327"/>
      <c r="F84" s="1327"/>
      <c r="G84" s="1327"/>
      <c r="H84" s="1327"/>
      <c r="I84" s="1327"/>
      <c r="J84" s="1327"/>
      <c r="K84" s="1327"/>
      <c r="L84" s="1273">
        <v>907.28</v>
      </c>
      <c r="M84" s="1268"/>
      <c r="N84" s="1269">
        <v>9444.7800000000007</v>
      </c>
      <c r="O84" s="1270"/>
      <c r="P84" s="1270"/>
      <c r="Q84" s="1270"/>
      <c r="AI84" s="1227"/>
      <c r="AJ84" s="1185" t="s">
        <v>1881</v>
      </c>
    </row>
    <row r="85" spans="1:37" s="1179" customFormat="1" ht="16.5">
      <c r="A85" s="1266"/>
      <c r="B85" s="1229"/>
      <c r="C85" s="1327" t="s">
        <v>1882</v>
      </c>
      <c r="D85" s="1327"/>
      <c r="E85" s="1327"/>
      <c r="F85" s="1327"/>
      <c r="G85" s="1327"/>
      <c r="H85" s="1327"/>
      <c r="I85" s="1327"/>
      <c r="J85" s="1327"/>
      <c r="K85" s="1327"/>
      <c r="L85" s="1273">
        <v>124.58</v>
      </c>
      <c r="M85" s="1268"/>
      <c r="N85" s="1269">
        <v>3242.82</v>
      </c>
      <c r="O85" s="1270"/>
      <c r="P85" s="1270"/>
      <c r="Q85" s="1270"/>
      <c r="AI85" s="1227"/>
      <c r="AJ85" s="1185" t="s">
        <v>1882</v>
      </c>
    </row>
    <row r="86" spans="1:37" s="1179" customFormat="1" ht="16.5">
      <c r="A86" s="1266"/>
      <c r="B86" s="1229"/>
      <c r="C86" s="1327" t="s">
        <v>1883</v>
      </c>
      <c r="D86" s="1327"/>
      <c r="E86" s="1327"/>
      <c r="F86" s="1327"/>
      <c r="G86" s="1327"/>
      <c r="H86" s="1327"/>
      <c r="I86" s="1327"/>
      <c r="J86" s="1327"/>
      <c r="K86" s="1327"/>
      <c r="L86" s="1273">
        <v>31.13</v>
      </c>
      <c r="M86" s="1268"/>
      <c r="N86" s="1274">
        <v>241.26</v>
      </c>
      <c r="O86" s="1270"/>
      <c r="P86" s="1270"/>
      <c r="Q86" s="1270"/>
      <c r="AI86" s="1227"/>
      <c r="AJ86" s="1185" t="s">
        <v>1883</v>
      </c>
    </row>
    <row r="87" spans="1:37" s="1179" customFormat="1" ht="16.5">
      <c r="A87" s="1266"/>
      <c r="B87" s="1229"/>
      <c r="C87" s="1327" t="s">
        <v>1884</v>
      </c>
      <c r="D87" s="1327"/>
      <c r="E87" s="1327"/>
      <c r="F87" s="1327"/>
      <c r="G87" s="1327"/>
      <c r="H87" s="1327"/>
      <c r="I87" s="1327"/>
      <c r="J87" s="1327"/>
      <c r="K87" s="1327"/>
      <c r="L87" s="1267">
        <v>1573.17</v>
      </c>
      <c r="M87" s="1268"/>
      <c r="N87" s="1269">
        <v>40949.69</v>
      </c>
      <c r="O87" s="1270"/>
      <c r="P87" s="1270"/>
      <c r="Q87" s="1270"/>
      <c r="AI87" s="1227"/>
      <c r="AJ87" s="1185" t="s">
        <v>1884</v>
      </c>
    </row>
    <row r="88" spans="1:37" s="1179" customFormat="1" ht="16.5">
      <c r="A88" s="1266"/>
      <c r="B88" s="1229"/>
      <c r="C88" s="1327" t="s">
        <v>1885</v>
      </c>
      <c r="D88" s="1327"/>
      <c r="E88" s="1327"/>
      <c r="F88" s="1327"/>
      <c r="G88" s="1327"/>
      <c r="H88" s="1327"/>
      <c r="I88" s="1327"/>
      <c r="J88" s="1327"/>
      <c r="K88" s="1327"/>
      <c r="L88" s="1273">
        <v>804.07</v>
      </c>
      <c r="M88" s="1268"/>
      <c r="N88" s="1269">
        <v>20929.84</v>
      </c>
      <c r="O88" s="1270"/>
      <c r="P88" s="1270"/>
      <c r="Q88" s="1270"/>
      <c r="AI88" s="1227"/>
      <c r="AJ88" s="1185" t="s">
        <v>1885</v>
      </c>
    </row>
    <row r="89" spans="1:37" s="1179" customFormat="1" ht="16.5">
      <c r="A89" s="1266"/>
      <c r="B89" s="1229"/>
      <c r="C89" s="1327" t="s">
        <v>1886</v>
      </c>
      <c r="D89" s="1327"/>
      <c r="E89" s="1327"/>
      <c r="F89" s="1327"/>
      <c r="G89" s="1327"/>
      <c r="H89" s="1327"/>
      <c r="I89" s="1327"/>
      <c r="J89" s="1327"/>
      <c r="K89" s="1327"/>
      <c r="L89" s="1267">
        <v>158688.24</v>
      </c>
      <c r="M89" s="1268"/>
      <c r="N89" s="1269">
        <v>834700.14</v>
      </c>
      <c r="O89" s="1270"/>
      <c r="P89" s="1270"/>
      <c r="Q89" s="1270"/>
      <c r="AI89" s="1227"/>
      <c r="AJ89" s="1185" t="s">
        <v>1886</v>
      </c>
    </row>
    <row r="90" spans="1:37" s="1179" customFormat="1" ht="16.5">
      <c r="A90" s="1266"/>
      <c r="B90" s="1229"/>
      <c r="C90" s="1327" t="s">
        <v>1887</v>
      </c>
      <c r="D90" s="1327"/>
      <c r="E90" s="1327"/>
      <c r="F90" s="1327"/>
      <c r="G90" s="1327"/>
      <c r="H90" s="1327"/>
      <c r="I90" s="1327"/>
      <c r="J90" s="1327"/>
      <c r="K90" s="1327"/>
      <c r="L90" s="1267">
        <v>158688.24</v>
      </c>
      <c r="M90" s="1268"/>
      <c r="N90" s="1269">
        <v>834700.14</v>
      </c>
      <c r="O90" s="1270"/>
      <c r="P90" s="1270"/>
      <c r="Q90" s="1270"/>
      <c r="AI90" s="1227"/>
      <c r="AJ90" s="1185" t="s">
        <v>1887</v>
      </c>
    </row>
    <row r="91" spans="1:37" s="1179" customFormat="1" ht="16.5">
      <c r="A91" s="1266"/>
      <c r="B91" s="1229"/>
      <c r="C91" s="1327" t="s">
        <v>1888</v>
      </c>
      <c r="D91" s="1327"/>
      <c r="E91" s="1327"/>
      <c r="F91" s="1327"/>
      <c r="G91" s="1327"/>
      <c r="H91" s="1327"/>
      <c r="I91" s="1327"/>
      <c r="J91" s="1327"/>
      <c r="K91" s="1327"/>
      <c r="L91" s="1267">
        <v>1747.97</v>
      </c>
      <c r="M91" s="1268"/>
      <c r="N91" s="1269">
        <v>45499.66</v>
      </c>
      <c r="O91" s="1270"/>
      <c r="P91" s="1270"/>
      <c r="Q91" s="1270"/>
      <c r="AI91" s="1227"/>
      <c r="AJ91" s="1185" t="s">
        <v>1888</v>
      </c>
    </row>
    <row r="92" spans="1:37" s="1179" customFormat="1" ht="16.5">
      <c r="A92" s="1266"/>
      <c r="B92" s="1229"/>
      <c r="C92" s="1327" t="s">
        <v>1889</v>
      </c>
      <c r="D92" s="1327"/>
      <c r="E92" s="1327"/>
      <c r="F92" s="1327"/>
      <c r="G92" s="1327"/>
      <c r="H92" s="1327"/>
      <c r="I92" s="1327"/>
      <c r="J92" s="1327"/>
      <c r="K92" s="1327"/>
      <c r="L92" s="1267">
        <v>1573.17</v>
      </c>
      <c r="M92" s="1268"/>
      <c r="N92" s="1269">
        <v>40949.69</v>
      </c>
      <c r="O92" s="1270"/>
      <c r="P92" s="1270"/>
      <c r="Q92" s="1270"/>
      <c r="AI92" s="1227"/>
      <c r="AJ92" s="1185" t="s">
        <v>1889</v>
      </c>
    </row>
    <row r="93" spans="1:37" s="1179" customFormat="1" ht="16.5">
      <c r="A93" s="1266"/>
      <c r="B93" s="1229"/>
      <c r="C93" s="1327" t="s">
        <v>1890</v>
      </c>
      <c r="D93" s="1327"/>
      <c r="E93" s="1327"/>
      <c r="F93" s="1327"/>
      <c r="G93" s="1327"/>
      <c r="H93" s="1327"/>
      <c r="I93" s="1327"/>
      <c r="J93" s="1327"/>
      <c r="K93" s="1327"/>
      <c r="L93" s="1273">
        <v>804.07</v>
      </c>
      <c r="M93" s="1268"/>
      <c r="N93" s="1269">
        <v>20929.84</v>
      </c>
      <c r="O93" s="1270"/>
      <c r="P93" s="1270"/>
      <c r="Q93" s="1270"/>
      <c r="AI93" s="1227"/>
      <c r="AJ93" s="1185" t="s">
        <v>1890</v>
      </c>
    </row>
    <row r="94" spans="1:37" s="1179" customFormat="1" ht="16.5">
      <c r="A94" s="1266"/>
      <c r="B94" s="1275"/>
      <c r="C94" s="1348" t="s">
        <v>1891</v>
      </c>
      <c r="D94" s="1348"/>
      <c r="E94" s="1348"/>
      <c r="F94" s="1348"/>
      <c r="G94" s="1348"/>
      <c r="H94" s="1348"/>
      <c r="I94" s="1348"/>
      <c r="J94" s="1348"/>
      <c r="K94" s="1348"/>
      <c r="L94" s="1276">
        <v>163627.28</v>
      </c>
      <c r="M94" s="1277"/>
      <c r="N94" s="1278">
        <v>948522.55</v>
      </c>
      <c r="O94" s="1270"/>
      <c r="P94" s="1270"/>
      <c r="Q94" s="1270"/>
      <c r="AI94" s="1227"/>
      <c r="AK94" s="1227" t="s">
        <v>1891</v>
      </c>
    </row>
    <row r="95" spans="1:37" s="1179" customFormat="1" ht="1.5" customHeight="1">
      <c r="B95" s="1258"/>
      <c r="C95" s="1256"/>
      <c r="D95" s="1256"/>
      <c r="E95" s="1256"/>
      <c r="F95" s="1256"/>
      <c r="G95" s="1256"/>
      <c r="H95" s="1256"/>
      <c r="I95" s="1256"/>
      <c r="J95" s="1256"/>
      <c r="K95" s="1256"/>
      <c r="L95" s="1276"/>
      <c r="M95" s="1279"/>
      <c r="N95" s="1280"/>
    </row>
    <row r="96" spans="1:37" s="1179" customFormat="1" ht="44.25" customHeight="1">
      <c r="A96" s="1281"/>
      <c r="B96" s="1282"/>
      <c r="C96" s="1282"/>
      <c r="D96" s="1282"/>
      <c r="E96" s="1282"/>
      <c r="F96" s="1282"/>
      <c r="G96" s="1282"/>
      <c r="H96" s="1282"/>
      <c r="I96" s="1282"/>
      <c r="J96" s="1282"/>
      <c r="K96" s="1282"/>
      <c r="L96" s="1282"/>
      <c r="M96" s="1282"/>
      <c r="N96" s="1282"/>
    </row>
    <row r="97" spans="1:37" s="1204" customFormat="1" ht="12.75" customHeight="1">
      <c r="A97" s="1182"/>
      <c r="B97" s="1283" t="s">
        <v>1892</v>
      </c>
      <c r="C97" s="1349"/>
      <c r="D97" s="1349"/>
      <c r="E97" s="1349"/>
      <c r="F97" s="1349"/>
      <c r="G97" s="1349"/>
      <c r="H97" s="1349"/>
      <c r="I97" s="1349"/>
      <c r="J97" s="1349"/>
      <c r="K97" s="1349"/>
      <c r="L97" s="1349"/>
      <c r="T97" s="1193"/>
      <c r="U97" s="1193"/>
      <c r="V97" s="1193"/>
      <c r="W97" s="1193"/>
      <c r="X97" s="1193"/>
      <c r="Y97" s="1193"/>
      <c r="Z97" s="1193"/>
      <c r="AA97" s="1193"/>
      <c r="AB97" s="1193"/>
      <c r="AC97" s="1193"/>
      <c r="AD97" s="1193"/>
      <c r="AE97" s="1193"/>
      <c r="AF97" s="1193"/>
      <c r="AG97" s="1193"/>
      <c r="AH97" s="1193"/>
      <c r="AI97" s="1193"/>
      <c r="AJ97" s="1193"/>
      <c r="AK97" s="1193"/>
    </row>
    <row r="98" spans="1:37" s="1204" customFormat="1" ht="13.5" customHeight="1">
      <c r="A98" s="1182"/>
      <c r="B98" s="1284"/>
      <c r="C98" s="1347" t="s">
        <v>1893</v>
      </c>
      <c r="D98" s="1347"/>
      <c r="E98" s="1347"/>
      <c r="F98" s="1347"/>
      <c r="G98" s="1347"/>
      <c r="H98" s="1347"/>
      <c r="I98" s="1347"/>
      <c r="J98" s="1347"/>
      <c r="K98" s="1347"/>
      <c r="L98" s="1347"/>
      <c r="T98" s="1193"/>
      <c r="U98" s="1193"/>
      <c r="V98" s="1193"/>
      <c r="W98" s="1193"/>
      <c r="X98" s="1193"/>
      <c r="Y98" s="1193"/>
      <c r="Z98" s="1193"/>
      <c r="AA98" s="1193"/>
      <c r="AB98" s="1193"/>
      <c r="AC98" s="1193"/>
      <c r="AD98" s="1193"/>
      <c r="AE98" s="1193"/>
      <c r="AF98" s="1193"/>
      <c r="AG98" s="1193"/>
      <c r="AH98" s="1193"/>
      <c r="AI98" s="1193"/>
      <c r="AJ98" s="1193"/>
      <c r="AK98" s="1193"/>
    </row>
    <row r="99" spans="1:37" s="1204" customFormat="1" ht="13.5" customHeight="1">
      <c r="A99" s="1182"/>
      <c r="B99" s="1283" t="s">
        <v>1894</v>
      </c>
      <c r="C99" s="1349"/>
      <c r="D99" s="1349"/>
      <c r="E99" s="1349"/>
      <c r="F99" s="1349"/>
      <c r="G99" s="1349"/>
      <c r="H99" s="1349"/>
      <c r="I99" s="1349"/>
      <c r="J99" s="1349"/>
      <c r="K99" s="1349"/>
      <c r="L99" s="1349"/>
      <c r="T99" s="1193"/>
      <c r="U99" s="1193"/>
      <c r="V99" s="1193"/>
      <c r="W99" s="1193"/>
      <c r="X99" s="1193"/>
      <c r="Y99" s="1193"/>
      <c r="Z99" s="1193"/>
      <c r="AA99" s="1193"/>
      <c r="AB99" s="1193"/>
      <c r="AC99" s="1193"/>
      <c r="AD99" s="1193"/>
      <c r="AE99" s="1193"/>
      <c r="AF99" s="1193"/>
      <c r="AG99" s="1193"/>
      <c r="AH99" s="1193"/>
      <c r="AI99" s="1193"/>
      <c r="AJ99" s="1193"/>
      <c r="AK99" s="1193"/>
    </row>
    <row r="100" spans="1:37" s="1204" customFormat="1" ht="13.5" customHeight="1">
      <c r="A100" s="1182"/>
      <c r="C100" s="1347" t="s">
        <v>1893</v>
      </c>
      <c r="D100" s="1347"/>
      <c r="E100" s="1347"/>
      <c r="F100" s="1347"/>
      <c r="G100" s="1347"/>
      <c r="H100" s="1347"/>
      <c r="I100" s="1347"/>
      <c r="J100" s="1347"/>
      <c r="K100" s="1347"/>
      <c r="L100" s="1347"/>
      <c r="T100" s="1193"/>
      <c r="U100" s="1193"/>
      <c r="V100" s="1193"/>
      <c r="W100" s="1193"/>
      <c r="X100" s="1193"/>
      <c r="Y100" s="1193"/>
      <c r="Z100" s="1193"/>
      <c r="AA100" s="1193"/>
      <c r="AB100" s="1193"/>
      <c r="AC100" s="1193"/>
      <c r="AD100" s="1193"/>
      <c r="AE100" s="1193"/>
      <c r="AF100" s="1193"/>
      <c r="AG100" s="1193"/>
      <c r="AH100" s="1193"/>
      <c r="AI100" s="1193"/>
      <c r="AJ100" s="1193"/>
      <c r="AK100" s="1193"/>
    </row>
    <row r="101" spans="1:37" s="1179" customFormat="1" ht="21" customHeight="1"/>
    <row r="102" spans="1:37" s="1204" customFormat="1" ht="22.5" customHeight="1">
      <c r="A102" s="1327" t="s">
        <v>1895</v>
      </c>
      <c r="B102" s="1327"/>
      <c r="C102" s="1327"/>
      <c r="D102" s="1327"/>
      <c r="E102" s="1327"/>
      <c r="F102" s="1327"/>
      <c r="G102" s="1327"/>
      <c r="H102" s="1327"/>
      <c r="I102" s="1327"/>
      <c r="J102" s="1327"/>
      <c r="K102" s="1327"/>
      <c r="L102" s="1327"/>
      <c r="M102" s="1327"/>
      <c r="N102" s="1327"/>
      <c r="O102" s="1259"/>
      <c r="P102" s="1259"/>
      <c r="Q102" s="1179"/>
      <c r="R102" s="1179"/>
      <c r="S102" s="1179"/>
      <c r="T102" s="1193"/>
      <c r="U102" s="1193"/>
      <c r="V102" s="1193"/>
      <c r="W102" s="1193"/>
      <c r="X102" s="1193"/>
      <c r="Y102" s="1193"/>
      <c r="Z102" s="1193"/>
      <c r="AA102" s="1193"/>
      <c r="AB102" s="1193"/>
      <c r="AC102" s="1193"/>
      <c r="AD102" s="1193"/>
      <c r="AE102" s="1193"/>
      <c r="AF102" s="1193"/>
      <c r="AG102" s="1193"/>
      <c r="AH102" s="1193"/>
      <c r="AI102" s="1193"/>
      <c r="AJ102" s="1193"/>
      <c r="AK102" s="1193"/>
    </row>
    <row r="103" spans="1:37" s="1204" customFormat="1" ht="12.75" customHeight="1">
      <c r="A103" s="1327" t="s">
        <v>1896</v>
      </c>
      <c r="B103" s="1327"/>
      <c r="C103" s="1327"/>
      <c r="D103" s="1327"/>
      <c r="E103" s="1327"/>
      <c r="F103" s="1327"/>
      <c r="G103" s="1327"/>
      <c r="H103" s="1327"/>
      <c r="I103" s="1327"/>
      <c r="J103" s="1327"/>
      <c r="K103" s="1327"/>
      <c r="L103" s="1327"/>
      <c r="M103" s="1327"/>
      <c r="N103" s="1327"/>
      <c r="O103" s="1259"/>
      <c r="P103" s="1259"/>
      <c r="Q103" s="1179"/>
      <c r="R103" s="1179"/>
      <c r="S103" s="1179"/>
      <c r="T103" s="1193"/>
      <c r="U103" s="1193"/>
      <c r="V103" s="1193"/>
      <c r="W103" s="1193"/>
      <c r="X103" s="1193"/>
      <c r="Y103" s="1193"/>
      <c r="Z103" s="1193"/>
      <c r="AA103" s="1193"/>
      <c r="AB103" s="1193"/>
      <c r="AC103" s="1193"/>
      <c r="AD103" s="1193"/>
      <c r="AE103" s="1193"/>
      <c r="AF103" s="1193"/>
      <c r="AG103" s="1193"/>
      <c r="AH103" s="1193"/>
      <c r="AI103" s="1193"/>
      <c r="AJ103" s="1193"/>
      <c r="AK103" s="1193"/>
    </row>
    <row r="104" spans="1:37" s="1204" customFormat="1" ht="12.75" customHeight="1">
      <c r="A104" s="1327" t="s">
        <v>1897</v>
      </c>
      <c r="B104" s="1327"/>
      <c r="C104" s="1327"/>
      <c r="D104" s="1327"/>
      <c r="E104" s="1327"/>
      <c r="F104" s="1327"/>
      <c r="G104" s="1327"/>
      <c r="H104" s="1327"/>
      <c r="I104" s="1327"/>
      <c r="J104" s="1327"/>
      <c r="K104" s="1327"/>
      <c r="L104" s="1327"/>
      <c r="M104" s="1327"/>
      <c r="N104" s="1327"/>
      <c r="O104" s="1259"/>
      <c r="P104" s="1259"/>
      <c r="Q104" s="1179"/>
      <c r="R104" s="1179"/>
      <c r="S104" s="1179"/>
      <c r="T104" s="1193"/>
      <c r="U104" s="1193"/>
      <c r="V104" s="1193"/>
      <c r="W104" s="1193"/>
      <c r="X104" s="1193"/>
      <c r="Y104" s="1193"/>
      <c r="Z104" s="1193"/>
      <c r="AA104" s="1193"/>
      <c r="AB104" s="1193"/>
      <c r="AC104" s="1193"/>
      <c r="AD104" s="1193"/>
      <c r="AE104" s="1193"/>
      <c r="AF104" s="1193"/>
      <c r="AG104" s="1193"/>
      <c r="AH104" s="1193"/>
      <c r="AI104" s="1193"/>
      <c r="AJ104" s="1193"/>
      <c r="AK104" s="1193"/>
    </row>
    <row r="105" spans="1:37" s="1204" customFormat="1" ht="19.5" customHeight="1">
      <c r="A105" s="1285"/>
      <c r="B105" s="1285"/>
      <c r="C105" s="1285"/>
      <c r="D105" s="1285"/>
      <c r="E105" s="1285"/>
      <c r="F105" s="1285"/>
      <c r="G105" s="1285"/>
      <c r="H105" s="1285"/>
      <c r="I105" s="1285"/>
      <c r="J105" s="1285"/>
      <c r="K105" s="1285"/>
      <c r="L105" s="1285"/>
      <c r="M105" s="1285"/>
      <c r="N105" s="1285"/>
      <c r="O105" s="1259"/>
      <c r="P105" s="1259"/>
      <c r="Q105" s="1179"/>
      <c r="R105" s="1179"/>
      <c r="S105" s="1179"/>
      <c r="T105" s="1193"/>
      <c r="U105" s="1193"/>
      <c r="V105" s="1193"/>
      <c r="W105" s="1193"/>
      <c r="X105" s="1193"/>
      <c r="Y105" s="1193"/>
      <c r="Z105" s="1193"/>
      <c r="AA105" s="1193"/>
      <c r="AB105" s="1193"/>
      <c r="AC105" s="1193"/>
      <c r="AD105" s="1193"/>
      <c r="AE105" s="1193"/>
      <c r="AF105" s="1193"/>
      <c r="AG105" s="1193"/>
      <c r="AH105" s="1193"/>
      <c r="AI105" s="1193"/>
      <c r="AJ105" s="1193"/>
      <c r="AK105" s="1193"/>
    </row>
    <row r="106" spans="1:37" s="1179" customFormat="1" ht="15">
      <c r="B106" s="1286"/>
      <c r="D106" s="1286"/>
      <c r="F106" s="1286"/>
    </row>
  </sheetData>
  <mergeCells count="94">
    <mergeCell ref="C100:L100"/>
    <mergeCell ref="A102:N102"/>
    <mergeCell ref="A103:N103"/>
    <mergeCell ref="A104:N104"/>
    <mergeCell ref="C92:K92"/>
    <mergeCell ref="C93:K93"/>
    <mergeCell ref="C94:K94"/>
    <mergeCell ref="C97:L97"/>
    <mergeCell ref="C98:L98"/>
    <mergeCell ref="C99:L99"/>
    <mergeCell ref="C91:K91"/>
    <mergeCell ref="C80:K80"/>
    <mergeCell ref="C81:K81"/>
    <mergeCell ref="C82:K82"/>
    <mergeCell ref="C83:K83"/>
    <mergeCell ref="C84:K84"/>
    <mergeCell ref="C85:K85"/>
    <mergeCell ref="C86:K86"/>
    <mergeCell ref="C87:K87"/>
    <mergeCell ref="C88:K88"/>
    <mergeCell ref="C89:K89"/>
    <mergeCell ref="C90:K90"/>
    <mergeCell ref="C79:K79"/>
    <mergeCell ref="C66:E66"/>
    <mergeCell ref="C67:E67"/>
    <mergeCell ref="C68:E68"/>
    <mergeCell ref="C69:E69"/>
    <mergeCell ref="C70:N70"/>
    <mergeCell ref="C71:E71"/>
    <mergeCell ref="C74:K74"/>
    <mergeCell ref="C75:K75"/>
    <mergeCell ref="C76:K76"/>
    <mergeCell ref="C77:K77"/>
    <mergeCell ref="C78:K78"/>
    <mergeCell ref="C46:E46"/>
    <mergeCell ref="C51:E51"/>
    <mergeCell ref="C52:E52"/>
    <mergeCell ref="C65:E65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53:E53"/>
    <mergeCell ref="J41:L42"/>
    <mergeCell ref="M41:M43"/>
    <mergeCell ref="N41:N43"/>
    <mergeCell ref="C44:E44"/>
    <mergeCell ref="A45:N45"/>
    <mergeCell ref="A41:A43"/>
    <mergeCell ref="B41:B43"/>
    <mergeCell ref="C41:E43"/>
    <mergeCell ref="F41:F43"/>
    <mergeCell ref="G41:I42"/>
    <mergeCell ref="C48:E48"/>
    <mergeCell ref="C49:E49"/>
    <mergeCell ref="C50:E50"/>
    <mergeCell ref="L38:M38"/>
    <mergeCell ref="A18:N18"/>
    <mergeCell ref="A19:N19"/>
    <mergeCell ref="A21:N21"/>
    <mergeCell ref="A22:N22"/>
    <mergeCell ref="A23:N23"/>
    <mergeCell ref="A25:N25"/>
    <mergeCell ref="A26:N26"/>
    <mergeCell ref="B28:F28"/>
    <mergeCell ref="B29:F29"/>
    <mergeCell ref="L36:M36"/>
    <mergeCell ref="L37:M37"/>
    <mergeCell ref="C47:N47"/>
    <mergeCell ref="A14:F14"/>
    <mergeCell ref="G14:N14"/>
    <mergeCell ref="A15:F15"/>
    <mergeCell ref="G15:N15"/>
    <mergeCell ref="A16:F16"/>
    <mergeCell ref="G16:N16"/>
    <mergeCell ref="G10:N10"/>
    <mergeCell ref="G11:N11"/>
    <mergeCell ref="A12:F12"/>
    <mergeCell ref="G12:N12"/>
    <mergeCell ref="A13:F13"/>
    <mergeCell ref="G13:N13"/>
    <mergeCell ref="A4:C4"/>
    <mergeCell ref="K4:N4"/>
    <mergeCell ref="A5:D5"/>
    <mergeCell ref="J5:N5"/>
    <mergeCell ref="A6:D6"/>
    <mergeCell ref="J6:N6"/>
  </mergeCells>
  <printOptions horizontalCentered="1"/>
  <pageMargins left="0.39370077848434498" right="0.23622047901153601" top="0.35433071851730302" bottom="0.31496062874794001" header="0.118110239505768" footer="0.118110239505768"/>
  <pageSetup paperSize="9" scale="66" fitToHeight="0" orientation="portrait" r:id="rId1"/>
  <headerFooter>
    <oddFooter>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zoomScaleNormal="100" zoomScaleSheetLayoutView="100" workbookViewId="0">
      <selection activeCell="B22" sqref="B22"/>
    </sheetView>
  </sheetViews>
  <sheetFormatPr defaultRowHeight="15"/>
  <cols>
    <col min="1" max="1" width="32.7109375" customWidth="1"/>
    <col min="2" max="2" width="33.7109375" customWidth="1"/>
    <col min="3" max="3" width="39.140625" customWidth="1"/>
  </cols>
  <sheetData>
    <row r="1" spans="1:3" ht="15.75">
      <c r="A1" s="1313" t="s">
        <v>106</v>
      </c>
      <c r="B1" s="1313"/>
      <c r="C1" s="1313"/>
    </row>
    <row r="2" spans="1:3" ht="15.75">
      <c r="A2" s="1353" t="s">
        <v>107</v>
      </c>
      <c r="B2" s="1353"/>
      <c r="C2" s="1353"/>
    </row>
    <row r="3" spans="1:3" ht="58.5" customHeight="1">
      <c r="A3" s="1352" t="s">
        <v>873</v>
      </c>
      <c r="B3" s="1352"/>
      <c r="C3" s="1352"/>
    </row>
    <row r="4" spans="1:3" ht="193.5" customHeight="1">
      <c r="A4" s="1354" t="s">
        <v>1173</v>
      </c>
      <c r="B4" s="1354"/>
      <c r="C4" s="1354"/>
    </row>
    <row r="5" spans="1:3" ht="23.25" customHeight="1">
      <c r="A5" s="1352" t="s">
        <v>116</v>
      </c>
      <c r="B5" s="1352"/>
      <c r="C5" s="1352"/>
    </row>
    <row r="6" spans="1:3" ht="101.25" customHeight="1">
      <c r="A6" s="1350" t="s">
        <v>199</v>
      </c>
      <c r="B6" s="1350"/>
      <c r="C6" s="1350"/>
    </row>
    <row r="7" spans="1:3" ht="35.25" customHeight="1">
      <c r="A7" s="1355" t="s">
        <v>122</v>
      </c>
      <c r="B7" s="1355"/>
      <c r="C7" s="1355"/>
    </row>
    <row r="8" spans="1:3" ht="50.25" customHeight="1">
      <c r="A8" s="1351" t="s">
        <v>1132</v>
      </c>
      <c r="B8" s="1351"/>
      <c r="C8" s="1351"/>
    </row>
    <row r="9" spans="1:3" ht="64.5" customHeight="1">
      <c r="A9" s="1356" t="s">
        <v>1901</v>
      </c>
      <c r="B9" s="1356"/>
      <c r="C9" s="1356"/>
    </row>
    <row r="10" spans="1:3" ht="81" customHeight="1">
      <c r="A10" s="1362" t="s">
        <v>871</v>
      </c>
      <c r="B10" s="1362"/>
      <c r="C10" s="1362"/>
    </row>
    <row r="11" spans="1:3" ht="37.5" customHeight="1">
      <c r="A11" s="1361" t="s">
        <v>1128</v>
      </c>
      <c r="B11" s="1361"/>
      <c r="C11" s="1361"/>
    </row>
    <row r="12" spans="1:3" ht="20.25" customHeight="1">
      <c r="A12" s="1357" t="s">
        <v>117</v>
      </c>
      <c r="B12" s="1357"/>
      <c r="C12" s="1357"/>
    </row>
    <row r="13" spans="1:3" ht="98.25" customHeight="1">
      <c r="A13" s="1350" t="s">
        <v>200</v>
      </c>
      <c r="B13" s="1350"/>
      <c r="C13" s="1350"/>
    </row>
    <row r="14" spans="1:3" ht="37.5" customHeight="1">
      <c r="A14" s="1358" t="s">
        <v>121</v>
      </c>
      <c r="B14" s="1358"/>
      <c r="C14" s="1358"/>
    </row>
    <row r="15" spans="1:3" ht="42.75" customHeight="1">
      <c r="A15" s="1351" t="s">
        <v>1132</v>
      </c>
      <c r="B15" s="1351"/>
      <c r="C15" s="1351"/>
    </row>
    <row r="16" spans="1:3" ht="69.75" customHeight="1">
      <c r="A16" s="1356" t="s">
        <v>1901</v>
      </c>
      <c r="B16" s="1356"/>
      <c r="C16" s="1356"/>
    </row>
    <row r="17" spans="1:3" ht="33.75" customHeight="1">
      <c r="A17" s="1361" t="s">
        <v>1128</v>
      </c>
      <c r="B17" s="1361"/>
      <c r="C17" s="1361"/>
    </row>
    <row r="18" spans="1:3" ht="19.5" customHeight="1">
      <c r="A18" s="1360" t="s">
        <v>175</v>
      </c>
      <c r="B18" s="1360"/>
      <c r="C18" s="1360"/>
    </row>
    <row r="19" spans="1:3" ht="18.75" customHeight="1">
      <c r="A19" s="1360" t="s">
        <v>176</v>
      </c>
      <c r="B19" s="1360"/>
      <c r="C19" s="1360"/>
    </row>
    <row r="20" spans="1:3" ht="29.25" customHeight="1">
      <c r="A20" s="130" t="s">
        <v>114</v>
      </c>
      <c r="B20" s="131"/>
      <c r="C20" s="130"/>
    </row>
    <row r="21" spans="1:3" ht="15.75">
      <c r="A21" s="1359"/>
      <c r="B21" s="1360"/>
      <c r="C21" s="1360"/>
    </row>
    <row r="22" spans="1:3" ht="15.75">
      <c r="A22" s="130"/>
      <c r="B22" s="242">
        <f>НМЦ!E17</f>
        <v>54759782.399999999</v>
      </c>
      <c r="C22" s="130" t="s">
        <v>108</v>
      </c>
    </row>
    <row r="23" spans="1:3" ht="46.5" customHeight="1">
      <c r="A23" s="1358" t="s">
        <v>1902</v>
      </c>
      <c r="B23" s="1358"/>
      <c r="C23" s="132" t="s">
        <v>115</v>
      </c>
    </row>
  </sheetData>
  <mergeCells count="21">
    <mergeCell ref="A9:C9"/>
    <mergeCell ref="A12:C12"/>
    <mergeCell ref="A13:C13"/>
    <mergeCell ref="A23:B23"/>
    <mergeCell ref="A21:C21"/>
    <mergeCell ref="A15:C15"/>
    <mergeCell ref="A14:C14"/>
    <mergeCell ref="A16:C16"/>
    <mergeCell ref="A18:C18"/>
    <mergeCell ref="A19:C19"/>
    <mergeCell ref="A17:C17"/>
    <mergeCell ref="A11:C11"/>
    <mergeCell ref="A10:C10"/>
    <mergeCell ref="A6:C6"/>
    <mergeCell ref="A8:C8"/>
    <mergeCell ref="A5:C5"/>
    <mergeCell ref="A1:C1"/>
    <mergeCell ref="A2:C2"/>
    <mergeCell ref="A3:C3"/>
    <mergeCell ref="A4:C4"/>
    <mergeCell ref="A7:C7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9" zoomScaleNormal="100" zoomScaleSheetLayoutView="100" workbookViewId="0">
      <selection activeCell="B19" sqref="B19:K19"/>
    </sheetView>
  </sheetViews>
  <sheetFormatPr defaultRowHeight="15"/>
  <cols>
    <col min="7" max="7" width="14" customWidth="1"/>
  </cols>
  <sheetData>
    <row r="1" spans="1:16" ht="15.75">
      <c r="A1" s="1363" t="s">
        <v>162</v>
      </c>
      <c r="B1" s="1363"/>
      <c r="C1" s="1363"/>
      <c r="D1" s="1363"/>
      <c r="E1" s="1363"/>
      <c r="F1" s="1363"/>
      <c r="G1" s="1363"/>
      <c r="H1" s="1363"/>
      <c r="I1" s="1363"/>
      <c r="J1" s="1363"/>
      <c r="K1" s="133"/>
      <c r="L1" s="133"/>
      <c r="M1" s="133"/>
      <c r="N1" s="133"/>
      <c r="O1" s="133"/>
      <c r="P1" s="123"/>
    </row>
    <row r="2" spans="1:16" ht="15.75">
      <c r="A2" s="1363" t="s">
        <v>163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3"/>
      <c r="L2" s="133"/>
      <c r="M2" s="133"/>
      <c r="N2" s="133"/>
      <c r="O2" s="133"/>
      <c r="P2" s="123"/>
    </row>
    <row r="3" spans="1:16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23"/>
    </row>
    <row r="4" spans="1:16" ht="47.25" customHeight="1">
      <c r="A4" s="236" t="s">
        <v>164</v>
      </c>
      <c r="B4" s="134"/>
      <c r="C4" s="1369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4" s="1369"/>
      <c r="E4" s="1369"/>
      <c r="F4" s="1369"/>
      <c r="G4" s="1369"/>
      <c r="H4" s="1369"/>
      <c r="I4" s="1369"/>
      <c r="J4" s="1369"/>
      <c r="K4" s="1369"/>
      <c r="L4" s="134"/>
      <c r="M4" s="134"/>
      <c r="N4" s="134"/>
      <c r="O4" s="134"/>
      <c r="P4" s="123"/>
    </row>
    <row r="5" spans="1:16" ht="15.7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23"/>
    </row>
    <row r="6" spans="1:16" ht="15.75">
      <c r="A6" s="1365" t="s">
        <v>165</v>
      </c>
      <c r="B6" s="1365"/>
      <c r="C6" s="1365"/>
      <c r="D6" s="1365"/>
      <c r="E6" s="1365"/>
      <c r="F6" s="1365"/>
      <c r="G6" s="136">
        <f>НМЦ!E17</f>
        <v>54759782.399999999</v>
      </c>
      <c r="H6" s="135"/>
      <c r="I6" s="135"/>
      <c r="J6" s="135"/>
      <c r="K6" s="135"/>
      <c r="L6" s="135"/>
      <c r="M6" s="135"/>
      <c r="N6" s="135"/>
      <c r="O6" s="135"/>
      <c r="P6" s="123"/>
    </row>
    <row r="7" spans="1:16" ht="15.75">
      <c r="A7" s="1366" t="str">
        <f>[51]!СуммаПрописью(G6)</f>
        <v>Пятьдесят четыре миллиона семьсот пятьдесят девять тысяч семьсот восемьдесят два рубля 40 копеек</v>
      </c>
      <c r="B7" s="1366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23"/>
    </row>
    <row r="8" spans="1:16" ht="15.75">
      <c r="A8" s="134" t="s">
        <v>166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23"/>
    </row>
    <row r="9" spans="1:16" ht="15.75">
      <c r="A9" s="137" t="s">
        <v>185</v>
      </c>
      <c r="B9" s="137"/>
      <c r="C9" s="137"/>
      <c r="D9" s="137"/>
      <c r="E9" s="137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23"/>
    </row>
    <row r="10" spans="1:16" ht="15.75">
      <c r="A10" s="138"/>
      <c r="B10" s="139" t="s">
        <v>773</v>
      </c>
      <c r="C10" s="137"/>
      <c r="D10" s="137"/>
      <c r="E10" s="137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23"/>
    </row>
    <row r="11" spans="1:16" ht="15.75">
      <c r="A11" s="138"/>
      <c r="B11" s="139" t="s">
        <v>774</v>
      </c>
      <c r="C11" s="137"/>
      <c r="D11" s="137"/>
      <c r="E11" s="137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23"/>
    </row>
    <row r="12" spans="1:16" ht="15.75">
      <c r="A12" s="138"/>
      <c r="B12" s="139" t="s">
        <v>775</v>
      </c>
      <c r="C12" s="137"/>
      <c r="D12" s="137"/>
      <c r="E12" s="137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23"/>
    </row>
    <row r="13" spans="1:16" ht="15.75">
      <c r="A13" s="137"/>
      <c r="B13" s="139" t="s">
        <v>776</v>
      </c>
      <c r="C13" s="137"/>
      <c r="D13" s="137"/>
      <c r="E13" s="137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23"/>
    </row>
    <row r="14" spans="1:16" ht="15.75">
      <c r="A14" s="137"/>
      <c r="B14" s="139" t="s">
        <v>777</v>
      </c>
      <c r="C14" s="137"/>
      <c r="D14" s="137"/>
      <c r="E14" s="137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23"/>
    </row>
    <row r="15" spans="1:16" ht="15.75">
      <c r="A15" s="137"/>
      <c r="B15" s="139" t="s">
        <v>778</v>
      </c>
      <c r="C15" s="137"/>
      <c r="D15" s="137"/>
      <c r="E15" s="137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23"/>
    </row>
    <row r="16" spans="1:16" ht="15.75">
      <c r="A16" s="137"/>
      <c r="B16" s="139" t="s">
        <v>779</v>
      </c>
      <c r="C16" s="137"/>
      <c r="D16" s="137"/>
      <c r="E16" s="137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23"/>
    </row>
    <row r="17" spans="1:16" ht="15.75">
      <c r="A17" s="137"/>
      <c r="B17" s="139" t="s">
        <v>780</v>
      </c>
      <c r="C17" s="137"/>
      <c r="D17" s="137"/>
      <c r="E17" s="137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23"/>
    </row>
    <row r="18" spans="1:16" ht="32.25" hidden="1" customHeight="1">
      <c r="A18" s="138"/>
      <c r="B18" s="1368" t="s">
        <v>1904</v>
      </c>
      <c r="C18" s="1368"/>
      <c r="D18" s="1368"/>
      <c r="E18" s="1368"/>
      <c r="F18" s="1368"/>
      <c r="G18" s="1368"/>
      <c r="H18" s="1368"/>
      <c r="I18" s="1368"/>
      <c r="J18" s="1368"/>
      <c r="K18" s="1368"/>
      <c r="L18" s="134"/>
      <c r="M18" s="134"/>
      <c r="N18" s="134"/>
      <c r="O18" s="134"/>
      <c r="P18" s="123"/>
    </row>
    <row r="19" spans="1:16" ht="78" customHeight="1">
      <c r="A19" s="138"/>
      <c r="B19" s="1370" t="s">
        <v>863</v>
      </c>
      <c r="C19" s="1370"/>
      <c r="D19" s="1370"/>
      <c r="E19" s="1370"/>
      <c r="F19" s="1370"/>
      <c r="G19" s="1370"/>
      <c r="H19" s="1370"/>
      <c r="I19" s="1370"/>
      <c r="J19" s="1370"/>
      <c r="K19" s="1370"/>
      <c r="L19" s="134"/>
      <c r="M19" s="134"/>
      <c r="N19" s="134"/>
      <c r="O19" s="134"/>
      <c r="P19" s="123"/>
    </row>
    <row r="20" spans="1:16" ht="16.5" customHeight="1">
      <c r="A20" s="137" t="s">
        <v>194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23"/>
    </row>
    <row r="21" spans="1:16" ht="15.75" hidden="1">
      <c r="A21" s="138" t="s">
        <v>195</v>
      </c>
      <c r="B21" s="137"/>
      <c r="C21" s="137"/>
      <c r="D21" s="137"/>
      <c r="E21" s="137"/>
      <c r="F21" s="137"/>
      <c r="G21" s="137"/>
      <c r="H21" s="137"/>
      <c r="I21" s="137"/>
      <c r="J21" s="134"/>
      <c r="K21" s="134"/>
      <c r="L21" s="134"/>
      <c r="M21" s="134"/>
      <c r="N21" s="134"/>
      <c r="O21" s="134"/>
      <c r="P21" s="123"/>
    </row>
    <row r="22" spans="1:16" ht="15.75" hidden="1">
      <c r="A22" s="138" t="s">
        <v>193</v>
      </c>
      <c r="B22" s="137"/>
      <c r="C22" s="137"/>
      <c r="D22" s="137"/>
      <c r="E22" s="137"/>
      <c r="F22" s="137"/>
      <c r="G22" s="137"/>
      <c r="H22" s="137"/>
      <c r="I22" s="137"/>
      <c r="J22" s="134"/>
      <c r="K22" s="134"/>
      <c r="L22" s="134"/>
      <c r="M22" s="134"/>
      <c r="N22" s="134"/>
      <c r="O22" s="134"/>
      <c r="P22" s="123"/>
    </row>
    <row r="23" spans="1:16" ht="15.75">
      <c r="A23" s="137" t="s">
        <v>865</v>
      </c>
      <c r="B23" s="137"/>
      <c r="C23" s="137"/>
      <c r="D23" s="137"/>
      <c r="E23" s="137"/>
      <c r="F23" s="137"/>
      <c r="G23" s="137"/>
      <c r="H23" s="137"/>
      <c r="I23" s="137"/>
      <c r="J23" s="134"/>
      <c r="K23" s="134"/>
      <c r="L23" s="134"/>
      <c r="M23" s="134"/>
      <c r="N23" s="134"/>
      <c r="O23" s="134"/>
      <c r="P23" s="123"/>
    </row>
    <row r="24" spans="1:16" ht="19.5" customHeight="1">
      <c r="A24" s="1370" t="s">
        <v>857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4"/>
      <c r="M24" s="134"/>
      <c r="N24" s="134"/>
      <c r="O24" s="134"/>
      <c r="P24" s="123"/>
    </row>
    <row r="25" spans="1:16" ht="36" customHeight="1">
      <c r="A25" s="1370" t="s">
        <v>874</v>
      </c>
      <c r="B25" s="1370"/>
      <c r="C25" s="1370"/>
      <c r="D25" s="1370"/>
      <c r="E25" s="1370"/>
      <c r="F25" s="1370"/>
      <c r="G25" s="1370"/>
      <c r="H25" s="1370"/>
      <c r="I25" s="1370"/>
      <c r="J25" s="1370"/>
      <c r="K25" s="1370"/>
      <c r="L25" s="134"/>
      <c r="M25" s="134"/>
      <c r="N25" s="134"/>
      <c r="O25" s="134"/>
      <c r="P25" s="123"/>
    </row>
    <row r="26" spans="1:16" ht="15.75">
      <c r="A26" s="137" t="s">
        <v>872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4"/>
      <c r="M26" s="134"/>
      <c r="N26" s="134"/>
      <c r="O26" s="134"/>
      <c r="P26" s="123"/>
    </row>
    <row r="27" spans="1:16" ht="29.25" customHeight="1">
      <c r="A27" s="1368" t="s">
        <v>196</v>
      </c>
      <c r="B27" s="1368"/>
      <c r="C27" s="1368"/>
      <c r="D27" s="1368"/>
      <c r="E27" s="1368"/>
      <c r="F27" s="1368"/>
      <c r="G27" s="1368"/>
      <c r="H27" s="1368"/>
      <c r="I27" s="1368"/>
      <c r="J27" s="1368"/>
      <c r="K27" s="1368"/>
      <c r="L27" s="140"/>
      <c r="M27" s="140"/>
      <c r="N27" s="140"/>
      <c r="O27" s="140"/>
      <c r="P27" s="123"/>
    </row>
    <row r="28" spans="1:16" ht="33" customHeight="1">
      <c r="A28" s="1367" t="s">
        <v>197</v>
      </c>
      <c r="B28" s="1367"/>
      <c r="C28" s="1367"/>
      <c r="D28" s="1367"/>
      <c r="E28" s="1367"/>
      <c r="F28" s="1367"/>
      <c r="G28" s="1367"/>
      <c r="H28" s="1367"/>
      <c r="I28" s="1367"/>
      <c r="J28" s="1367"/>
      <c r="K28" s="1367"/>
      <c r="L28" s="134"/>
      <c r="M28" s="134"/>
      <c r="N28" s="134"/>
      <c r="O28" s="134"/>
      <c r="P28" s="123"/>
    </row>
    <row r="29" spans="1:16" ht="18" customHeight="1">
      <c r="A29" s="941" t="str">
        <f>CONCATENATE("- авансирование в размере ",[52]НМЦК!G12*100,"%;")</f>
        <v>- авансирование в размере 30%;</v>
      </c>
      <c r="B29" s="937"/>
      <c r="C29" s="937"/>
      <c r="D29" s="937"/>
      <c r="E29" s="937"/>
      <c r="F29" s="937"/>
      <c r="G29" s="937"/>
      <c r="H29" s="937"/>
      <c r="I29" s="937"/>
      <c r="J29" s="937"/>
      <c r="K29" s="937"/>
      <c r="L29" s="134"/>
      <c r="M29" s="134"/>
      <c r="N29" s="134"/>
      <c r="O29" s="134"/>
      <c r="P29" s="123"/>
    </row>
    <row r="30" spans="1:16" ht="15.75">
      <c r="A30" s="137" t="s">
        <v>167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4"/>
      <c r="M30" s="134"/>
      <c r="N30" s="134"/>
      <c r="O30" s="134"/>
      <c r="P30" s="123"/>
    </row>
    <row r="31" spans="1:16" ht="15.7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4"/>
      <c r="M31" s="134"/>
      <c r="N31" s="134"/>
      <c r="O31" s="134"/>
      <c r="P31" s="123"/>
    </row>
    <row r="32" spans="1:16" ht="15.75">
      <c r="A32" s="137" t="s">
        <v>168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4"/>
      <c r="M32" s="134"/>
      <c r="N32" s="134"/>
      <c r="O32" s="134"/>
      <c r="P32" s="123"/>
    </row>
    <row r="33" spans="1:16" ht="15.75">
      <c r="A33" s="137" t="s">
        <v>169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4"/>
      <c r="M33" s="134"/>
      <c r="N33" s="134"/>
      <c r="O33" s="134"/>
      <c r="P33" s="123"/>
    </row>
    <row r="34" spans="1:16" ht="15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4"/>
      <c r="M34" s="134"/>
      <c r="N34" s="134"/>
      <c r="O34" s="134"/>
      <c r="P34" s="123"/>
    </row>
    <row r="35" spans="1:16" ht="15.75">
      <c r="A35" s="134" t="s">
        <v>170</v>
      </c>
      <c r="B35" s="134"/>
      <c r="C35" s="134"/>
      <c r="D35" s="134"/>
      <c r="E35" s="134"/>
      <c r="G35" s="141"/>
      <c r="H35" s="234"/>
      <c r="I35" s="141"/>
      <c r="J35" s="235"/>
      <c r="K35" s="143"/>
      <c r="L35" s="143"/>
      <c r="M35" s="142"/>
      <c r="N35" s="142"/>
      <c r="O35" s="142"/>
      <c r="P35" s="123"/>
    </row>
    <row r="36" spans="1:16" ht="15.75">
      <c r="A36" s="134"/>
      <c r="B36" s="134"/>
      <c r="C36" s="134"/>
      <c r="D36" s="134"/>
      <c r="E36" s="134"/>
      <c r="G36" s="1364" t="s">
        <v>171</v>
      </c>
      <c r="H36" s="1364"/>
      <c r="I36" s="1364"/>
      <c r="J36" s="1364"/>
      <c r="K36" s="144"/>
      <c r="L36" s="134"/>
      <c r="M36" s="142"/>
      <c r="N36" s="142"/>
      <c r="O36" s="142"/>
      <c r="P36" s="123"/>
    </row>
    <row r="37" spans="1:16" ht="15.7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</row>
  </sheetData>
  <mergeCells count="12">
    <mergeCell ref="A1:J1"/>
    <mergeCell ref="A2:J2"/>
    <mergeCell ref="G36:J36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zoomScaleNormal="100" zoomScaleSheetLayoutView="100" workbookViewId="0">
      <selection activeCell="C24" sqref="C24:E24"/>
    </sheetView>
  </sheetViews>
  <sheetFormatPr defaultRowHeight="1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>
      <c r="A1" s="1372" t="s">
        <v>99</v>
      </c>
      <c r="B1" s="1372"/>
      <c r="C1" s="1372"/>
      <c r="D1" s="1372"/>
      <c r="E1" s="1372"/>
    </row>
    <row r="2" spans="1:19" ht="15.75">
      <c r="A2" s="1372" t="s">
        <v>201</v>
      </c>
      <c r="B2" s="1372"/>
      <c r="C2" s="1372"/>
      <c r="D2" s="1372"/>
      <c r="E2" s="1372"/>
    </row>
    <row r="3" spans="1:19" ht="54" customHeight="1">
      <c r="A3" s="1373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374"/>
      <c r="C3" s="1374"/>
      <c r="D3" s="1374"/>
      <c r="E3" s="1374"/>
    </row>
    <row r="4" spans="1:19" ht="15.75">
      <c r="A4" s="162"/>
      <c r="B4" s="163"/>
      <c r="C4" s="163"/>
      <c r="D4" s="163"/>
      <c r="E4" s="163"/>
    </row>
    <row r="5" spans="1:19" ht="15.75">
      <c r="A5" s="1385" t="s">
        <v>187</v>
      </c>
      <c r="B5" s="1385"/>
      <c r="C5" s="943">
        <f>ROUNDUP((C7-C6)/30.5,1)</f>
        <v>15.1</v>
      </c>
      <c r="D5" s="238" t="s">
        <v>203</v>
      </c>
      <c r="E5" s="145"/>
    </row>
    <row r="6" spans="1:19" ht="15.75">
      <c r="A6" s="145" t="s">
        <v>97</v>
      </c>
      <c r="B6" s="145"/>
      <c r="C6" s="944">
        <v>44896</v>
      </c>
      <c r="D6" s="146"/>
      <c r="E6" s="145"/>
    </row>
    <row r="7" spans="1:19" ht="15.75">
      <c r="A7" s="145" t="s">
        <v>98</v>
      </c>
      <c r="B7" s="145"/>
      <c r="C7" s="944">
        <v>45355</v>
      </c>
      <c r="D7" s="146"/>
      <c r="E7" s="145"/>
    </row>
    <row r="8" spans="1:19" ht="15.75">
      <c r="A8" s="145"/>
      <c r="B8" s="142"/>
      <c r="C8" s="142"/>
      <c r="D8" s="142"/>
      <c r="E8" s="142"/>
    </row>
    <row r="9" spans="1:19" ht="15.75" customHeight="1">
      <c r="A9" s="1375" t="s">
        <v>100</v>
      </c>
      <c r="B9" s="1376" t="s">
        <v>101</v>
      </c>
      <c r="C9" s="1379" t="s">
        <v>186</v>
      </c>
      <c r="D9" s="1380"/>
      <c r="E9" s="1381"/>
    </row>
    <row r="10" spans="1:19" ht="15.75" customHeight="1">
      <c r="A10" s="1375"/>
      <c r="B10" s="1377"/>
      <c r="C10" s="1382"/>
      <c r="D10" s="1383"/>
      <c r="E10" s="1384"/>
    </row>
    <row r="11" spans="1:19" ht="15.75">
      <c r="A11" s="1375"/>
      <c r="B11" s="1378"/>
      <c r="C11" s="147" t="s">
        <v>102</v>
      </c>
      <c r="D11" s="147" t="s">
        <v>125</v>
      </c>
      <c r="E11" s="147" t="s">
        <v>103</v>
      </c>
    </row>
    <row r="12" spans="1:19" ht="30" customHeight="1">
      <c r="A12" s="147">
        <v>1</v>
      </c>
      <c r="B12" s="147">
        <v>2</v>
      </c>
      <c r="C12" s="147">
        <v>3</v>
      </c>
      <c r="D12" s="147">
        <v>4</v>
      </c>
      <c r="E12" s="147">
        <v>5</v>
      </c>
      <c r="F12" s="104"/>
      <c r="G12" s="103"/>
    </row>
    <row r="13" spans="1:19" ht="42" customHeight="1">
      <c r="A13" s="148">
        <v>1</v>
      </c>
      <c r="B13" s="149" t="s">
        <v>104</v>
      </c>
      <c r="C13" s="150">
        <f>НМЦК!G14</f>
        <v>32950490</v>
      </c>
      <c r="D13" s="151">
        <f t="shared" ref="D13:D16" si="0">C13*0.2</f>
        <v>6590098</v>
      </c>
      <c r="E13" s="151">
        <f t="shared" ref="E13:E16" si="1">C13+D13</f>
        <v>39540588</v>
      </c>
      <c r="G13" s="100"/>
      <c r="H13" s="1371"/>
      <c r="I13" s="1371"/>
      <c r="J13" s="1371"/>
      <c r="K13" s="1371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>
      <c r="A14" s="148">
        <v>2</v>
      </c>
      <c r="B14" s="149" t="s">
        <v>184</v>
      </c>
      <c r="C14" s="150">
        <f>НМЦК!G16*1.02+НМЦК!G19</f>
        <v>12682662</v>
      </c>
      <c r="D14" s="151">
        <f t="shared" si="0"/>
        <v>2536532.4</v>
      </c>
      <c r="E14" s="151">
        <f t="shared" si="1"/>
        <v>15219194.4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>
      <c r="A15" s="148">
        <v>3</v>
      </c>
      <c r="B15" s="149" t="s">
        <v>192</v>
      </c>
      <c r="C15" s="150">
        <f>НМЦК!G18*1.02</f>
        <v>0</v>
      </c>
      <c r="D15" s="151">
        <f>C15*0.2</f>
        <v>0</v>
      </c>
      <c r="E15" s="151">
        <f t="shared" ref="E15" si="2">C15+D15</f>
        <v>0</v>
      </c>
    </row>
    <row r="16" spans="1:19" ht="44.25" hidden="1" customHeight="1">
      <c r="A16" s="148">
        <v>4</v>
      </c>
      <c r="B16" s="149" t="s">
        <v>127</v>
      </c>
      <c r="C16" s="150">
        <f>НМЦК!G17*1.02</f>
        <v>0</v>
      </c>
      <c r="D16" s="151">
        <f t="shared" si="0"/>
        <v>0</v>
      </c>
      <c r="E16" s="151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48.75" customHeight="1">
      <c r="A17" s="152"/>
      <c r="B17" s="152" t="s">
        <v>16</v>
      </c>
      <c r="C17" s="153">
        <f>C13+C14+C16+C15</f>
        <v>45633152</v>
      </c>
      <c r="D17" s="154">
        <f>D13+D14+D16+D15</f>
        <v>9126630.4000000004</v>
      </c>
      <c r="E17" s="154">
        <f>E13+E14+E16+E15</f>
        <v>54759782.399999999</v>
      </c>
      <c r="J17" s="100"/>
      <c r="L17" s="100"/>
      <c r="M17" s="116"/>
      <c r="P17" s="100"/>
    </row>
    <row r="18" spans="1:16" ht="31.5">
      <c r="A18" s="155"/>
      <c r="B18" s="156" t="s">
        <v>105</v>
      </c>
      <c r="C18" s="157">
        <f>НМЦК!G21-НМЦК!D21</f>
        <v>2074076</v>
      </c>
      <c r="D18" s="158">
        <f>C18*0.2</f>
        <v>414815.2</v>
      </c>
      <c r="E18" s="158">
        <f>C18+D18</f>
        <v>2488891.2000000002</v>
      </c>
      <c r="G18" s="100"/>
      <c r="H18" s="100"/>
    </row>
    <row r="19" spans="1:16" ht="15.75">
      <c r="A19" s="97"/>
      <c r="B19" s="98"/>
      <c r="C19" s="99"/>
      <c r="D19" s="99"/>
      <c r="E19" s="99" t="s">
        <v>77</v>
      </c>
      <c r="F19" s="115"/>
    </row>
    <row r="20" spans="1:16" ht="15.75">
      <c r="A20" s="142"/>
      <c r="B20" s="142" t="s">
        <v>861</v>
      </c>
      <c r="C20" s="142"/>
      <c r="D20" s="159"/>
      <c r="E20" s="159"/>
      <c r="F20" s="114"/>
    </row>
    <row r="21" spans="1:16" ht="31.5">
      <c r="A21" s="722"/>
      <c r="B21" s="721" t="s">
        <v>862</v>
      </c>
      <c r="C21" s="160">
        <f>НМЦК!G15</f>
        <v>2403050</v>
      </c>
      <c r="D21" s="161">
        <f>C21*0.2</f>
        <v>480610</v>
      </c>
      <c r="E21" s="161">
        <f>C21+D21</f>
        <v>2883660</v>
      </c>
    </row>
    <row r="22" spans="1:16" ht="15.75">
      <c r="A22" s="124"/>
      <c r="B22" s="721" t="s">
        <v>870</v>
      </c>
      <c r="C22" s="160">
        <f>НМЦК!G20</f>
        <v>245200</v>
      </c>
      <c r="D22" s="161">
        <f>C22*0.2</f>
        <v>49040</v>
      </c>
      <c r="E22" s="161">
        <f>C22+D22</f>
        <v>294240</v>
      </c>
    </row>
    <row r="24" spans="1:16">
      <c r="C24" s="241">
        <f>C21+C22</f>
        <v>2648250</v>
      </c>
      <c r="D24" s="100">
        <f>D21+D22</f>
        <v>529650</v>
      </c>
      <c r="E24" s="100">
        <f>E21+E22</f>
        <v>3177900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topLeftCell="A17" zoomScale="85" zoomScaleNormal="100" zoomScaleSheetLayoutView="85" workbookViewId="0">
      <selection activeCell="B15" sqref="B15"/>
    </sheetView>
  </sheetViews>
  <sheetFormatPr defaultRowHeight="1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7" width="26.7109375" customWidth="1"/>
    <col min="8" max="8" width="12" customWidth="1"/>
  </cols>
  <sheetData>
    <row r="1" spans="1:9" ht="33" customHeight="1">
      <c r="A1" s="1393" t="s">
        <v>188</v>
      </c>
      <c r="B1" s="1393"/>
      <c r="C1" s="1393"/>
      <c r="D1" s="1393"/>
      <c r="E1" s="1393"/>
      <c r="F1" s="1393"/>
      <c r="G1" s="239"/>
    </row>
    <row r="2" spans="1:9" ht="59.25" customHeight="1">
      <c r="A2" s="164" t="s">
        <v>142</v>
      </c>
      <c r="B2" s="1394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C2" s="1394"/>
      <c r="D2" s="1394"/>
      <c r="E2" s="1394"/>
      <c r="F2" s="1394"/>
      <c r="G2" s="239"/>
    </row>
    <row r="3" spans="1:9" ht="36" customHeight="1">
      <c r="A3" s="164" t="s">
        <v>143</v>
      </c>
      <c r="B3" s="1395" t="s">
        <v>204</v>
      </c>
      <c r="C3" s="1395"/>
      <c r="D3" s="1395"/>
      <c r="E3" s="1395"/>
      <c r="F3" s="1395"/>
      <c r="G3" s="240"/>
    </row>
    <row r="4" spans="1:9" ht="15.75">
      <c r="A4" s="142"/>
      <c r="B4" s="142"/>
      <c r="C4" s="142"/>
      <c r="D4" s="142"/>
      <c r="E4" s="142"/>
      <c r="F4" s="142"/>
      <c r="G4" s="142"/>
    </row>
    <row r="5" spans="1:9" ht="15.75">
      <c r="A5" s="165" t="s">
        <v>144</v>
      </c>
      <c r="B5" s="142"/>
      <c r="C5" s="142"/>
      <c r="D5" s="142"/>
      <c r="E5" s="142"/>
      <c r="F5" s="142"/>
      <c r="G5" s="142"/>
    </row>
    <row r="6" spans="1:9" ht="15.75">
      <c r="A6" s="1391"/>
      <c r="B6" s="1391"/>
      <c r="C6" s="1391"/>
      <c r="D6" s="1391"/>
      <c r="E6" s="1391"/>
      <c r="F6" s="1391"/>
      <c r="G6" s="257"/>
    </row>
    <row r="7" spans="1:9" ht="15.75">
      <c r="A7" s="165" t="s">
        <v>172</v>
      </c>
      <c r="B7" s="159"/>
      <c r="C7" s="159"/>
      <c r="D7" s="142"/>
      <c r="E7" s="142"/>
      <c r="F7" s="142"/>
      <c r="G7" s="142"/>
    </row>
    <row r="8" spans="1:9" ht="15.75">
      <c r="A8" s="165" t="s">
        <v>173</v>
      </c>
      <c r="B8" s="165"/>
      <c r="C8" s="165"/>
      <c r="D8" s="165"/>
      <c r="E8" s="165"/>
      <c r="F8" s="165"/>
      <c r="G8" s="165"/>
    </row>
    <row r="9" spans="1:9" ht="15.75">
      <c r="A9" s="237" t="str">
        <f>CONCATENATE("3. Продолжительность проектирования ",F32," месяца (в том числе с учетом получения положительного заключения государственной экспертизы).")</f>
        <v>3. Продолжительность проектирования 15,1 месяца (в том числе с учетом получения положительного заключения государственной экспертизы).</v>
      </c>
      <c r="B9" s="165"/>
      <c r="C9" s="165"/>
      <c r="D9" s="165"/>
      <c r="E9" s="165"/>
      <c r="F9" s="165"/>
      <c r="G9" s="142"/>
    </row>
    <row r="10" spans="1:9" ht="15.75">
      <c r="A10" s="142"/>
      <c r="B10" s="142"/>
      <c r="C10" s="142"/>
      <c r="D10" s="142"/>
      <c r="E10" s="142"/>
      <c r="F10" s="166" t="s">
        <v>89</v>
      </c>
      <c r="G10" s="166"/>
    </row>
    <row r="11" spans="1:9" ht="129.75" customHeight="1">
      <c r="A11" s="1398" t="s">
        <v>18</v>
      </c>
      <c r="B11" s="1396" t="s">
        <v>1135</v>
      </c>
      <c r="C11" s="1396" t="s">
        <v>145</v>
      </c>
      <c r="D11" s="1396" t="s">
        <v>1134</v>
      </c>
      <c r="E11" s="1396" t="s">
        <v>146</v>
      </c>
      <c r="F11" s="1396" t="s">
        <v>147</v>
      </c>
      <c r="G11" s="167" t="s">
        <v>1133</v>
      </c>
    </row>
    <row r="12" spans="1:9" ht="21.75" customHeight="1">
      <c r="A12" s="1399"/>
      <c r="B12" s="1397"/>
      <c r="C12" s="1397"/>
      <c r="D12" s="1397"/>
      <c r="E12" s="1397"/>
      <c r="F12" s="1397"/>
      <c r="G12" s="942">
        <v>0.3</v>
      </c>
    </row>
    <row r="13" spans="1:9" ht="15.75">
      <c r="A13" s="168">
        <v>1</v>
      </c>
      <c r="B13" s="168">
        <v>2</v>
      </c>
      <c r="C13" s="168">
        <v>3</v>
      </c>
      <c r="D13" s="168">
        <v>4</v>
      </c>
      <c r="E13" s="168">
        <v>5</v>
      </c>
      <c r="F13" s="168">
        <v>6</v>
      </c>
      <c r="G13" s="169">
        <v>7</v>
      </c>
    </row>
    <row r="14" spans="1:9" ht="33" customHeight="1">
      <c r="A14" s="170" t="s">
        <v>148</v>
      </c>
      <c r="B14" s="171">
        <f>'Cводная смета ПИР'!G22</f>
        <v>31447008</v>
      </c>
      <c r="C14" s="172">
        <v>1</v>
      </c>
      <c r="D14" s="171">
        <f t="shared" ref="D14:D19" si="0">B14*C14</f>
        <v>31447008</v>
      </c>
      <c r="E14" s="988">
        <f>F47</f>
        <v>1.0683</v>
      </c>
      <c r="F14" s="171">
        <f t="shared" ref="F14:F19" si="1">D14*E14</f>
        <v>33594839</v>
      </c>
      <c r="G14" s="173">
        <f>D14+(F14-D14)*(1-$G$12)</f>
        <v>32950490</v>
      </c>
    </row>
    <row r="15" spans="1:9" s="716" customFormat="1" ht="37.5" customHeight="1">
      <c r="A15" s="717" t="s">
        <v>859</v>
      </c>
      <c r="B15" s="714">
        <f>'Сводная ИЗ'!D13</f>
        <v>2293403</v>
      </c>
      <c r="C15" s="715">
        <v>1</v>
      </c>
      <c r="D15" s="714">
        <f t="shared" si="0"/>
        <v>2293403</v>
      </c>
      <c r="E15" s="989">
        <f>F47</f>
        <v>1.0683</v>
      </c>
      <c r="F15" s="714">
        <f t="shared" si="1"/>
        <v>2450042</v>
      </c>
      <c r="G15" s="173">
        <f t="shared" ref="G15:G20" si="2">D15+(F15-D15)*(1-$G$12)</f>
        <v>2403050</v>
      </c>
    </row>
    <row r="16" spans="1:9" ht="15.75">
      <c r="A16" s="174" t="s">
        <v>149</v>
      </c>
      <c r="B16" s="171">
        <f>'Cводная смета ПИР'!F24+'Cводная смета ПИР'!F25+'Cводная смета ПИР'!F26</f>
        <v>11700604</v>
      </c>
      <c r="C16" s="172">
        <v>1</v>
      </c>
      <c r="D16" s="171">
        <f t="shared" si="0"/>
        <v>11700604</v>
      </c>
      <c r="E16" s="988">
        <f>F47</f>
        <v>1.0683</v>
      </c>
      <c r="F16" s="171">
        <f t="shared" si="1"/>
        <v>12499755</v>
      </c>
      <c r="G16" s="173">
        <f t="shared" si="2"/>
        <v>12260010</v>
      </c>
      <c r="H16" s="241">
        <f>F16*1.02</f>
        <v>12749750</v>
      </c>
      <c r="I16" t="e">
        <f>#REF!/0.4*0.6*1.2</f>
        <v>#REF!</v>
      </c>
    </row>
    <row r="17" spans="1:9" ht="31.9" customHeight="1">
      <c r="A17" s="170" t="s">
        <v>150</v>
      </c>
      <c r="B17" s="256">
        <f>'Cводная смета ПИР'!G31*0</f>
        <v>0</v>
      </c>
      <c r="C17" s="175">
        <v>1</v>
      </c>
      <c r="D17" s="171">
        <f t="shared" si="0"/>
        <v>0</v>
      </c>
      <c r="E17" s="988">
        <f>1</f>
        <v>1</v>
      </c>
      <c r="F17" s="171">
        <f t="shared" si="1"/>
        <v>0</v>
      </c>
      <c r="G17" s="173">
        <f t="shared" si="2"/>
        <v>0</v>
      </c>
      <c r="H17" s="241">
        <f>F17*1.02</f>
        <v>0</v>
      </c>
    </row>
    <row r="18" spans="1:9" ht="31.9" customHeight="1">
      <c r="A18" s="170" t="s">
        <v>202</v>
      </c>
      <c r="B18" s="256">
        <f>205902*0</f>
        <v>0</v>
      </c>
      <c r="C18" s="175">
        <v>1</v>
      </c>
      <c r="D18" s="171">
        <f t="shared" si="0"/>
        <v>0</v>
      </c>
      <c r="E18" s="988">
        <f>1</f>
        <v>1</v>
      </c>
      <c r="F18" s="171">
        <f t="shared" si="1"/>
        <v>0</v>
      </c>
      <c r="G18" s="173">
        <f t="shared" si="2"/>
        <v>0</v>
      </c>
      <c r="H18" s="241">
        <f>F18*1.02</f>
        <v>0</v>
      </c>
    </row>
    <row r="19" spans="1:9" ht="69" customHeight="1">
      <c r="A19" s="170" t="s">
        <v>864</v>
      </c>
      <c r="B19" s="723">
        <f>'Cводная смета ПИР'!F27</f>
        <v>177452</v>
      </c>
      <c r="C19" s="175">
        <v>1</v>
      </c>
      <c r="D19" s="171">
        <f t="shared" si="0"/>
        <v>177452</v>
      </c>
      <c r="E19" s="988">
        <v>1</v>
      </c>
      <c r="F19" s="171">
        <f t="shared" si="1"/>
        <v>177452</v>
      </c>
      <c r="G19" s="173">
        <f t="shared" si="2"/>
        <v>177452</v>
      </c>
      <c r="H19" s="241"/>
    </row>
    <row r="20" spans="1:9" ht="31.5" customHeight="1">
      <c r="A20" s="170" t="s">
        <v>858</v>
      </c>
      <c r="B20" s="171">
        <f>(B16+B17+B18)*0.02</f>
        <v>234012</v>
      </c>
      <c r="C20" s="172"/>
      <c r="D20" s="171">
        <f>(D16+D17+D18)*0.02</f>
        <v>234012</v>
      </c>
      <c r="E20" s="172"/>
      <c r="F20" s="171">
        <f>(F16+F17+F18)*0.02</f>
        <v>249995</v>
      </c>
      <c r="G20" s="173">
        <f t="shared" si="2"/>
        <v>245200</v>
      </c>
    </row>
    <row r="21" spans="1:9" ht="15.75">
      <c r="A21" s="174" t="s">
        <v>152</v>
      </c>
      <c r="B21" s="171">
        <f>B14+B16+B17+B20+B19</f>
        <v>43559076</v>
      </c>
      <c r="C21" s="172"/>
      <c r="D21" s="171">
        <f>D14+D16+D17+D20+D19</f>
        <v>43559076</v>
      </c>
      <c r="E21" s="171"/>
      <c r="F21" s="171">
        <f>F14+F16+F17+F20+F19</f>
        <v>46522041</v>
      </c>
      <c r="G21" s="171">
        <f>G14+G16+G17+G20+G19</f>
        <v>45633152</v>
      </c>
    </row>
    <row r="22" spans="1:9" ht="15.75">
      <c r="A22" s="174" t="s">
        <v>153</v>
      </c>
      <c r="B22" s="176">
        <f>B21*0.2</f>
        <v>8711815.1999999993</v>
      </c>
      <c r="C22" s="172"/>
      <c r="D22" s="176">
        <f>D21*0.2</f>
        <v>8711815.1999999993</v>
      </c>
      <c r="E22" s="176"/>
      <c r="F22" s="176">
        <f>F21*0.2</f>
        <v>9304408.1999999993</v>
      </c>
      <c r="G22" s="176">
        <f>G21*0.2</f>
        <v>9126630.4000000004</v>
      </c>
    </row>
    <row r="23" spans="1:9" ht="15.75">
      <c r="A23" s="174" t="s">
        <v>154</v>
      </c>
      <c r="B23" s="176">
        <f>B21+B22</f>
        <v>52270891.200000003</v>
      </c>
      <c r="C23" s="172"/>
      <c r="D23" s="176">
        <f>D21+D22</f>
        <v>52270891.200000003</v>
      </c>
      <c r="E23" s="176"/>
      <c r="F23" s="176">
        <f>F21+F22</f>
        <v>55826449.200000003</v>
      </c>
      <c r="G23" s="176">
        <f>G21+G22</f>
        <v>54759782.399999999</v>
      </c>
      <c r="H23" s="100">
        <f>F23-D23</f>
        <v>3555558</v>
      </c>
    </row>
    <row r="24" spans="1:9" ht="15.75">
      <c r="A24" s="177"/>
      <c r="B24" s="178"/>
      <c r="C24" s="178"/>
      <c r="D24" s="178"/>
      <c r="E24" s="178"/>
      <c r="F24" s="178"/>
      <c r="G24" s="142"/>
    </row>
    <row r="25" spans="1:9" ht="36" customHeight="1">
      <c r="A25" s="1392" t="s">
        <v>174</v>
      </c>
      <c r="B25" s="1392"/>
      <c r="C25" s="179">
        <v>1</v>
      </c>
      <c r="D25" s="142"/>
      <c r="E25" s="142"/>
      <c r="F25" s="142"/>
      <c r="G25" s="142"/>
    </row>
    <row r="26" spans="1:9" ht="15.75">
      <c r="A26" s="180" t="s">
        <v>155</v>
      </c>
      <c r="B26" s="180"/>
      <c r="C26" s="179"/>
      <c r="D26" s="142"/>
      <c r="E26" s="142"/>
      <c r="F26" s="142"/>
      <c r="G26" s="142"/>
    </row>
    <row r="27" spans="1:9" ht="23.45" customHeight="1">
      <c r="A27" s="1391" t="s">
        <v>1172</v>
      </c>
      <c r="B27" s="1391"/>
      <c r="C27" s="1391"/>
      <c r="D27" s="1391"/>
      <c r="E27" s="1391"/>
      <c r="F27" s="1391"/>
      <c r="G27" s="165"/>
    </row>
    <row r="28" spans="1:9" ht="23.45" customHeight="1">
      <c r="A28" s="181"/>
      <c r="B28" s="181"/>
      <c r="C28" s="181"/>
      <c r="D28" s="181"/>
      <c r="E28" s="181"/>
      <c r="F28" s="181"/>
      <c r="G28" s="165"/>
    </row>
    <row r="29" spans="1:9" ht="15.75">
      <c r="A29" s="1402" t="s">
        <v>156</v>
      </c>
      <c r="B29" s="1402"/>
      <c r="C29" s="1402"/>
      <c r="D29" s="1402"/>
      <c r="E29" s="142"/>
      <c r="F29" s="142"/>
      <c r="G29" s="142"/>
    </row>
    <row r="30" spans="1:9" ht="15.75">
      <c r="A30" s="938"/>
      <c r="B30" s="938"/>
      <c r="C30" s="938"/>
      <c r="D30" s="938"/>
      <c r="E30" s="142"/>
      <c r="F30" s="142"/>
      <c r="G30" s="142"/>
    </row>
    <row r="31" spans="1:9">
      <c r="A31" s="1403" t="s">
        <v>1152</v>
      </c>
      <c r="B31" s="1403"/>
      <c r="C31" s="1403"/>
      <c r="D31" s="1403"/>
      <c r="E31" s="1403"/>
      <c r="F31" s="977">
        <v>44835</v>
      </c>
      <c r="H31" s="977">
        <v>44926</v>
      </c>
      <c r="I31" t="s">
        <v>1153</v>
      </c>
    </row>
    <row r="32" spans="1:9" ht="15.75">
      <c r="A32" s="1404" t="s">
        <v>1154</v>
      </c>
      <c r="B32" s="1405"/>
      <c r="C32" s="1405"/>
      <c r="D32" s="1405"/>
      <c r="E32" s="1406"/>
      <c r="F32" s="978">
        <f>ROUNDUP((F34-F33)/30.5,1)</f>
        <v>15.1</v>
      </c>
      <c r="H32" s="977">
        <v>44927</v>
      </c>
      <c r="I32" t="s">
        <v>1155</v>
      </c>
    </row>
    <row r="33" spans="1:9" ht="15.75">
      <c r="A33" s="1404" t="s">
        <v>159</v>
      </c>
      <c r="B33" s="1405"/>
      <c r="C33" s="1405"/>
      <c r="D33" s="1405"/>
      <c r="E33" s="1406"/>
      <c r="F33" s="977">
        <v>44896</v>
      </c>
      <c r="H33" s="977">
        <v>45291</v>
      </c>
      <c r="I33" t="s">
        <v>1156</v>
      </c>
    </row>
    <row r="34" spans="1:9" ht="15.75">
      <c r="A34" s="1404" t="s">
        <v>160</v>
      </c>
      <c r="B34" s="1405"/>
      <c r="C34" s="1405"/>
      <c r="D34" s="1405"/>
      <c r="E34" s="1406"/>
      <c r="F34" s="977">
        <v>45355</v>
      </c>
      <c r="H34" s="977">
        <v>45292</v>
      </c>
      <c r="I34" t="s">
        <v>1157</v>
      </c>
    </row>
    <row r="35" spans="1:9" ht="15.75">
      <c r="A35" s="1407" t="s">
        <v>1158</v>
      </c>
      <c r="B35" s="1407"/>
      <c r="C35" s="1407"/>
      <c r="D35" s="1407"/>
      <c r="E35" s="1407"/>
      <c r="F35" s="979">
        <f>(H31-F33)/30.5/F32</f>
        <v>7.0000000000000007E-2</v>
      </c>
    </row>
    <row r="36" spans="1:9" ht="15.75">
      <c r="A36" s="1407" t="s">
        <v>1159</v>
      </c>
      <c r="B36" s="1407"/>
      <c r="C36" s="1407"/>
      <c r="D36" s="1407"/>
      <c r="E36" s="1407"/>
      <c r="F36" s="979">
        <f>12/F32</f>
        <v>0.79</v>
      </c>
    </row>
    <row r="37" spans="1:9" ht="15.75">
      <c r="A37" s="1407" t="s">
        <v>1160</v>
      </c>
      <c r="B37" s="1407"/>
      <c r="C37" s="1407"/>
      <c r="D37" s="1407"/>
      <c r="E37" s="1407"/>
      <c r="F37" s="979">
        <f>1-F35-F36</f>
        <v>0.14000000000000001</v>
      </c>
    </row>
    <row r="38" spans="1:9" ht="35.25" customHeight="1">
      <c r="A38" s="1408" t="s">
        <v>1161</v>
      </c>
      <c r="B38" s="1409"/>
      <c r="C38" s="1409"/>
      <c r="D38" s="1409"/>
      <c r="E38" s="1410"/>
      <c r="F38" s="980">
        <v>1.139</v>
      </c>
    </row>
    <row r="39" spans="1:9" ht="15.75">
      <c r="A39" s="1411" t="s">
        <v>1162</v>
      </c>
      <c r="B39" s="1411"/>
      <c r="C39" s="1411"/>
      <c r="D39" s="981">
        <f>F38</f>
        <v>1.139</v>
      </c>
      <c r="E39" s="982" t="s">
        <v>1163</v>
      </c>
      <c r="F39" s="983">
        <f>F38^(1/12)</f>
        <v>1.0109049000000001</v>
      </c>
    </row>
    <row r="40" spans="1:9" ht="33" customHeight="1">
      <c r="A40" s="1412" t="s">
        <v>1164</v>
      </c>
      <c r="B40" s="1412"/>
      <c r="C40" s="1412"/>
      <c r="D40" s="1412"/>
      <c r="E40" s="1412"/>
      <c r="F40" s="984">
        <v>1.0589999999999999</v>
      </c>
    </row>
    <row r="41" spans="1:9" ht="15.75">
      <c r="A41" s="1411" t="s">
        <v>1165</v>
      </c>
      <c r="B41" s="1411"/>
      <c r="C41" s="1411"/>
      <c r="D41" s="981">
        <f>F40</f>
        <v>1.0589999999999999</v>
      </c>
      <c r="E41" s="982" t="s">
        <v>1163</v>
      </c>
      <c r="F41" s="983">
        <f>F40^(1/12)</f>
        <v>1.0047885000000001</v>
      </c>
    </row>
    <row r="42" spans="1:9" ht="33" customHeight="1">
      <c r="A42" s="1412" t="s">
        <v>1166</v>
      </c>
      <c r="B42" s="1412"/>
      <c r="C42" s="1412"/>
      <c r="D42" s="1412"/>
      <c r="E42" s="1412"/>
      <c r="F42" s="984">
        <v>1.0529999999999999</v>
      </c>
    </row>
    <row r="43" spans="1:9" ht="15.75">
      <c r="A43" s="1411" t="s">
        <v>1167</v>
      </c>
      <c r="B43" s="1411"/>
      <c r="C43" s="1411"/>
      <c r="D43" s="981">
        <f>F42</f>
        <v>1.0529999999999999</v>
      </c>
      <c r="E43" s="982" t="s">
        <v>1163</v>
      </c>
      <c r="F43" s="983">
        <f>F42^(1/12)</f>
        <v>1.0043129</v>
      </c>
    </row>
    <row r="44" spans="1:9" ht="15.75">
      <c r="A44" s="985" t="s">
        <v>1168</v>
      </c>
      <c r="B44" s="985"/>
      <c r="C44" s="1386" t="str">
        <f>CONCATENATE("(",F39,"^",ROUNDUP((F33-F31)/30.5,1),"+",F39,"^",ROUNDUP((H31-F31)/30.5,1),")","/2")</f>
        <v>(1,0109049^2+1,0109049^3)/2</v>
      </c>
      <c r="D44" s="1387"/>
      <c r="E44" s="1388"/>
      <c r="F44" s="986">
        <f>(F39^ROUNDUP((F33-F31)/30.5,1)+F39^ROUNDUP((H31-F31)/30.5,1))/2</f>
        <v>1.0275007</v>
      </c>
    </row>
    <row r="45" spans="1:9" ht="40.5" customHeight="1">
      <c r="A45" s="985" t="s">
        <v>1169</v>
      </c>
      <c r="B45" s="985"/>
      <c r="C45" s="1386" t="str">
        <f>CONCATENATE(F39,"^",ROUND((H32-F31)/30.5,1),"*","(",F41,"^1","+",F41,"^12",")","/2")</f>
        <v>1,0109049^3*(1,0047885^1+1,0047885^12)/2</v>
      </c>
      <c r="D45" s="1387"/>
      <c r="E45" s="1388"/>
      <c r="F45" s="986">
        <f>F39^ROUND((H32-F31)/30.5,1)*(F41^1+F41^12)/"2"</f>
        <v>1.0660217000000001</v>
      </c>
    </row>
    <row r="46" spans="1:9" ht="40.5" customHeight="1">
      <c r="A46" s="985" t="s">
        <v>1170</v>
      </c>
      <c r="B46" s="985"/>
      <c r="C46" s="1386" t="str">
        <f>CONCATENATE(F39,"^",ROUNDUP((H31-F31)/30.5,1),"*",F41,"^12*(",F43,"^1+",F43,"^",ROUNDUP((F34-H34)/30.5,1),")/2")</f>
        <v>1,0109049^3*1,0047885^12*(1,0043129^1+1,0043129^2,1)/2</v>
      </c>
      <c r="D46" s="1387"/>
      <c r="E46" s="1388"/>
      <c r="F46" s="986">
        <f>F39^ROUNDUP((H31-F31)/30.5,1)*F41^12*(F43^1+F43^ROUNDUP(((F34-H34)/30.5),1))/"2"</f>
        <v>1.1013491</v>
      </c>
    </row>
    <row r="47" spans="1:9" ht="34.5" customHeight="1">
      <c r="A47" s="1389" t="s">
        <v>1171</v>
      </c>
      <c r="B47" s="1390"/>
      <c r="C47" s="1386" t="str">
        <f>CONCATENATE(F35,"*",F44,"+",F36,"*",F45,"+",F37,"*",F46)</f>
        <v>0,07*1,0275007+0,79*1,0660217+0,14*1,1013491</v>
      </c>
      <c r="D47" s="1387"/>
      <c r="E47" s="1388"/>
      <c r="F47" s="987">
        <f>F35*F44+F36*F45+F37*F46</f>
        <v>1.0683</v>
      </c>
    </row>
    <row r="48" spans="1:9" ht="30" hidden="1">
      <c r="A48" s="118" t="s">
        <v>161</v>
      </c>
      <c r="B48" s="129">
        <f>(B50-B49)/30</f>
        <v>8.5</v>
      </c>
      <c r="C48" s="117" t="s">
        <v>157</v>
      </c>
      <c r="D48" s="120" t="s">
        <v>158</v>
      </c>
      <c r="E48" s="120"/>
      <c r="F48" s="120"/>
      <c r="G48" s="120"/>
    </row>
    <row r="49" spans="1:7" hidden="1">
      <c r="A49" s="117" t="s">
        <v>159</v>
      </c>
      <c r="B49" s="119">
        <v>44075</v>
      </c>
      <c r="C49" s="117"/>
      <c r="D49" s="120"/>
      <c r="E49" s="120"/>
      <c r="F49" s="120"/>
      <c r="G49" s="120"/>
    </row>
    <row r="50" spans="1:7" hidden="1">
      <c r="A50" s="117" t="s">
        <v>160</v>
      </c>
      <c r="B50" s="119">
        <v>44331</v>
      </c>
      <c r="C50" s="117"/>
      <c r="D50" s="120"/>
      <c r="E50" s="120"/>
      <c r="F50" s="120"/>
      <c r="G50" s="120"/>
    </row>
    <row r="51" spans="1:7" ht="29.25" hidden="1" customHeight="1">
      <c r="A51" s="1401" t="s">
        <v>177</v>
      </c>
      <c r="B51" s="1401"/>
      <c r="C51" s="1401"/>
      <c r="D51" s="1401"/>
      <c r="E51" s="126">
        <v>1.036</v>
      </c>
      <c r="F51" s="120"/>
      <c r="G51" s="120"/>
    </row>
    <row r="52" spans="1:7" hidden="1">
      <c r="A52" s="117" t="s">
        <v>178</v>
      </c>
      <c r="B52" s="121"/>
      <c r="C52" s="122"/>
      <c r="D52" s="120"/>
      <c r="E52" s="125">
        <f>1.036^(1/12)</f>
        <v>1.00295</v>
      </c>
      <c r="F52" s="120"/>
      <c r="G52" s="120"/>
    </row>
    <row r="53" spans="1:7" hidden="1">
      <c r="A53" s="117" t="s">
        <v>179</v>
      </c>
      <c r="B53" s="117"/>
      <c r="C53" s="1400" t="s">
        <v>181</v>
      </c>
      <c r="D53" s="1400"/>
      <c r="E53" s="125">
        <f>(E52^6.7+E52^11)/2</f>
        <v>1.02643</v>
      </c>
    </row>
  </sheetData>
  <mergeCells count="33">
    <mergeCell ref="C53:D53"/>
    <mergeCell ref="A51:D51"/>
    <mergeCell ref="A29:D29"/>
    <mergeCell ref="A31:E31"/>
    <mergeCell ref="A32:E32"/>
    <mergeCell ref="A33:E33"/>
    <mergeCell ref="A34:E34"/>
    <mergeCell ref="A35:E35"/>
    <mergeCell ref="A36:E36"/>
    <mergeCell ref="A37:E37"/>
    <mergeCell ref="A38:E38"/>
    <mergeCell ref="A39:C39"/>
    <mergeCell ref="A40:E40"/>
    <mergeCell ref="A41:C41"/>
    <mergeCell ref="A42:E42"/>
    <mergeCell ref="A43:C43"/>
    <mergeCell ref="A27:F27"/>
    <mergeCell ref="A6:F6"/>
    <mergeCell ref="A25:B25"/>
    <mergeCell ref="A1:F1"/>
    <mergeCell ref="B2:F2"/>
    <mergeCell ref="B3:F3"/>
    <mergeCell ref="F11:F12"/>
    <mergeCell ref="E11:E12"/>
    <mergeCell ref="D11:D12"/>
    <mergeCell ref="C11:C12"/>
    <mergeCell ref="B11:B12"/>
    <mergeCell ref="A11:A12"/>
    <mergeCell ref="C44:E44"/>
    <mergeCell ref="C45:E45"/>
    <mergeCell ref="C46:E46"/>
    <mergeCell ref="A47:B47"/>
    <mergeCell ref="C47:E47"/>
  </mergeCells>
  <pageMargins left="0.25" right="0.25" top="0.75" bottom="0.75" header="0.3" footer="0.3"/>
  <pageSetup paperSize="9" scale="5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11" zoomScale="85" zoomScaleNormal="90" zoomScaleSheetLayoutView="85" workbookViewId="0">
      <selection activeCell="G13" sqref="G13:G20"/>
    </sheetView>
  </sheetViews>
  <sheetFormatPr defaultColWidth="8.7109375" defaultRowHeight="12.75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>
      <c r="A1" s="182"/>
      <c r="B1" s="182"/>
      <c r="C1" s="182"/>
      <c r="D1" s="182"/>
      <c r="E1" s="182"/>
      <c r="F1" s="182"/>
      <c r="G1" s="182"/>
    </row>
    <row r="2" spans="1:10" ht="15.75">
      <c r="A2" s="1427" t="s">
        <v>0</v>
      </c>
      <c r="B2" s="1427"/>
      <c r="C2" s="1427"/>
      <c r="D2" s="1427"/>
      <c r="E2" s="1427"/>
      <c r="F2" s="1427"/>
      <c r="G2" s="1427"/>
    </row>
    <row r="3" spans="1:10" ht="15.75">
      <c r="A3" s="1427" t="s">
        <v>6</v>
      </c>
      <c r="B3" s="1427"/>
      <c r="C3" s="1427"/>
      <c r="D3" s="1427"/>
      <c r="E3" s="1427"/>
      <c r="F3" s="1427"/>
      <c r="G3" s="1427"/>
    </row>
    <row r="4" spans="1:10" ht="15.75">
      <c r="A4" s="182"/>
      <c r="B4" s="182"/>
      <c r="C4" s="182"/>
      <c r="D4" s="182"/>
      <c r="E4" s="182"/>
      <c r="F4" s="182"/>
      <c r="G4" s="182"/>
    </row>
    <row r="5" spans="1:10" ht="53.45" customHeight="1">
      <c r="A5" s="1428" t="s">
        <v>7</v>
      </c>
      <c r="B5" s="1429"/>
      <c r="C5" s="1434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5" s="1434"/>
      <c r="E5" s="1434"/>
      <c r="F5" s="1434"/>
      <c r="G5" s="1434"/>
      <c r="H5" s="15"/>
    </row>
    <row r="6" spans="1:10" s="2" customFormat="1" ht="42" customHeight="1">
      <c r="A6" s="1432" t="s">
        <v>8</v>
      </c>
      <c r="B6" s="1432"/>
      <c r="C6" s="1430"/>
      <c r="D6" s="1430"/>
      <c r="E6" s="1433"/>
      <c r="F6" s="1433"/>
      <c r="G6" s="1433"/>
    </row>
    <row r="7" spans="1:10" ht="29.25" customHeight="1">
      <c r="A7" s="1432" t="s">
        <v>1</v>
      </c>
      <c r="B7" s="1432"/>
      <c r="C7" s="1430" t="s">
        <v>1136</v>
      </c>
      <c r="D7" s="1430"/>
      <c r="E7" s="1431"/>
      <c r="F7" s="1431"/>
      <c r="G7" s="1431"/>
    </row>
    <row r="8" spans="1:10" ht="15.75">
      <c r="A8" s="183"/>
      <c r="B8" s="184"/>
      <c r="C8" s="183"/>
      <c r="D8" s="183"/>
      <c r="E8" s="183"/>
      <c r="F8" s="183"/>
      <c r="G8" s="185" t="s">
        <v>5</v>
      </c>
    </row>
    <row r="9" spans="1:10" ht="15.75">
      <c r="A9" s="1421" t="s">
        <v>2</v>
      </c>
      <c r="B9" s="1421" t="s">
        <v>3</v>
      </c>
      <c r="C9" s="1421" t="s">
        <v>9</v>
      </c>
      <c r="D9" s="1421" t="s">
        <v>46</v>
      </c>
      <c r="E9" s="1426" t="s">
        <v>96</v>
      </c>
      <c r="F9" s="1426"/>
      <c r="G9" s="1426"/>
      <c r="H9" s="1423" t="s">
        <v>95</v>
      </c>
    </row>
    <row r="10" spans="1:10" ht="34.5" customHeight="1">
      <c r="A10" s="1425"/>
      <c r="B10" s="1425"/>
      <c r="C10" s="1425"/>
      <c r="D10" s="1422"/>
      <c r="E10" s="186" t="s">
        <v>10</v>
      </c>
      <c r="F10" s="186" t="s">
        <v>11</v>
      </c>
      <c r="G10" s="186" t="s">
        <v>12</v>
      </c>
      <c r="H10" s="1424"/>
    </row>
    <row r="11" spans="1:10" ht="15.75">
      <c r="A11" s="187">
        <v>1</v>
      </c>
      <c r="B11" s="187">
        <v>2</v>
      </c>
      <c r="C11" s="187"/>
      <c r="D11" s="187"/>
      <c r="E11" s="187">
        <v>4</v>
      </c>
      <c r="F11" s="187">
        <v>5</v>
      </c>
      <c r="G11" s="187">
        <v>6</v>
      </c>
      <c r="H11" s="94">
        <v>7</v>
      </c>
    </row>
    <row r="12" spans="1:10" ht="15.75">
      <c r="A12" s="1418" t="s">
        <v>13</v>
      </c>
      <c r="B12" s="1419"/>
      <c r="C12" s="1419"/>
      <c r="D12" s="1419"/>
      <c r="E12" s="1419"/>
      <c r="F12" s="1419"/>
      <c r="G12" s="1420"/>
      <c r="H12" s="95"/>
    </row>
    <row r="13" spans="1:10" ht="32.25" customHeight="1">
      <c r="A13" s="188" t="s">
        <v>4</v>
      </c>
      <c r="B13" s="189" t="s">
        <v>128</v>
      </c>
      <c r="C13" s="190" t="s">
        <v>110</v>
      </c>
      <c r="D13" s="188" t="s">
        <v>135</v>
      </c>
      <c r="E13" s="1027">
        <f>'Сводная ИЗ'!C5</f>
        <v>550472</v>
      </c>
      <c r="F13" s="191"/>
      <c r="G13" s="191">
        <f>E13</f>
        <v>550472</v>
      </c>
      <c r="H13" s="95"/>
      <c r="J13" s="127"/>
    </row>
    <row r="14" spans="1:10" s="101" customFormat="1" ht="36.6" customHeight="1">
      <c r="A14" s="188" t="s">
        <v>126</v>
      </c>
      <c r="B14" s="189" t="s">
        <v>129</v>
      </c>
      <c r="C14" s="190" t="s">
        <v>110</v>
      </c>
      <c r="D14" s="188" t="s">
        <v>134</v>
      </c>
      <c r="E14" s="1028">
        <f>'Сводная ИЗ'!C6</f>
        <v>23237325</v>
      </c>
      <c r="F14" s="192"/>
      <c r="G14" s="192">
        <f>F14+E14</f>
        <v>23237325</v>
      </c>
      <c r="H14" s="95"/>
      <c r="J14" s="127"/>
    </row>
    <row r="15" spans="1:10" s="101" customFormat="1" ht="36.6" customHeight="1">
      <c r="A15" s="188" t="s">
        <v>132</v>
      </c>
      <c r="B15" s="189" t="s">
        <v>182</v>
      </c>
      <c r="C15" s="190" t="s">
        <v>110</v>
      </c>
      <c r="D15" s="188" t="s">
        <v>136</v>
      </c>
      <c r="E15" s="1028">
        <f>'Сводная ИЗ'!C7</f>
        <v>4826769</v>
      </c>
      <c r="F15" s="192"/>
      <c r="G15" s="192">
        <f>F15+E15</f>
        <v>4826769</v>
      </c>
      <c r="H15" s="95"/>
      <c r="J15" s="127"/>
    </row>
    <row r="16" spans="1:10" s="101" customFormat="1" ht="36.6" customHeight="1">
      <c r="A16" s="188" t="s">
        <v>133</v>
      </c>
      <c r="B16" s="705" t="s">
        <v>130</v>
      </c>
      <c r="C16" s="190" t="s">
        <v>110</v>
      </c>
      <c r="D16" s="188" t="s">
        <v>137</v>
      </c>
      <c r="E16" s="1028">
        <f>'Сводная ИЗ'!C8</f>
        <v>497570</v>
      </c>
      <c r="F16" s="192"/>
      <c r="G16" s="192">
        <f>E16</f>
        <v>497570</v>
      </c>
      <c r="H16" s="95"/>
      <c r="J16" s="127"/>
    </row>
    <row r="17" spans="1:10" s="101" customFormat="1" ht="36.6" customHeight="1">
      <c r="A17" s="188" t="s">
        <v>189</v>
      </c>
      <c r="B17" s="189" t="s">
        <v>550</v>
      </c>
      <c r="C17" s="190" t="s">
        <v>110</v>
      </c>
      <c r="D17" s="188" t="s">
        <v>183</v>
      </c>
      <c r="E17" s="1028">
        <f>'Сводная ИЗ'!C9</f>
        <v>941831</v>
      </c>
      <c r="F17" s="192"/>
      <c r="G17" s="192">
        <f>E17</f>
        <v>941831</v>
      </c>
      <c r="H17" s="95"/>
      <c r="J17" s="127"/>
    </row>
    <row r="18" spans="1:10" s="101" customFormat="1" ht="36.6" customHeight="1">
      <c r="A18" s="188" t="s">
        <v>191</v>
      </c>
      <c r="B18" s="189" t="s">
        <v>131</v>
      </c>
      <c r="C18" s="190" t="s">
        <v>110</v>
      </c>
      <c r="D18" s="188" t="s">
        <v>190</v>
      </c>
      <c r="E18" s="1028">
        <f>'Сводная ИЗ'!C10</f>
        <v>644010</v>
      </c>
      <c r="F18" s="192"/>
      <c r="G18" s="192">
        <f>E18</f>
        <v>644010</v>
      </c>
      <c r="H18" s="95"/>
      <c r="J18" s="127"/>
    </row>
    <row r="19" spans="1:10" s="101" customFormat="1" ht="36.6" customHeight="1">
      <c r="A19" s="188" t="s">
        <v>767</v>
      </c>
      <c r="B19" s="189" t="s">
        <v>744</v>
      </c>
      <c r="C19" s="190" t="s">
        <v>110</v>
      </c>
      <c r="D19" s="188" t="s">
        <v>768</v>
      </c>
      <c r="E19" s="1028">
        <f>'Сводная ИЗ'!C11</f>
        <v>370267</v>
      </c>
      <c r="F19" s="192"/>
      <c r="G19" s="192">
        <f t="shared" ref="G19:G20" si="0">E19</f>
        <v>370267</v>
      </c>
      <c r="H19" s="95"/>
      <c r="J19" s="127"/>
    </row>
    <row r="20" spans="1:10" s="101" customFormat="1" ht="36.6" customHeight="1">
      <c r="A20" s="188" t="s">
        <v>769</v>
      </c>
      <c r="B20" s="705" t="s">
        <v>811</v>
      </c>
      <c r="C20" s="190" t="s">
        <v>110</v>
      </c>
      <c r="D20" s="188" t="s">
        <v>772</v>
      </c>
      <c r="E20" s="1028">
        <f>'Сводная ИЗ'!C12</f>
        <v>378764</v>
      </c>
      <c r="F20" s="192"/>
      <c r="G20" s="192">
        <f t="shared" si="0"/>
        <v>378764</v>
      </c>
      <c r="H20" s="95"/>
      <c r="J20" s="127"/>
    </row>
    <row r="21" spans="1:10" s="101" customFormat="1" ht="65.25" hidden="1" customHeight="1">
      <c r="A21" s="188" t="s">
        <v>854</v>
      </c>
      <c r="B21" s="705" t="s">
        <v>855</v>
      </c>
      <c r="C21" s="190" t="s">
        <v>110</v>
      </c>
      <c r="D21" s="1021" t="s">
        <v>875</v>
      </c>
      <c r="E21" s="1022">
        <f>1900000*0</f>
        <v>0</v>
      </c>
      <c r="F21" s="192"/>
      <c r="G21" s="192">
        <f>E21</f>
        <v>0</v>
      </c>
      <c r="H21" s="95"/>
      <c r="J21" s="127" t="s">
        <v>1903</v>
      </c>
    </row>
    <row r="22" spans="1:10" ht="25.5" customHeight="1">
      <c r="A22" s="1413" t="s">
        <v>14</v>
      </c>
      <c r="B22" s="1414"/>
      <c r="C22" s="1414"/>
      <c r="D22" s="1414"/>
      <c r="E22" s="1414"/>
      <c r="F22" s="1415"/>
      <c r="G22" s="193">
        <f>SUM(G13:G21)</f>
        <v>31447008</v>
      </c>
      <c r="H22" s="95"/>
      <c r="J22" s="128"/>
    </row>
    <row r="23" spans="1:10" ht="25.5" customHeight="1">
      <c r="A23" s="1416" t="s">
        <v>118</v>
      </c>
      <c r="B23" s="1417"/>
      <c r="C23" s="1417"/>
      <c r="D23" s="1417"/>
      <c r="E23" s="1417"/>
      <c r="F23" s="1417"/>
      <c r="G23" s="1417"/>
      <c r="H23" s="95"/>
    </row>
    <row r="24" spans="1:10" s="101" customFormat="1" ht="29.25" customHeight="1">
      <c r="A24" s="188" t="s">
        <v>120</v>
      </c>
      <c r="B24" s="194" t="s">
        <v>80</v>
      </c>
      <c r="C24" s="190" t="s">
        <v>110</v>
      </c>
      <c r="D24" s="188" t="s">
        <v>111</v>
      </c>
      <c r="E24" s="195"/>
      <c r="F24" s="1020">
        <f>'ПД EL7'!F1081</f>
        <v>8242271</v>
      </c>
      <c r="G24" s="191">
        <f t="shared" ref="G24:G27" si="1">F24</f>
        <v>8242271</v>
      </c>
      <c r="H24" s="95"/>
    </row>
    <row r="25" spans="1:10" s="101" customFormat="1" ht="125.25" customHeight="1">
      <c r="A25" s="188" t="s">
        <v>852</v>
      </c>
      <c r="B25" s="713" t="s">
        <v>851</v>
      </c>
      <c r="C25" s="190" t="s">
        <v>110</v>
      </c>
      <c r="D25" s="1294" t="str">
        <f>'[53]НТС СТУ EL7-EL9 (сравнение)'!$O$13</f>
        <v>КП (письмо ООО "НКД" исх. №3400 от 28.10.2022)</v>
      </c>
      <c r="E25" s="1295"/>
      <c r="F25" s="1020">
        <f>'[53]НТС СТУ EL7-EL9 (сравнение)'!$N$13</f>
        <v>2000000</v>
      </c>
      <c r="G25" s="191">
        <f t="shared" si="1"/>
        <v>2000000</v>
      </c>
      <c r="H25" s="95"/>
    </row>
    <row r="26" spans="1:10" s="101" customFormat="1" ht="119.25" customHeight="1">
      <c r="A26" s="188" t="s">
        <v>853</v>
      </c>
      <c r="B26" s="713" t="s">
        <v>856</v>
      </c>
      <c r="C26" s="190" t="s">
        <v>110</v>
      </c>
      <c r="D26" s="1294" t="str">
        <f>'[53]НТС СТУ EL7-EL9 (сравнение)'!$O$14</f>
        <v>КП (письмо ООО "НКД" исх. №3400 от 28.10.2022)</v>
      </c>
      <c r="E26" s="1295"/>
      <c r="F26" s="1020">
        <f>'[53]НТС СТУ EL7-EL9 (сравнение)'!$N$14</f>
        <v>1458333</v>
      </c>
      <c r="G26" s="191">
        <f t="shared" ref="G26" si="2">F26</f>
        <v>1458333</v>
      </c>
      <c r="H26" s="95"/>
    </row>
    <row r="27" spans="1:10" s="101" customFormat="1" ht="67.5" customHeight="1">
      <c r="A27" s="188" t="s">
        <v>869</v>
      </c>
      <c r="B27" s="724" t="s">
        <v>864</v>
      </c>
      <c r="C27" s="190" t="s">
        <v>110</v>
      </c>
      <c r="D27" s="188" t="s">
        <v>1680</v>
      </c>
      <c r="E27" s="195"/>
      <c r="F27" s="1020">
        <f>212942.56/1.2</f>
        <v>177452</v>
      </c>
      <c r="G27" s="191">
        <f t="shared" si="1"/>
        <v>177452</v>
      </c>
      <c r="H27" s="95"/>
    </row>
    <row r="28" spans="1:10" s="101" customFormat="1" ht="29.25" customHeight="1">
      <c r="A28" s="1413" t="s">
        <v>15</v>
      </c>
      <c r="B28" s="1414"/>
      <c r="C28" s="1414"/>
      <c r="D28" s="1414"/>
      <c r="E28" s="1414"/>
      <c r="F28" s="1415"/>
      <c r="G28" s="193">
        <f>SUM(G24:G27)</f>
        <v>11878056</v>
      </c>
      <c r="H28" s="95"/>
    </row>
    <row r="29" spans="1:10" s="101" customFormat="1" ht="29.25" customHeight="1">
      <c r="A29" s="1416" t="s">
        <v>123</v>
      </c>
      <c r="B29" s="1417"/>
      <c r="C29" s="1417"/>
      <c r="D29" s="1417"/>
      <c r="E29" s="1417"/>
      <c r="F29" s="1417"/>
      <c r="G29" s="1417"/>
      <c r="H29" s="95"/>
    </row>
    <row r="30" spans="1:10" ht="62.25" customHeight="1">
      <c r="A30" s="188" t="s">
        <v>112</v>
      </c>
      <c r="B30" s="194" t="s">
        <v>124</v>
      </c>
      <c r="C30" s="190"/>
      <c r="D30" s="188" t="s">
        <v>109</v>
      </c>
      <c r="E30" s="195"/>
      <c r="F30" s="196"/>
      <c r="G30" s="191">
        <f>'Экспертиза ПД и ИЗ'!H21</f>
        <v>3362309</v>
      </c>
      <c r="H30" s="96"/>
    </row>
    <row r="31" spans="1:10" ht="19.5" customHeight="1">
      <c r="A31" s="1413" t="s">
        <v>113</v>
      </c>
      <c r="B31" s="1414"/>
      <c r="C31" s="1414"/>
      <c r="D31" s="1414"/>
      <c r="E31" s="1414"/>
      <c r="F31" s="1415"/>
      <c r="G31" s="193">
        <f>G30</f>
        <v>3362309</v>
      </c>
      <c r="H31" s="96"/>
    </row>
    <row r="32" spans="1:10" s="101" customFormat="1" ht="19.5" customHeight="1">
      <c r="A32" s="197"/>
      <c r="B32" s="197"/>
      <c r="C32" s="197"/>
      <c r="D32" s="197"/>
      <c r="E32" s="197"/>
      <c r="F32" s="197" t="s">
        <v>119</v>
      </c>
      <c r="G32" s="199">
        <f>G22+G28+G31</f>
        <v>46687373</v>
      </c>
      <c r="H32" s="107"/>
    </row>
    <row r="33" spans="1:8" s="101" customFormat="1" ht="19.5" customHeight="1">
      <c r="A33" s="197"/>
      <c r="B33" s="197"/>
      <c r="C33" s="197"/>
      <c r="D33" s="197"/>
      <c r="E33" s="197"/>
      <c r="F33" s="197"/>
      <c r="G33" s="198"/>
      <c r="H33" s="107"/>
    </row>
    <row r="34" spans="1:8" s="101" customFormat="1" ht="19.5" customHeight="1">
      <c r="A34" s="197"/>
      <c r="B34" s="197"/>
      <c r="C34" s="197"/>
      <c r="D34" s="197"/>
      <c r="E34" s="197"/>
      <c r="F34" s="197"/>
      <c r="G34" s="198"/>
      <c r="H34" s="107"/>
    </row>
    <row r="35" spans="1:8" s="101" customFormat="1" ht="19.5" customHeight="1">
      <c r="A35" s="197"/>
      <c r="B35" s="197"/>
      <c r="C35" s="197"/>
      <c r="D35" s="197"/>
      <c r="E35" s="197"/>
      <c r="F35" s="197"/>
      <c r="G35" s="198"/>
      <c r="H35" s="107"/>
    </row>
    <row r="36" spans="1:8" s="101" customFormat="1" ht="19.5" customHeight="1">
      <c r="A36" s="197"/>
      <c r="B36" s="197"/>
      <c r="C36" s="197"/>
      <c r="D36" s="197"/>
      <c r="E36" s="197"/>
      <c r="F36" s="197"/>
      <c r="G36" s="198"/>
      <c r="H36" s="107"/>
    </row>
    <row r="37" spans="1:8" s="101" customFormat="1" ht="19.5" customHeight="1">
      <c r="A37" s="105"/>
      <c r="B37" s="105"/>
      <c r="C37" s="105"/>
      <c r="D37" s="105"/>
      <c r="E37" s="105"/>
      <c r="F37" s="105"/>
      <c r="G37" s="106"/>
      <c r="H37" s="107"/>
    </row>
    <row r="38" spans="1:8" s="101" customFormat="1" ht="19.5" customHeight="1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>
      <c r="A40" s="105"/>
      <c r="B40" s="105"/>
      <c r="C40" s="105"/>
      <c r="D40" s="105"/>
      <c r="E40" s="105"/>
      <c r="F40" s="105"/>
      <c r="G40" s="106"/>
      <c r="H40" s="107"/>
    </row>
  </sheetData>
  <mergeCells count="20">
    <mergeCell ref="A2:G2"/>
    <mergeCell ref="A3:G3"/>
    <mergeCell ref="A5:B5"/>
    <mergeCell ref="C7:G7"/>
    <mergeCell ref="A6:B6"/>
    <mergeCell ref="C6:G6"/>
    <mergeCell ref="C5:G5"/>
    <mergeCell ref="A7:B7"/>
    <mergeCell ref="D9:D10"/>
    <mergeCell ref="A23:G23"/>
    <mergeCell ref="H9:H10"/>
    <mergeCell ref="A9:A10"/>
    <mergeCell ref="B9:B10"/>
    <mergeCell ref="C9:C10"/>
    <mergeCell ref="E9:G9"/>
    <mergeCell ref="A31:F31"/>
    <mergeCell ref="A28:F28"/>
    <mergeCell ref="A29:G29"/>
    <mergeCell ref="A12:G12"/>
    <mergeCell ref="A22:F22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18</vt:i4>
      </vt:variant>
    </vt:vector>
  </HeadingPairs>
  <TitlesOfParts>
    <vt:vector size="39" baseType="lpstr">
      <vt:lpstr>дендрология</vt:lpstr>
      <vt:lpstr>КВЛ EL7</vt:lpstr>
      <vt:lpstr>УНЦС (справочно)</vt:lpstr>
      <vt:lpstr>ЛСР №2 видеоэкран</vt:lpstr>
      <vt:lpstr>Пояснительная</vt:lpstr>
      <vt:lpstr>Протокол</vt:lpstr>
      <vt:lpstr>НМЦ</vt:lpstr>
      <vt:lpstr>НМЦК</vt:lpstr>
      <vt:lpstr>Cводная смета ПИР</vt:lpstr>
      <vt:lpstr>ПД EL7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(по форме 3п)</vt:lpstr>
      <vt:lpstr>Сводная ИЗ</vt:lpstr>
      <vt:lpstr>ВОП </vt:lpstr>
      <vt:lpstr>Геодезия!SUM_</vt:lpstr>
      <vt:lpstr>'КВЛ EL7'!Заголовки_для_печати</vt:lpstr>
      <vt:lpstr>'ЛСР №2 видеоэкран'!Заголовки_для_печати</vt:lpstr>
      <vt:lpstr>'ПД EL7'!Заголовки_для_печати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(по форме 3п)'!Область_печати</vt:lpstr>
      <vt:lpstr>Геодезия!Область_печати</vt:lpstr>
      <vt:lpstr>'Геофизика '!Область_печати</vt:lpstr>
      <vt:lpstr>'КВЛ EL7'!Область_печати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2022-10-28T12:53:23Z</dcterms:modified>
</cp:coreProperties>
</file>