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0160" windowHeight="7965" tabRatio="952" firstSheet="1" activeTab="6"/>
  </bookViews>
  <sheets>
    <sheet name="Программа ГТМ" sheetId="35" state="hidden" r:id="rId1"/>
    <sheet name="Геодезия" sheetId="105" r:id="rId2"/>
    <sheet name="Геология" sheetId="104" r:id="rId3"/>
    <sheet name="Геофизика" sheetId="100" r:id="rId4"/>
    <sheet name="Гидромет" sheetId="85" r:id="rId5"/>
    <sheet name="Экология" sheetId="106" r:id="rId6"/>
    <sheet name="Сводная" sheetId="3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UTOEXEC">#REF!</definedName>
    <definedName name="\k">#REF!</definedName>
    <definedName name="\m">#REF!</definedName>
    <definedName name="\s">#REF!</definedName>
    <definedName name="\z">#REF!</definedName>
    <definedName name="as">#REF!</definedName>
    <definedName name="dck">[1]топография!#REF!</definedName>
    <definedName name="df">#REF!</definedName>
    <definedName name="ert">#REF!</definedName>
    <definedName name="Excel_BuiltIn_Print_Titles_2">#REF!</definedName>
    <definedName name="Excel_BuiltIn_Print_Titles_3">#REF!</definedName>
    <definedName name="fg">#REF!</definedName>
    <definedName name="Itog">#REF!</definedName>
    <definedName name="KPlan">#REF!</definedName>
    <definedName name="q">#REF!</definedName>
    <definedName name="qwer">#REF!</definedName>
    <definedName name="rty">#REF!</definedName>
    <definedName name="sd">#REF!</definedName>
    <definedName name="SM">#REF!</definedName>
    <definedName name="SM_SM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tyu">#REF!</definedName>
    <definedName name="w">#REF!</definedName>
    <definedName name="wer">#REF!</definedName>
    <definedName name="wrn.1." localSheetId="1" hidden="1">{#N/A,#N/A,FALSE,"Шаблон_Спец1"}</definedName>
    <definedName name="wrn.1." localSheetId="2" hidden="1">{#N/A,#N/A,FALSE,"Шаблон_Спец1"}</definedName>
    <definedName name="wrn.1." localSheetId="3" hidden="1">{#N/A,#N/A,FALSE,"Шаблон_Спец1"}</definedName>
    <definedName name="wrn.1." localSheetId="4" hidden="1">{#N/A,#N/A,FALSE,"Шаблон_Спец1"}</definedName>
    <definedName name="wrn.1." localSheetId="5" hidden="1">{#N/A,#N/A,FALSE,"Шаблон_Спец1"}</definedName>
    <definedName name="wrn.1." hidden="1">{#N/A,#N/A,FALSE,"Шаблон_Спец1"}</definedName>
    <definedName name="yui">#REF!</definedName>
    <definedName name="ZAK1">#REF!</definedName>
    <definedName name="ZAK2">#REF!</definedName>
    <definedName name="а36">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Бланк_сметы">#REF!</definedName>
    <definedName name="БСИР">#REF!</definedName>
    <definedName name="ва">#REF!</definedName>
    <definedName name="вв">[1]топография!#REF!</definedName>
    <definedName name="Внут_Т">#REF!</definedName>
    <definedName name="ВСЕГО">#REF!</definedName>
    <definedName name="Вспом">#REF!</definedName>
    <definedName name="геодез1">[4]геолог!$L$81</definedName>
    <definedName name="ГРП">#REF!</definedName>
    <definedName name="ГРП1">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[3]Вспомогательный!$D$36</definedName>
    <definedName name="дж1">[3]Вспомогательный!$D$38</definedName>
    <definedName name="ДЛО">#REF!</definedName>
    <definedName name="дп">#REF!</definedName>
    <definedName name="ДСК">[5]топография!#REF!</definedName>
    <definedName name="дэ">#REF!</definedName>
    <definedName name="жж">[3]Вспомогательный!$D$80</definedName>
    <definedName name="_xlnm.Print_Titles" localSheetId="5">Экология!$12:$12</definedName>
    <definedName name="ии">#REF!</definedName>
    <definedName name="инфл">#REF!</definedName>
    <definedName name="ип">#REF!</definedName>
    <definedName name="ит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лплан">#REF!</definedName>
    <definedName name="Кам_стац">#REF!</definedName>
    <definedName name="Камер_эксп_усл">#REF!</definedName>
    <definedName name="ккее">#REF!</definedName>
    <definedName name="конкурс">#REF!</definedName>
    <definedName name="кп">#REF!</definedName>
    <definedName name="Крек">'[2]Лист опроса'!$B$17</definedName>
    <definedName name="Крп">'[2]Лист опроса'!$B$19</definedName>
    <definedName name="курорты">#REF!</definedName>
    <definedName name="Кэл">'[2]Лист опроса'!$B$20</definedName>
    <definedName name="лаб_иссл">#REF!</definedName>
    <definedName name="Лаб_стац">#REF!</definedName>
    <definedName name="Лаб_эксп_усл">#REF!</definedName>
    <definedName name="лл">[3]Вспомогательный!$D$78</definedName>
    <definedName name="мж1">'[6]СметаСводная 1 оч'!$D$6</definedName>
    <definedName name="ндс">#REF!</definedName>
    <definedName name="Нсапк">'[2]Лист опроса'!$B$34</definedName>
    <definedName name="Нсстр">'[2]Лист опроса'!$B$32</definedName>
    <definedName name="ООО_НИИПРИИ___Севзапинжтехнология">#REF!</definedName>
    <definedName name="Осн_Камер">#REF!</definedName>
    <definedName name="Отчет">#REF!</definedName>
    <definedName name="п1111111">#REF!</definedName>
    <definedName name="ПА3">#REF!</definedName>
    <definedName name="ПА4">#REF!</definedName>
    <definedName name="ПД">#REF!</definedName>
    <definedName name="пионер">#REF!</definedName>
    <definedName name="ПИСС_стац">#REF!</definedName>
    <definedName name="ПИСС_эксп">#REF!</definedName>
    <definedName name="Пкр">'[2]Лист опроса'!$B$41</definedName>
    <definedName name="План">'[7]Смета 7'!$F$1</definedName>
    <definedName name="Полевые">#REF!</definedName>
    <definedName name="пппп">#REF!</definedName>
    <definedName name="пр">[5]топография!#REF!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т">'[2]Лист опроса'!$B$6</definedName>
    <definedName name="Расчёт1">'[8]Смета 7'!$F$1</definedName>
    <definedName name="рек">#REF!</definedName>
    <definedName name="рига">'[9]СметаСводная снег'!$E$7</definedName>
    <definedName name="РРК">#REF!</definedName>
    <definedName name="РСЛ">#REF!</definedName>
    <definedName name="С" localSheetId="1" hidden="1">{#N/A,#N/A,FALSE,"Шаблон_Спец1"}</definedName>
    <definedName name="С" localSheetId="2" hidden="1">{#N/A,#N/A,FALSE,"Шаблон_Спец1"}</definedName>
    <definedName name="С" localSheetId="3" hidden="1">{#N/A,#N/A,FALSE,"Шаблон_Спец1"}</definedName>
    <definedName name="С" localSheetId="4" hidden="1">{#N/A,#N/A,FALSE,"Шаблон_Спец1"}</definedName>
    <definedName name="С" localSheetId="5" hidden="1">{#N/A,#N/A,FALSE,"Шаблон_Спец1"}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1">#REF!</definedName>
    <definedName name="Свод1">#REF!</definedName>
    <definedName name="Сводная">#REF!</definedName>
    <definedName name="Сводная_новая1">#REF!</definedName>
    <definedName name="Сводная1">#REF!</definedName>
    <definedName name="СВсм">[3]Вспомогательный!$D$36</definedName>
    <definedName name="сев">#REF!</definedName>
    <definedName name="Север">#REF!</definedName>
    <definedName name="см_конк">#REF!</definedName>
    <definedName name="См6">'[10]Смета 7'!$F$1</definedName>
    <definedName name="Смета_2">'[8]Смета 7'!$F$1</definedName>
    <definedName name="Смета11">'[11]Смета 7'!$F$1</definedName>
    <definedName name="Смета21">'[12]Смета 7'!$F$1</definedName>
    <definedName name="Смета3">[3]Вспомогательный!$D$78</definedName>
    <definedName name="Содерж_Осн_Базы">#REF!</definedName>
    <definedName name="сп1">#REF!</definedName>
    <definedName name="сп2">#REF!</definedName>
    <definedName name="ССР_ИИ_Д1_корр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  <definedName name="Т5">#REF!</definedName>
    <definedName name="Т6">#REF!</definedName>
    <definedName name="теодкккккккккккк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фы">[5]топография!#REF!</definedName>
    <definedName name="чсипа">[5]топография!#REF!</definedName>
  </definedNames>
  <calcPr calcId="145621" fullPrecision="0"/>
</workbook>
</file>

<file path=xl/calcChain.xml><?xml version="1.0" encoding="utf-8"?>
<calcChain xmlns="http://schemas.openxmlformats.org/spreadsheetml/2006/main">
  <c r="C12" i="37" l="1"/>
  <c r="C11" i="37"/>
  <c r="C10" i="37"/>
  <c r="C9" i="37"/>
  <c r="C8" i="37"/>
  <c r="C7" i="37"/>
  <c r="G80" i="106"/>
  <c r="J58" i="85"/>
  <c r="J57" i="85"/>
  <c r="G45" i="100"/>
  <c r="E92" i="106" l="1"/>
  <c r="E74" i="106"/>
  <c r="G74" i="106" s="1"/>
  <c r="E73" i="106"/>
  <c r="G73" i="106" s="1"/>
  <c r="G72" i="106"/>
  <c r="E71" i="106"/>
  <c r="G71" i="106" s="1"/>
  <c r="G70" i="106"/>
  <c r="E70" i="106"/>
  <c r="G69" i="106"/>
  <c r="G66" i="106"/>
  <c r="E66" i="106"/>
  <c r="E65" i="106"/>
  <c r="G65" i="106" s="1"/>
  <c r="G64" i="106"/>
  <c r="E64" i="106"/>
  <c r="E63" i="106"/>
  <c r="G63" i="106" s="1"/>
  <c r="G62" i="106"/>
  <c r="E62" i="106"/>
  <c r="E61" i="106"/>
  <c r="G61" i="106" s="1"/>
  <c r="G60" i="106"/>
  <c r="E60" i="106"/>
  <c r="E59" i="106"/>
  <c r="G59" i="106" s="1"/>
  <c r="G58" i="106"/>
  <c r="E58" i="106"/>
  <c r="E57" i="106"/>
  <c r="G57" i="106" s="1"/>
  <c r="G56" i="106"/>
  <c r="E56" i="106"/>
  <c r="E55" i="106"/>
  <c r="G55" i="106" s="1"/>
  <c r="G54" i="106"/>
  <c r="E54" i="106"/>
  <c r="E53" i="106"/>
  <c r="G53" i="106" s="1"/>
  <c r="G52" i="106"/>
  <c r="E52" i="106"/>
  <c r="E51" i="106"/>
  <c r="G51" i="106" s="1"/>
  <c r="G50" i="106"/>
  <c r="E50" i="106"/>
  <c r="E49" i="106"/>
  <c r="G49" i="106" s="1"/>
  <c r="G47" i="106"/>
  <c r="E47" i="106"/>
  <c r="E46" i="106"/>
  <c r="G46" i="106" s="1"/>
  <c r="G45" i="106"/>
  <c r="F45" i="106"/>
  <c r="E45" i="106"/>
  <c r="E43" i="106"/>
  <c r="G43" i="106" s="1"/>
  <c r="E42" i="106"/>
  <c r="G42" i="106" s="1"/>
  <c r="E41" i="106"/>
  <c r="G41" i="106" s="1"/>
  <c r="E40" i="106"/>
  <c r="G40" i="106" s="1"/>
  <c r="E39" i="106"/>
  <c r="G39" i="106" s="1"/>
  <c r="E38" i="106"/>
  <c r="G38" i="106" s="1"/>
  <c r="E37" i="106"/>
  <c r="G37" i="106" s="1"/>
  <c r="E36" i="106"/>
  <c r="G36" i="106" s="1"/>
  <c r="E35" i="106"/>
  <c r="G35" i="106" s="1"/>
  <c r="G34" i="106"/>
  <c r="G23" i="106"/>
  <c r="G22" i="106"/>
  <c r="G21" i="106"/>
  <c r="G20" i="106"/>
  <c r="G19" i="106"/>
  <c r="G18" i="106"/>
  <c r="G17" i="106"/>
  <c r="G16" i="106"/>
  <c r="G15" i="106"/>
  <c r="G24" i="106" s="1"/>
  <c r="G14" i="106"/>
  <c r="L29" i="105"/>
  <c r="K28" i="105"/>
  <c r="K27" i="105"/>
  <c r="K26" i="105"/>
  <c r="D22" i="105"/>
  <c r="K22" i="105" s="1"/>
  <c r="L22" i="105" s="1"/>
  <c r="D21" i="105"/>
  <c r="K21" i="105" s="1"/>
  <c r="L21" i="105" s="1"/>
  <c r="L20" i="105"/>
  <c r="K20" i="105"/>
  <c r="K19" i="105"/>
  <c r="L19" i="105" s="1"/>
  <c r="L14" i="105"/>
  <c r="K14" i="105"/>
  <c r="K13" i="105"/>
  <c r="L13" i="105" s="1"/>
  <c r="L12" i="105"/>
  <c r="K12" i="105"/>
  <c r="K11" i="105"/>
  <c r="L11" i="105" s="1"/>
  <c r="L15" i="105" l="1"/>
  <c r="F16" i="105" s="1"/>
  <c r="L16" i="105" s="1"/>
  <c r="L17" i="105" s="1"/>
  <c r="F26" i="105" s="1"/>
  <c r="L26" i="105" s="1"/>
  <c r="G67" i="106"/>
  <c r="E75" i="106" s="1"/>
  <c r="G75" i="106" s="1"/>
  <c r="G76" i="106" s="1"/>
  <c r="G78" i="106" s="1"/>
  <c r="G25" i="106"/>
  <c r="F26" i="106"/>
  <c r="G26" i="106" s="1"/>
  <c r="F27" i="106" s="1"/>
  <c r="F77" i="106"/>
  <c r="G77" i="106" s="1"/>
  <c r="L23" i="105"/>
  <c r="L24" i="105" s="1"/>
  <c r="I61" i="104"/>
  <c r="I60" i="104"/>
  <c r="I59" i="104"/>
  <c r="D58" i="104"/>
  <c r="I58" i="104" s="1"/>
  <c r="I57" i="104"/>
  <c r="I53" i="104"/>
  <c r="I52" i="104"/>
  <c r="D51" i="104"/>
  <c r="I51" i="104" s="1"/>
  <c r="I50" i="104"/>
  <c r="I49" i="104"/>
  <c r="D48" i="104"/>
  <c r="I48" i="104" s="1"/>
  <c r="I45" i="104"/>
  <c r="I44" i="104"/>
  <c r="I43" i="104"/>
  <c r="D55" i="104" s="1"/>
  <c r="I55" i="104" s="1"/>
  <c r="I42" i="104"/>
  <c r="D56" i="104" s="1"/>
  <c r="I56" i="104" s="1"/>
  <c r="I41" i="104"/>
  <c r="I40" i="104"/>
  <c r="I39" i="104"/>
  <c r="I38" i="104"/>
  <c r="D54" i="104" s="1"/>
  <c r="I54" i="104" s="1"/>
  <c r="I37" i="104"/>
  <c r="I30" i="104"/>
  <c r="I29" i="104"/>
  <c r="I28" i="104"/>
  <c r="I27" i="104"/>
  <c r="I26" i="104"/>
  <c r="I25" i="104"/>
  <c r="I24" i="104"/>
  <c r="I23" i="104"/>
  <c r="I22" i="104"/>
  <c r="I21" i="104"/>
  <c r="I20" i="104"/>
  <c r="I19" i="104"/>
  <c r="I18" i="104"/>
  <c r="I17" i="104"/>
  <c r="I16" i="104"/>
  <c r="I15" i="104"/>
  <c r="I14" i="104"/>
  <c r="I31" i="104" s="1"/>
  <c r="I13" i="104"/>
  <c r="G27" i="106" l="1"/>
  <c r="G29" i="106" s="1"/>
  <c r="G30" i="106" s="1"/>
  <c r="G31" i="106" s="1"/>
  <c r="G79" i="106" s="1"/>
  <c r="G28" i="106"/>
  <c r="F27" i="105"/>
  <c r="I33" i="104"/>
  <c r="I32" i="104"/>
  <c r="D34" i="104"/>
  <c r="I34" i="104" s="1"/>
  <c r="I35" i="104" s="1"/>
  <c r="D62" i="104"/>
  <c r="I46" i="104"/>
  <c r="G94" i="106" l="1"/>
  <c r="D11" i="37" s="1"/>
  <c r="G93" i="106"/>
  <c r="F28" i="105"/>
  <c r="L28" i="105" s="1"/>
  <c r="L27" i="105"/>
  <c r="D66" i="104"/>
  <c r="I62" i="104"/>
  <c r="I63" i="104" s="1"/>
  <c r="L30" i="105" l="1"/>
  <c r="L31" i="105" s="1"/>
  <c r="D65" i="104"/>
  <c r="I65" i="104" s="1"/>
  <c r="I66" i="104"/>
  <c r="D68" i="104"/>
  <c r="I68" i="104" s="1"/>
  <c r="D67" i="104"/>
  <c r="I67" i="104" s="1"/>
  <c r="L32" i="105" l="1"/>
  <c r="L33" i="105" s="1"/>
  <c r="L34" i="105" s="1"/>
  <c r="D70" i="104"/>
  <c r="I70" i="104" s="1"/>
  <c r="D71" i="104"/>
  <c r="I71" i="104" s="1"/>
  <c r="D69" i="104"/>
  <c r="I69" i="104" s="1"/>
  <c r="I72" i="104"/>
  <c r="I73" i="104" s="1"/>
  <c r="D74" i="104" s="1"/>
  <c r="I74" i="104" s="1"/>
  <c r="I75" i="104" s="1"/>
  <c r="F35" i="105" l="1"/>
  <c r="L35" i="105" s="1"/>
  <c r="L36" i="105" s="1"/>
  <c r="D7" i="37" s="1"/>
  <c r="I77" i="104"/>
  <c r="I78" i="104" s="1"/>
  <c r="D8" i="37" s="1"/>
  <c r="D9" i="37" l="1"/>
  <c r="G31" i="100"/>
  <c r="G27" i="100"/>
  <c r="G24" i="100"/>
  <c r="G30" i="100" s="1"/>
  <c r="G15" i="100"/>
  <c r="G19" i="100" s="1"/>
  <c r="G10" i="100"/>
  <c r="G34" i="100" l="1"/>
  <c r="G35" i="100" s="1"/>
  <c r="G20" i="100"/>
  <c r="G21" i="100" l="1"/>
  <c r="G22" i="100" s="1"/>
  <c r="G37" i="100" l="1"/>
  <c r="G40" i="100" s="1"/>
  <c r="G38" i="100" l="1"/>
  <c r="G39" i="100"/>
  <c r="G41" i="100"/>
  <c r="G42" i="100" s="1"/>
  <c r="G43" i="100" s="1"/>
  <c r="G44" i="100" s="1"/>
  <c r="J49" i="85" l="1"/>
  <c r="I54" i="85" l="1"/>
  <c r="I53" i="85"/>
  <c r="I52" i="85"/>
  <c r="J48" i="85"/>
  <c r="I46" i="85"/>
  <c r="J46" i="85" s="1"/>
  <c r="J45" i="85"/>
  <c r="I45" i="85"/>
  <c r="I44" i="85"/>
  <c r="J44" i="85" s="1"/>
  <c r="J43" i="85"/>
  <c r="I43" i="85"/>
  <c r="I42" i="85"/>
  <c r="J42" i="85" s="1"/>
  <c r="J41" i="85"/>
  <c r="I41" i="85"/>
  <c r="I40" i="85"/>
  <c r="J40" i="85" s="1"/>
  <c r="J39" i="85"/>
  <c r="I39" i="85"/>
  <c r="I38" i="85"/>
  <c r="J38" i="85" s="1"/>
  <c r="J37" i="85"/>
  <c r="I37" i="85"/>
  <c r="I36" i="85"/>
  <c r="J36" i="85" s="1"/>
  <c r="J35" i="85"/>
  <c r="I35" i="85"/>
  <c r="I34" i="85"/>
  <c r="J34" i="85" s="1"/>
  <c r="J33" i="85"/>
  <c r="I33" i="85"/>
  <c r="I32" i="85"/>
  <c r="J32" i="85" s="1"/>
  <c r="J31" i="85"/>
  <c r="I31" i="85"/>
  <c r="I30" i="85"/>
  <c r="J30" i="85" s="1"/>
  <c r="D29" i="85"/>
  <c r="I29" i="85" s="1"/>
  <c r="J29" i="85" s="1"/>
  <c r="J28" i="85"/>
  <c r="I28" i="85"/>
  <c r="D28" i="85"/>
  <c r="I27" i="85"/>
  <c r="J27" i="85" s="1"/>
  <c r="D27" i="85"/>
  <c r="C27" i="85"/>
  <c r="B27" i="85"/>
  <c r="J25" i="85"/>
  <c r="J24" i="85"/>
  <c r="D47" i="85" s="1"/>
  <c r="I47" i="85" s="1"/>
  <c r="J47" i="85" s="1"/>
  <c r="I24" i="85"/>
  <c r="J21" i="85"/>
  <c r="I21" i="85"/>
  <c r="I20" i="85"/>
  <c r="J20" i="85" s="1"/>
  <c r="J19" i="85"/>
  <c r="I19" i="85"/>
  <c r="I18" i="85"/>
  <c r="J18" i="85" s="1"/>
  <c r="J17" i="85"/>
  <c r="I17" i="85"/>
  <c r="I16" i="85"/>
  <c r="J16" i="85" s="1"/>
  <c r="J15" i="85"/>
  <c r="I15" i="85"/>
  <c r="I14" i="85"/>
  <c r="J14" i="85" s="1"/>
  <c r="J13" i="85"/>
  <c r="I13" i="85"/>
  <c r="I12" i="85"/>
  <c r="J12" i="85" s="1"/>
  <c r="J11" i="85"/>
  <c r="J22" i="85" s="1"/>
  <c r="I11" i="85"/>
  <c r="F52" i="85" l="1"/>
  <c r="D49" i="85"/>
  <c r="J50" i="85"/>
  <c r="D48" i="85"/>
  <c r="F53" i="85" l="1"/>
  <c r="J53" i="85" s="1"/>
  <c r="J52" i="85"/>
  <c r="F54" i="85" s="1"/>
  <c r="J54" i="85" s="1"/>
  <c r="J55" i="85" l="1"/>
  <c r="J56" i="85" s="1"/>
  <c r="J59" i="85" s="1"/>
  <c r="D10" i="37" s="1"/>
  <c r="D12" i="37" s="1"/>
  <c r="G13" i="35" l="1"/>
  <c r="G12" i="35"/>
  <c r="G11" i="35"/>
  <c r="G14" i="35" l="1"/>
  <c r="G15" i="35" s="1"/>
  <c r="G17" i="35" s="1"/>
  <c r="G16" i="35" l="1"/>
  <c r="G18" i="35" s="1"/>
  <c r="G19" i="35" s="1"/>
  <c r="G20" i="35" s="1"/>
  <c r="G21" i="35" l="1"/>
  <c r="G22" i="35" s="1"/>
</calcChain>
</file>

<file path=xl/sharedStrings.xml><?xml version="1.0" encoding="utf-8"?>
<sst xmlns="http://schemas.openxmlformats.org/spreadsheetml/2006/main" count="793" uniqueCount="591">
  <si>
    <t>№ п/п</t>
  </si>
  <si>
    <t>Перечень выполняемых работ</t>
  </si>
  <si>
    <t>ООО "Росинжиниринг Проект"</t>
  </si>
  <si>
    <t>Итого</t>
  </si>
  <si>
    <t>НДС</t>
  </si>
  <si>
    <t>руб.</t>
  </si>
  <si>
    <t>Исполнители</t>
  </si>
  <si>
    <t>Средняя оплата труда за 1 день</t>
  </si>
  <si>
    <t>Оплата труда (всего)</t>
  </si>
  <si>
    <t>Должность</t>
  </si>
  <si>
    <t>1.</t>
  </si>
  <si>
    <t>2.</t>
  </si>
  <si>
    <t>3.</t>
  </si>
  <si>
    <t>Итого прямые затраты и накладные расходы</t>
  </si>
  <si>
    <t>Форма № 3-П</t>
  </si>
  <si>
    <t>Этап, вид проектных или изыскательских работ</t>
  </si>
  <si>
    <t xml:space="preserve">Наименование проектной (изыскательской) организации </t>
  </si>
  <si>
    <t>Наименование организации заказчика</t>
  </si>
  <si>
    <t>Количество чел.-дней</t>
  </si>
  <si>
    <t>Количество</t>
  </si>
  <si>
    <t>Главный специалист</t>
  </si>
  <si>
    <t>Ведущий специалист</t>
  </si>
  <si>
    <t>Инженер 1 кат</t>
  </si>
  <si>
    <t>Итого оплата труда, в тыс.руб.</t>
  </si>
  <si>
    <t>Другие прямые затраты (от ФОТ)</t>
  </si>
  <si>
    <t>%</t>
  </si>
  <si>
    <t>Накладные расходы (от ФОТ)</t>
  </si>
  <si>
    <t>Накопления (прибыль)</t>
  </si>
  <si>
    <t>ВСЕГО  (тыс.руб.)</t>
  </si>
  <si>
    <t xml:space="preserve">СМЕТА № </t>
  </si>
  <si>
    <t xml:space="preserve">ВСЕГО по смете с НДС </t>
  </si>
  <si>
    <t>«Объекты Северного склона поселка Романтик, ВТРК «Архыз» (NL1, NL9)</t>
  </si>
  <si>
    <t>на разработку проекта освоения лесов по объекту: 
«Объекты Северного склона поселка Романтик, ВТРК «Архыз» (NL1, NL9)</t>
  </si>
  <si>
    <t>Разработка Программы геотехмониторинга</t>
  </si>
  <si>
    <t>Составил:_______________</t>
  </si>
  <si>
    <t>АО "Курорты Северного Кавказа"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</si>
  <si>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</si>
  <si>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</si>
  <si>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</si>
  <si>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</si>
  <si>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ИТОГО</t>
  </si>
  <si>
    <t>Вид работ</t>
  </si>
  <si>
    <t>Характеристика предприятия, здания, сооружения или виды работ</t>
  </si>
  <si>
    <t>Фотоработы</t>
  </si>
  <si>
    <t>АО "КСК"</t>
  </si>
  <si>
    <t>Обоснование стоимости</t>
  </si>
  <si>
    <t>1. Полевые работы</t>
  </si>
  <si>
    <t>2. Лабораторные работы</t>
  </si>
  <si>
    <t>3. Камеральные работы</t>
  </si>
  <si>
    <t>% от обьема</t>
  </si>
  <si>
    <t>1 отчет</t>
  </si>
  <si>
    <t>4. Прочие расходы</t>
  </si>
  <si>
    <t>Единица измерения</t>
  </si>
  <si>
    <t>Кол-во</t>
  </si>
  <si>
    <t xml:space="preserve">Расчет стоимости                                                </t>
  </si>
  <si>
    <t xml:space="preserve">Стоимость работ в руб. </t>
  </si>
  <si>
    <t>цена за ед</t>
  </si>
  <si>
    <t>кол-во</t>
  </si>
  <si>
    <t>ИТОГО по позиции 2:</t>
  </si>
  <si>
    <t>1 программа</t>
  </si>
  <si>
    <t>ИТОГО по позиции 3:</t>
  </si>
  <si>
    <t>Наименование организации заказчика:</t>
  </si>
  <si>
    <t xml:space="preserve"> Смета №</t>
  </si>
  <si>
    <t xml:space="preserve">на  инженерно-гидрометеорологические изыскания </t>
  </si>
  <si>
    <t>«Объект»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</si>
  <si>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</si>
  <si>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</si>
  <si>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>коэф</t>
  </si>
  <si>
    <t>1 снимок</t>
  </si>
  <si>
    <t>Табл.48 п.15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</si>
  <si>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</si>
  <si>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</si>
  <si>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</si>
  <si>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</si>
  <si>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</si>
  <si>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</si>
  <si>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</si>
  <si>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</si>
  <si>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</si>
  <si>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1 записка</t>
  </si>
  <si>
    <t xml:space="preserve">Составление программы производства гидрометеорологических работ </t>
  </si>
  <si>
    <t xml:space="preserve"> Составление  технического отчета                             (недостаточно  изученная) </t>
  </si>
  <si>
    <t xml:space="preserve"> Табл. 4, п.1</t>
  </si>
  <si>
    <t>Табл. 5, п. 5</t>
  </si>
  <si>
    <t>Расходы по организации и ликвидации</t>
  </si>
  <si>
    <t>1 анализ</t>
  </si>
  <si>
    <t xml:space="preserve">% от стоимости лаборатор. работ </t>
  </si>
  <si>
    <t xml:space="preserve">  ОУп.13, прим.1</t>
  </si>
  <si>
    <t>Сумма с НДС</t>
  </si>
  <si>
    <t>С НДС</t>
  </si>
  <si>
    <t>Составление климатической характеристики района изысканий при числе метеостанций: 3, число годостанций до 50.</t>
  </si>
  <si>
    <t>Рекогносцировочное обследование реки, категория сложности III</t>
  </si>
  <si>
    <t>1км реки</t>
  </si>
  <si>
    <t>Табл.43 п.1</t>
  </si>
  <si>
    <t>Определение мгновенного уклона поверхности воды в реке при количестве урезных кольев 3 на 1 км длины реки, категория сложности III</t>
  </si>
  <si>
    <t>1 определение на 1 км длины реки</t>
  </si>
  <si>
    <t xml:space="preserve">Табл.26 п.1 </t>
  </si>
  <si>
    <t>Установление высот высоких и других характерных уровней воды прошлых лет при удалении найденных точек от оси морфоствора 1 км, категория сложности III</t>
  </si>
  <si>
    <t>1 комплекс показаний</t>
  </si>
  <si>
    <t xml:space="preserve">Табл.25 п.1 </t>
  </si>
  <si>
    <t>Разбивка и нивелирование морфометрического створа, категория сложности III</t>
  </si>
  <si>
    <t>1км</t>
  </si>
  <si>
    <t>Табл. 24 п.1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</si>
  <si>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</si>
  <si>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</si>
  <si>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</si>
  <si>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</si>
  <si>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</si>
  <si>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</si>
  <si>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</si>
  <si>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1 профиль</t>
  </si>
  <si>
    <t>Табл.48 п.3</t>
  </si>
  <si>
    <t>Измерение расхода взвешенных наносов при ширине реки до 20 м</t>
  </si>
  <si>
    <t>Табл.48 п.4</t>
  </si>
  <si>
    <t>Определение гранулометрического состава донных отложений методом обмера</t>
  </si>
  <si>
    <t>1 определение</t>
  </si>
  <si>
    <t>Табл. 48 п.9</t>
  </si>
  <si>
    <t>Наблюдения на участке деформаций при ширине реки до 20 м</t>
  </si>
  <si>
    <t>1 серия</t>
  </si>
  <si>
    <t>Табл.48 п.10</t>
  </si>
  <si>
    <t>Гранулометрический анализ донных отложений</t>
  </si>
  <si>
    <t>СБЦ-99, Табл.62 п.21</t>
  </si>
  <si>
    <t>Измерение расхода воды детальным методом (ширина реки до 20 м)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</si>
  <si>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</si>
  <si>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</si>
  <si>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</si>
  <si>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Определение средней высоты водосбора</t>
  </si>
  <si>
    <t>1 водосбор</t>
  </si>
  <si>
    <t>Табл.55 п.10</t>
  </si>
  <si>
    <t>Определение уклона водосбора</t>
  </si>
  <si>
    <t>Табл.55 п.11</t>
  </si>
  <si>
    <t>Определение максимального расхода воды по формуле предельной интенсивности по готовым гидрографическим характеристикам</t>
  </si>
  <si>
    <t>1 расчет</t>
  </si>
  <si>
    <t>Табл. 56 п.1</t>
  </si>
  <si>
    <t>Определение максимальных расходов весеннего половодья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</si>
  <si>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</si>
  <si>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</si>
  <si>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</si>
  <si>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>Выбор аналога при отсутствии данных наблюдений в исследуемом створе</t>
  </si>
  <si>
    <t>Табл. 56 п.18</t>
  </si>
  <si>
    <t>Вычисление процентного распределения стока по месяцам и сезонам</t>
  </si>
  <si>
    <t>1 годоствор</t>
  </si>
  <si>
    <t>Табл. 56 п.24</t>
  </si>
  <si>
    <t xml:space="preserve">Построение кривой расходов гидравлическим методом </t>
  </si>
  <si>
    <t>1 график</t>
  </si>
  <si>
    <t>Табл.55 п.1</t>
  </si>
  <si>
    <t>Определение смещений русла и его основных элементов в плане по данным съемок разных лет при числе съемок до 3</t>
  </si>
  <si>
    <t>1 участок</t>
  </si>
  <si>
    <t>Табл.57 п.9</t>
  </si>
  <si>
    <t>Определение вертикальных деформаций русла по совмещенным поперечникам без построения плана деформаций</t>
  </si>
  <si>
    <t>Табл.57 п.13, прим.1</t>
  </si>
  <si>
    <t>Камеральная обработка гранулометрического анализа донных отлложений</t>
  </si>
  <si>
    <t>СБЦ-99, Табл.86 п.2</t>
  </si>
  <si>
    <t>Табл. 53 п.2</t>
  </si>
  <si>
    <t>Расходы по внутреннему транспорту  при расст. от базы св.10 до 15 км</t>
  </si>
  <si>
    <t>Расходы по внешнему транспорту</t>
  </si>
  <si>
    <t>ИТОГО по позиции 4:</t>
  </si>
  <si>
    <t>ИТОГО в ценах 1991 года с учетом непредвиденных расходов:</t>
  </si>
  <si>
    <t>ВСЕГО по смете с НДС:</t>
  </si>
  <si>
    <t>Составил:________________</t>
  </si>
  <si>
    <t>Геофизические исследования</t>
  </si>
  <si>
    <t>ИТОГО по позиции 1 на высоте 2000-3000 в неблагоприятный период:</t>
  </si>
  <si>
    <t>Табл. 69 п.2</t>
  </si>
  <si>
    <t xml:space="preserve">Табл. 62 п.4, прим.6       </t>
  </si>
  <si>
    <t>Ед. изм.</t>
  </si>
  <si>
    <t>отчет</t>
  </si>
  <si>
    <t>1 км маршрута</t>
  </si>
  <si>
    <t>№ пп</t>
  </si>
  <si>
    <t>Смета №</t>
  </si>
  <si>
    <t>на инженерно-геодезические изыскания</t>
  </si>
  <si>
    <t xml:space="preserve">Всесезонный туристско-рекреационный комплекс «Эльбрус», 
Кабардино-Балкарская Республика. 
Благоустройство центральной части Поляны Азау
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</si>
  <si>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</si>
  <si>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</si>
  <si>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>Стадия проектирования:</t>
  </si>
  <si>
    <t>Проектная документация</t>
  </si>
  <si>
    <t>(Смета составлена по Справочнику  базовых цен на инженерно-геодезические изыскания, Москва, 2004г.)</t>
  </si>
  <si>
    <t>№№ п/п</t>
  </si>
  <si>
    <t>коэфф.</t>
  </si>
  <si>
    <t>Создание плановой опорной геодезической сети 1 разряда с применением спутниковых геодезических систем, категория сложности закладки центров и реперов – III. Участок расположен на высоте св. 2000 м</t>
  </si>
  <si>
    <t>пункт</t>
  </si>
  <si>
    <t xml:space="preserve">СБЦ - 2004 Табл. 8 п.2 
К1-п.2 прим.к таблице (спутниковые системы); К2- т.1 п. 1 (высокогорный район)  </t>
  </si>
  <si>
    <t>Создание высотной опорной сети IV класса, без закладки центров, категория сложности - III. Участок расположен на высоте св.2000 м</t>
  </si>
  <si>
    <t xml:space="preserve">СБЦ - 2004 Табл. 8 п.4 
К1-п 1 прим.к таблице (без закладки центров); К2- т.1 п. 1(высокогорный район)  </t>
  </si>
  <si>
    <t>Создание инженерно-топографических планов М 1:500, высота сечения рельефа 0,5 м Участок расположен на высоте св.2000 м, категория сложности - II</t>
  </si>
  <si>
    <t>га</t>
  </si>
  <si>
    <t>ИТОГО полевых работ:</t>
  </si>
  <si>
    <t>Выполнение изысканий в неблагоприятный период</t>
  </si>
  <si>
    <t>Коэфф</t>
  </si>
  <si>
    <t xml:space="preserve">ИТОГО </t>
  </si>
  <si>
    <t>2. Камеральные работы</t>
  </si>
  <si>
    <t>Создание плановой опорной геодезической сети 1 разряда с применением спутниковых геодезических систем, категория сложности закладки центров и реперов – III</t>
  </si>
  <si>
    <t>СБЦ - 2004 Табл. 8 п.2 
К1-п.2 прим.к таблице (спутниковые системы); К2- п.15д ОУ (компьют.технол.)</t>
  </si>
  <si>
    <t>Создание высотной опорной сети IV класса, без закладки центров, категория сложности - III</t>
  </si>
  <si>
    <t>СБЦ - 2004 Табл. 8 п.4 
К1- п.15д ОУ (компьют.технол.)</t>
  </si>
  <si>
    <t>Создание инженерно-топографических планов М 1:500, высота сечения рельефа 0,5 м, категория сложности - II</t>
  </si>
  <si>
    <t>СБЦ - 2004 Табл. 9 п.5; К1- п.15д ОУ (компьют.технол.); К2- п.4 прим.(трубокабелеиск.)</t>
  </si>
  <si>
    <t>ИТОГО камеральных работ:</t>
  </si>
  <si>
    <t>3. Прочие расходы</t>
  </si>
  <si>
    <t>Внутренний транспорт при расстоянии до площадки  15 км;</t>
  </si>
  <si>
    <t xml:space="preserve"> СБЦ-2004,Табл. 4, п. 3</t>
  </si>
  <si>
    <t xml:space="preserve"> Расходы по внешнему транспорту  свыше 2000км  (1 месяц)</t>
  </si>
  <si>
    <t>СБЦ-2004,Табл. 5, п.6</t>
  </si>
  <si>
    <t>Расходы по организации и ликвидации работ</t>
  </si>
  <si>
    <t xml:space="preserve">  СБЦ-2004, О.У., п. 13
</t>
  </si>
  <si>
    <t>ВСЕГО изыскательские работы</t>
  </si>
  <si>
    <t xml:space="preserve">Непредвиденные расходы </t>
  </si>
  <si>
    <t xml:space="preserve">  СБЦ-2004, О.У., п. 18
</t>
  </si>
  <si>
    <t>ИТОГО в ценах 2001 года:</t>
  </si>
  <si>
    <t>Итого с НДС</t>
  </si>
  <si>
    <t>на выполнение инженерно-экологических изысканий</t>
  </si>
  <si>
    <t>Наименование объекта:</t>
  </si>
  <si>
    <t>Всесезонный туристско-рекреационный комплекс «Эльбрус», 
Кабардино-Балкарская Республика. 
Благоустройство центральной части Поляны Азау</t>
  </si>
  <si>
    <t>этап изыскательских работ:</t>
  </si>
  <si>
    <t>Проект</t>
  </si>
  <si>
    <t>Наименование проектной (изыскательской) организации:</t>
  </si>
  <si>
    <t xml:space="preserve"> 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</si>
  <si>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</si>
  <si>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</si>
  <si>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</si>
  <si>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</si>
  <si>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</si>
  <si>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</si>
  <si>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</si>
  <si>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</si>
  <si>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</si>
  <si>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</si>
  <si>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</si>
  <si>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</si>
  <si>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 xml:space="preserve">Отбор  проб почво-грунтов на химический анализ 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</si>
  <si>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</si>
  <si>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</si>
  <si>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 xml:space="preserve">Отбор проб для бактериологического анализа (4)  и на паразитические показатели (4) </t>
  </si>
  <si>
    <t>Табл.60, § 10</t>
  </si>
  <si>
    <t>Отбор природной воды на химические показатели с поверхностного слоя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</si>
  <si>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.1  (прим 3. к-0.5)                       </t>
    </r>
  </si>
  <si>
    <t>Отбор природной воды для бактериологического анализа</t>
  </si>
  <si>
    <t>Отбор проб донных отложений на химические показатели</t>
  </si>
  <si>
    <t xml:space="preserve">Измерение потока радона на участке </t>
  </si>
  <si>
    <t>20 точек</t>
  </si>
  <si>
    <t>Табл.91, § 2</t>
  </si>
  <si>
    <t>0.1 га</t>
  </si>
  <si>
    <t>Табл.92, § 3</t>
  </si>
  <si>
    <t>ИТОГО с неблагоприятным периоддом и высокогоным коэффициеннтом</t>
  </si>
  <si>
    <t>1.11</t>
  </si>
  <si>
    <t>с учетом коэффициента к итогу  сметной стоимости полевых работ</t>
  </si>
  <si>
    <t>прил. 4 , О.У., п. 8д,табл. 3, п.7 (К=1.25)</t>
  </si>
  <si>
    <t>Расходы по внутреннему транспорту при расстоянии до 15 км</t>
  </si>
  <si>
    <t xml:space="preserve"> Табл.4,   § 3.5</t>
  </si>
  <si>
    <t>14</t>
  </si>
  <si>
    <t>Расходы по внешнему транспорту при расстоянии до 2000  км и продолжительности полевых работ до 1 месяца</t>
  </si>
  <si>
    <t xml:space="preserve"> Табл. 5, § 5.1</t>
  </si>
  <si>
    <t>ИТОГО ПОЛЕВЫХ РАБОТ С ПРОЧИМИ</t>
  </si>
  <si>
    <t>1.15</t>
  </si>
  <si>
    <t>С учетом производства  полевых работ в неблагоприятный период года</t>
  </si>
  <si>
    <t>О.У.,Табл.. 2, п. 4 (коэфф. 1,4)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</si>
  <si>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</si>
  <si>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</si>
  <si>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</si>
  <si>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</si>
  <si>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</si>
  <si>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</si>
  <si>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</si>
  <si>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</si>
  <si>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</si>
  <si>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</si>
  <si>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</si>
  <si>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</si>
  <si>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</si>
  <si>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</si>
  <si>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</si>
  <si>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</si>
  <si>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</si>
  <si>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</si>
  <si>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</si>
  <si>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</si>
  <si>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</si>
  <si>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</si>
  <si>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 и донных отложений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</si>
  <si>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</si>
  <si>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</si>
  <si>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</si>
  <si>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</si>
  <si>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</si>
  <si>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</si>
  <si>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</si>
  <si>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Химический анализ проб воды по отдельным компонентам:</t>
  </si>
  <si>
    <t xml:space="preserve">Алюминий </t>
  </si>
  <si>
    <t xml:space="preserve"> Табл.72, § 1</t>
  </si>
  <si>
    <t>Барий</t>
  </si>
  <si>
    <t xml:space="preserve"> Табл.72, § 3</t>
  </si>
  <si>
    <t xml:space="preserve">Бериллий </t>
  </si>
  <si>
    <t xml:space="preserve"> Табл.72, § 4</t>
  </si>
  <si>
    <t>Бор</t>
  </si>
  <si>
    <t xml:space="preserve"> Табл.72, § 5</t>
  </si>
  <si>
    <t>Кадмий</t>
  </si>
  <si>
    <t xml:space="preserve"> Табл.72, § 15</t>
  </si>
  <si>
    <t>Медь</t>
  </si>
  <si>
    <t xml:space="preserve"> Табл.72, § 33</t>
  </si>
  <si>
    <t>Мышьяк</t>
  </si>
  <si>
    <t xml:space="preserve"> Табл.72, § 35</t>
  </si>
  <si>
    <t>Никель</t>
  </si>
  <si>
    <t xml:space="preserve"> Табл.72, § 39</t>
  </si>
  <si>
    <t>Ртуть</t>
  </si>
  <si>
    <t xml:space="preserve"> Табл.72, § 48</t>
  </si>
  <si>
    <t>Свинец</t>
  </si>
  <si>
    <t xml:space="preserve"> Табл.72, § 49</t>
  </si>
  <si>
    <t>Хром</t>
  </si>
  <si>
    <t xml:space="preserve"> Табл.72, § 74</t>
  </si>
  <si>
    <t>Цинк</t>
  </si>
  <si>
    <t xml:space="preserve"> Табл.72, § 75</t>
  </si>
  <si>
    <t>Натрий</t>
  </si>
  <si>
    <t xml:space="preserve"> Табл.72, § 36</t>
  </si>
  <si>
    <t>Молибден</t>
  </si>
  <si>
    <t xml:space="preserve"> Табл.72, § 34</t>
  </si>
  <si>
    <t>Марганец</t>
  </si>
  <si>
    <t xml:space="preserve"> Табл.72, § 30</t>
  </si>
  <si>
    <t>Селен</t>
  </si>
  <si>
    <t xml:space="preserve"> Табл.72, § 50</t>
  </si>
  <si>
    <t>Анализ воды (взвешенные вещества).</t>
  </si>
  <si>
    <t xml:space="preserve"> Табл.72, §90</t>
  </si>
  <si>
    <t>Определение нефтепродуктов в воде</t>
  </si>
  <si>
    <t xml:space="preserve"> Табл.72, § 38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</si>
  <si>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</si>
  <si>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</si>
  <si>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</si>
  <si>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</si>
  <si>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</si>
  <si>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</si>
  <si>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</si>
  <si>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</si>
  <si>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</si>
  <si>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</si>
  <si>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</si>
  <si>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</si>
  <si>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</si>
  <si>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</si>
  <si>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</si>
  <si>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</si>
  <si>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</si>
  <si>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</si>
  <si>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</si>
  <si>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t xml:space="preserve">4. Дополнительные работы с оплатой услуг сторонних организаций, необходимых для производства изысканий </t>
  </si>
  <si>
    <t>Рыбохозяйственная характеристика реки Баксан</t>
  </si>
  <si>
    <t xml:space="preserve">ОУ. П.17 </t>
  </si>
  <si>
    <t>Получение (приобретение) исходных данных и сведений о природных условиях</t>
  </si>
  <si>
    <t>справка</t>
  </si>
  <si>
    <t xml:space="preserve">Отбор почв на агрохимические исследования 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</si>
  <si>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</si>
  <si>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</si>
  <si>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</si>
  <si>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</si>
  <si>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</si>
  <si>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>Санитарно-гигиенические исследования почвы</t>
  </si>
  <si>
    <t>Бактериологический анализ воды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</si>
  <si>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</si>
  <si>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</si>
  <si>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</si>
  <si>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</si>
  <si>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Смета  </t>
  </si>
  <si>
    <t>на  инженерно-геологические изыскания</t>
  </si>
  <si>
    <t>Благоустройство центральной части Поляны Азау ВТРК «Эльбрус»</t>
  </si>
  <si>
    <r>
      <t>Наименование изыскательской организации:</t>
    </r>
    <r>
      <rPr>
        <b/>
        <sz val="10"/>
        <rFont val="Arial Cyr"/>
        <charset val="204"/>
      </rPr>
      <t xml:space="preserve"> </t>
    </r>
  </si>
  <si>
    <t xml:space="preserve">Наименование организации заказчика: Акционерное общество «Курорты Северного Кавказа»  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</si>
  <si>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</si>
  <si>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Наименование работ и затрат</t>
  </si>
  <si>
    <t>Единица измерен.</t>
  </si>
  <si>
    <t xml:space="preserve">Стоимость, руб. </t>
  </si>
  <si>
    <t>К1</t>
  </si>
  <si>
    <t>К2</t>
  </si>
  <si>
    <t>Инженерно-геологическая рекогносцировка при удовлетворительной проходимости, III категория сложности ИГУ</t>
  </si>
  <si>
    <t>СБЦ-99, т.9, п.2</t>
  </si>
  <si>
    <t>СБЦ-99, т.10, п.4</t>
  </si>
  <si>
    <t>Описание точек наблюдения, III категория сложности ИГУ</t>
  </si>
  <si>
    <t>1 т.н.</t>
  </si>
  <si>
    <t>Предварительная разбивка местоположения геологических выработок при  расстоянии между выработками  св 100 до 200м, II категория сложности производства измерений</t>
  </si>
  <si>
    <t>1 выработка (точка)</t>
  </si>
  <si>
    <t xml:space="preserve">СБЦ-99, т.93, п.3                    K1 - прим. 1             </t>
  </si>
  <si>
    <t>Предварительная разбивка местоположения геологических выработок при  расстоянии между выработками  св 200 до 350м, II категория сложности производства измерений</t>
  </si>
  <si>
    <t xml:space="preserve">СБЦ-99, т.93, п.4                    K1 - прим. 1             </t>
  </si>
  <si>
    <t>Планово-высотная привязка выработок при   расстоянии между выработками св 100 до 200м, II категория сложности производства измерений</t>
  </si>
  <si>
    <t>СБЦ-99, т.93, п.3</t>
  </si>
  <si>
    <t>Планово-высотная привязка выработок при   расстоянии между выработками св 200 до 350м, II категория сложности производства измерений</t>
  </si>
  <si>
    <t>СБЦ-99, т.93, п.4</t>
  </si>
  <si>
    <t xml:space="preserve">Колонковое бурение скважин диаметром  до 160  мм,  глубиной   до 15 м без устройства циркуляционной системы[VII категория породы]  </t>
  </si>
  <si>
    <t xml:space="preserve">1 м </t>
  </si>
  <si>
    <t xml:space="preserve">СБЦ-99, т.17 п.1                     К1- табл. 16 п. 1, К2- прим. к табл.17, без уст-ва циркуляционной системы               </t>
  </si>
  <si>
    <t xml:space="preserve">Гидрогеологические наблюдения при бурении  диаметром  до 160 мм гл.  до 15 м,  без тартания </t>
  </si>
  <si>
    <t>СБЦ-99, т.18 п.1,
К1=0,6 - Ч II, гл. 4, п.8</t>
  </si>
  <si>
    <t>Проходка шурфов сечением 2,5 м. глубиной до 2,5 м. Категория породы III</t>
  </si>
  <si>
    <t>1 м</t>
  </si>
  <si>
    <t>СБЦ-99, т. 27, п. 1</t>
  </si>
  <si>
    <t>Проходка шурфов сечением 2,5 м. глубиной до 2,5 м. Категория породы IV</t>
  </si>
  <si>
    <t>Крепление шурфов сечением 2,5 м глубиной до 2,0 м в неустойчивых породах</t>
  </si>
  <si>
    <t>СБЦ-99, т. 32, п. 4</t>
  </si>
  <si>
    <t>12</t>
  </si>
  <si>
    <t>Определение объемного веса в естественном залегании и коэффициента разрыхления несвязного грунта</t>
  </si>
  <si>
    <t>1 опыт</t>
  </si>
  <si>
    <t xml:space="preserve"> СБЦ-99, т.59 п.8
</t>
  </si>
  <si>
    <t>Отбор валовой пробы несвязных грунтов из отвалов и штабелей (отборка вручную валунов и крупной гальки со взвешиванием)</t>
  </si>
  <si>
    <t>1 т</t>
  </si>
  <si>
    <t xml:space="preserve"> СБЦ-99, т.59 п.3
</t>
  </si>
  <si>
    <t>15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</si>
  <si>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</t>
  </si>
  <si>
    <t xml:space="preserve"> СБЦ-99, т.59 п.5
</t>
  </si>
  <si>
    <t>Итого :</t>
  </si>
  <si>
    <t>Выполнение изысканий в горных и высокогорных районах св. 2000 до 3000 м</t>
  </si>
  <si>
    <t>О.У., п.8а, т.1, п.1</t>
  </si>
  <si>
    <t>Выполнение полевых изыскательских работ в неблагоприятный период года продолжительностью св 8 до 9,5 мес</t>
  </si>
  <si>
    <t>О.У., п.8г, т.1, п.3</t>
  </si>
  <si>
    <t>О.У.,п.8г</t>
  </si>
  <si>
    <t>Итого полевых работ:</t>
  </si>
  <si>
    <t>Определение консистенции при нарушенной структуре</t>
  </si>
  <si>
    <t>1 образец</t>
  </si>
  <si>
    <t>СБЦ-99, т.63 п.3</t>
  </si>
  <si>
    <t>Гранулометрический анализ ситовым методом с разделением на фракции с анализом фракций меньше 0,1 мм методом ареометра (пипетки)</t>
  </si>
  <si>
    <t>СБЦ-99, т.62 п.21</t>
  </si>
  <si>
    <t>Подготовка  проб щебня к испытаниям в полочном барабане</t>
  </si>
  <si>
    <t>СБЦ-99, т.76 п.43</t>
  </si>
  <si>
    <t>Истираемость щебня (гравия) в полочном барабане</t>
  </si>
  <si>
    <t>СБЦ-99, т.76 п.30</t>
  </si>
  <si>
    <t>Приготовление водной вытяжки</t>
  </si>
  <si>
    <t>СБЦ-99, т.70 п.83</t>
  </si>
  <si>
    <t>Анализ водной вытяжки</t>
  </si>
  <si>
    <t>1 металл</t>
  </si>
  <si>
    <t>СБЦ-99, т.71 п.3</t>
  </si>
  <si>
    <t>Коррозионная активность грунтов по отношению к стали</t>
  </si>
  <si>
    <t>СБЦ-99, т.75 п.4</t>
  </si>
  <si>
    <t>Коррозионная активность грунтов и грунтовых вод  по отношению к бетону</t>
  </si>
  <si>
    <t>СБЦ-99, т.75 п.5</t>
  </si>
  <si>
    <t>Стандартный (типовой) анализ воды</t>
  </si>
  <si>
    <t>1 проба</t>
  </si>
  <si>
    <t>СБЦ-99, т. 73, п. 2</t>
  </si>
  <si>
    <t>ИТОГО лабораторных работ:</t>
  </si>
  <si>
    <t>Камеральная обработка материалов буровых и горнопроходческих работ III категории сложности ИГУ с гидрогеологическими наблюдениями</t>
  </si>
  <si>
    <t>1 м выработки</t>
  </si>
  <si>
    <t>СБЦ-99, т.82 п.2</t>
  </si>
  <si>
    <t>Камеральная обработка материалов буровых и горнопроходческих работ III категории сложности ИГУ без гидрогеологических наблюдений</t>
  </si>
  <si>
    <t>Камеральная обработка комплексных исследований и отдельных определений физико-механических свойств глинистых пород</t>
  </si>
  <si>
    <t>СБЦ-99, т.86, п.1</t>
  </si>
  <si>
    <t>Камеральная обработка определения коррозийной активности грунтов и грунтовых вод</t>
  </si>
  <si>
    <t>СБЦ-99, т.86, п.8</t>
  </si>
  <si>
    <t xml:space="preserve">Камеральная обработка комплексных исследований и отдельных определений химического состава грунтов </t>
  </si>
  <si>
    <t>СБЦ-99, т.86, п.4</t>
  </si>
  <si>
    <t>Камеральная обработка одиночной откачки</t>
  </si>
  <si>
    <t>СБЦ-99, т.84, п.2</t>
  </si>
  <si>
    <t>Камеральная обработка комплексных исследований химического состава воды</t>
  </si>
  <si>
    <t>СБЦ-99, т. 86, п. 5</t>
  </si>
  <si>
    <t>Сбор изучение и систематизация материалов изысканий прошлых лет по горным выработкам</t>
  </si>
  <si>
    <t xml:space="preserve">1 м выработки </t>
  </si>
  <si>
    <t>СБЦ-99, т.78, п.1</t>
  </si>
  <si>
    <t>Сбор изучение и систематизация материалов изысканий прошлых лет по цифровым показателям</t>
  </si>
  <si>
    <t>10 цифровых значений</t>
  </si>
  <si>
    <t>СБЦ-99, т.78, п.2</t>
  </si>
  <si>
    <t xml:space="preserve">1 программа </t>
  </si>
  <si>
    <t>Выдача промежуточых материалов изысканий</t>
  </si>
  <si>
    <t>СБЦ-99, О.У.п.15</t>
  </si>
  <si>
    <t>СБЦ-99, т.4 п.3</t>
  </si>
  <si>
    <t>СБЦ-99, т.5 п.5</t>
  </si>
  <si>
    <t>Расходы по курированию инженерных изысканий</t>
  </si>
  <si>
    <t>Метод. Пособ. Стр. 60</t>
  </si>
  <si>
    <t>Срочность выполнения работ</t>
  </si>
  <si>
    <t>Метод. Пособ. Стр. 59</t>
  </si>
  <si>
    <t>Непредвиденные расходы</t>
  </si>
  <si>
    <t>СБЦ-99, О.У.п.17</t>
  </si>
  <si>
    <t>ИТОГО прочих расходов:</t>
  </si>
  <si>
    <t>ИТОГО в ценах 1991 года:</t>
  </si>
  <si>
    <t>ИТОГО в ценах 1991 года с учетом непредвиденных расходов</t>
  </si>
  <si>
    <t>НДС 20%</t>
  </si>
  <si>
    <t>ИТОГО с НДС</t>
  </si>
  <si>
    <t>Смету составил:</t>
  </si>
  <si>
    <t>на геофизические исследования</t>
  </si>
  <si>
    <t>Ед.
Изм</t>
  </si>
  <si>
    <t>Кол-
во.</t>
  </si>
  <si>
    <t>Расчет стоимости</t>
  </si>
  <si>
    <t>Стоимость, руб.</t>
  </si>
  <si>
    <t>Полевые работы</t>
  </si>
  <si>
    <t>1</t>
  </si>
  <si>
    <t>Сейсморазведка МПВ при возбуждении колебаний ударами кувалды; наблюдения с двумя сейсмограммами; Категория III, шаг до 2 м. Число пикетов взрыва 7</t>
  </si>
  <si>
    <t>1 физическое наблюдение</t>
  </si>
  <si>
    <t>СЦИР, 1982 г. Часть IV. Глава 16. Таблица 258, п.69
A=14 руб</t>
  </si>
  <si>
    <t>14 руб * 100 * 1.1 *1.2* 1.21</t>
  </si>
  <si>
    <t/>
  </si>
  <si>
    <t>Коэффициенты</t>
  </si>
  <si>
    <t>При выполнении наблюдений с двумя компонентами вектора смещений (регистрация поочередная</t>
  </si>
  <si>
    <t>K1 = 1.1
ЧастьVI, Глава 16, п.2, Таблица 257,§14</t>
  </si>
  <si>
    <t>Поправочный коэффициент к ценам на изыскательские работы для строительства</t>
  </si>
  <si>
    <t>K2 = 1.21
Письмо Госстроя СССР от 25 декабря 1990 года № 21-Д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</si>
  <si>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</t>
  </si>
  <si>
    <t>K3 = 1.2
Часть VI, Глава 16, Общие Положения, п.6</t>
  </si>
  <si>
    <t>2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</si>
  <si>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</si>
  <si>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>СЦИР, 1982 г. Часть IV. Глава 16. Таблица 290, п.4
A=40 руб</t>
  </si>
  <si>
    <t>40 руб * 10*1.21 * 1.2</t>
  </si>
  <si>
    <t>K3 = 1.2
ЧастьVI, Глава 16, Общие Положения, п.6</t>
  </si>
  <si>
    <t>3</t>
  </si>
  <si>
    <t>Итого Полевые работы:</t>
  </si>
  <si>
    <t>4</t>
  </si>
  <si>
    <t>Надбавки за выполнение изысканий в горных и высокогорных районах. Горный и высокогорный район с абсолютными высотами поверхности участка над уровнем моря св. 2000 м до 3000 м</t>
  </si>
  <si>
    <t>СЦИР, 1982 г., ОУ п. 7а табл. 1, Пост. Госстроя РФ от 01.03.1990 № 22</t>
  </si>
  <si>
    <t>Коэф - т 0,2 от п.1.8</t>
  </si>
  <si>
    <t>5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</si>
  <si>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св 8 до 9,5 мес</t>
  </si>
  <si>
    <t>СЦиР 1981 г.(ОУ п. 7г Таблица 2), Письмо ГС СССР №22 от 01.03.1990 г.</t>
  </si>
  <si>
    <t>Коэф - т 0.4 от п.1.8 - 1.9</t>
  </si>
  <si>
    <t>6</t>
  </si>
  <si>
    <t>Всего Полевые работы:</t>
  </si>
  <si>
    <t>Камеральные работы</t>
  </si>
  <si>
    <t>7</t>
  </si>
  <si>
    <t>Обработка материалов:Сейсморазведка МПВ на дневной поверхности при двух типах волн</t>
  </si>
  <si>
    <t>1 физическое наблюдение (годограф)</t>
  </si>
  <si>
    <t>СЦИР, 1982 г. Часть IV. Глава 16. Таблица 291,  п.2
A=13 руб</t>
  </si>
  <si>
    <t>13 руб * 200  * 1.21</t>
  </si>
  <si>
    <t>K3 = 1.21
Письмо Госстроя СССР от 25 декабря 1990 года № 21-Д</t>
  </si>
  <si>
    <t>8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</si>
  <si>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</si>
  <si>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</si>
  <si>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СЦИР, 1982 г. Часть IV. Глава 16. Таблица 293, п.8
A=43 руб; 
</t>
  </si>
  <si>
    <t>43 руб * 10 * 1.21</t>
  </si>
  <si>
    <t>9</t>
  </si>
  <si>
    <t>Итого камеральные работы:</t>
  </si>
  <si>
    <t>10</t>
  </si>
  <si>
    <t>Составление программы при стоимости изысканий, тыс.руб. до 5 тыс.руб</t>
  </si>
  <si>
    <t>СЦИР, 1982 г. Часть IV. Глава 16. Таблица 294, п.1
A=200 руб</t>
  </si>
  <si>
    <t>200 руб * 1 * 1.21</t>
  </si>
  <si>
    <t>K1 = 1.21
Письмо Госстроя СССР от 25 декабря 1990 года № 21-Д</t>
  </si>
  <si>
    <t>11</t>
  </si>
  <si>
    <t>Составление технического отчета по сейсморазведке и сейсмическому микрорайонированию                                                (1000+10% от стоимости камеральной обработки)</t>
  </si>
  <si>
    <t>СЦИР, 1982 г. Часть IV. Глава 16. Таблица 294, п.10
Коэффициенты:
К=1,21,Письмо Госстроя СССР от 25 декабря 1990 года № 21-Д); К=1,2, прим. к табл.294 п.3</t>
  </si>
  <si>
    <t>1000 руб.+ (3666,3 *0,1)*1,21*1,2</t>
  </si>
  <si>
    <t>Всего камеральные работы:</t>
  </si>
  <si>
    <t>Прочие расходы</t>
  </si>
  <si>
    <t>13</t>
  </si>
  <si>
    <t>Расходы по внутреннему транспорту. Расстояние от базы до участка изысканий св. 10 до 15 км. Сметная стоимость полевых изыск.работ до 5 тыс.руб</t>
  </si>
  <si>
    <t>СЦИР, 1982, ОУ п. 7г Таблица 4, п.3), К=1,25 - Письмо ГС СССР №22 от 01.03.1990 г. П. 8 ОУ</t>
  </si>
  <si>
    <t>11% от 3446,76*1,25</t>
  </si>
  <si>
    <t>Расходы по внешнему транспорту. Расстояние проезда и перевозки до. 2000 км. Продолжительность экспедиции до 1 мес</t>
  </si>
  <si>
    <t xml:space="preserve">СЦиР 1981 г. (ОУ п. 9 Таблица 5, п. 5), К=1,4 Письмо ГС СССР №22 от 01.03.1990 г. п. 9 </t>
  </si>
  <si>
    <t>26% от (3446,76+473,93)*1,4</t>
  </si>
  <si>
    <t>Расходы по организации изысканий. При сметной стоимости до 100 тыс. руб</t>
  </si>
  <si>
    <t>СЦиР 1981 г. (ОУ п. 13, табл.6)</t>
  </si>
  <si>
    <t>(3446,76+473,93)* 6 / 100</t>
  </si>
  <si>
    <t>16</t>
  </si>
  <si>
    <t>Расходы по ликвидации изысканий. При сметной стоимости до 100 тыс. руб</t>
  </si>
  <si>
    <t>(3446,76+473,93) * 5 / 100</t>
  </si>
  <si>
    <t>17</t>
  </si>
  <si>
    <t>Затраты по метрологическому обеспечению</t>
  </si>
  <si>
    <t>Сц на изыскательские работы для капитального строительства (ОУ п. 14)</t>
  </si>
  <si>
    <t>Коэф - т 0.05 от (3446,76+473,93+6433,07)</t>
  </si>
  <si>
    <t>18</t>
  </si>
  <si>
    <t>Всего Прочие расходы:</t>
  </si>
  <si>
    <t>19</t>
  </si>
  <si>
    <t>Итого по смете:</t>
  </si>
  <si>
    <t>20</t>
  </si>
  <si>
    <t>Районный коэффициент</t>
  </si>
  <si>
    <t>K = 1.08 Постановление Госстроя СССР от 01.03.90 г. № 22 табл.3 п.1</t>
  </si>
  <si>
    <t>21</t>
  </si>
  <si>
    <t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масштабе: 1:2000-1:1000, категория проходимости удовлетворительная</t>
  </si>
  <si>
    <t>СБЦ-99, т. 11, п.1, К1=1,5, прим. 2</t>
  </si>
  <si>
    <t>Расходы по внутреннему транспорту  при расст. от базы св.10 до 15 км и сметной стоимости полевых работ св 20 до 50 тыс. руб.</t>
  </si>
  <si>
    <t>Расходы на организацию и ликвидацию полевых работ</t>
  </si>
  <si>
    <t>СБЦ-99, О.У.п.13</t>
  </si>
  <si>
    <t>Создание инженерно-топографических планов М 1:1000, высота сечения рельефа 1 м Участок расположен на высоте св.2000 м, категория сложности - II (snow avalanche)</t>
  </si>
  <si>
    <t>СБЦ - 2004 Табл. 9 п.5; К1- т.1 п.3 (высокогорный район); К2- п.4 прим. ( не застр.территория, трубоискатели)</t>
  </si>
  <si>
    <t>СБЦ - 2004 Табл. 9 п.14; К1- т.1 п.3 (высокогорный район); К2- п.4 прим. ( застр.территория, трубоискатели)</t>
  </si>
  <si>
    <t xml:space="preserve">СБЦ - 2004 Табл 2 п.3 </t>
  </si>
  <si>
    <t>Создание инженерно-топографических планов М 1:1000, высота сечения рельефа 1 м, категория сложности - II</t>
  </si>
  <si>
    <t>СБЦ - 2004 Табл. 9 п.14; К1- п.15д ОУ (компьют.технол.); К2- п.4 прим.(трубокабелеиск.)</t>
  </si>
  <si>
    <t>Составление  карты с нанесением данных радиометрических наблюдений</t>
  </si>
  <si>
    <t xml:space="preserve"> точка</t>
  </si>
  <si>
    <t xml:space="preserve">Табл.11 § 2.прм 1. (к-1.3)  </t>
  </si>
  <si>
    <t>Предварительная разбивка местоположения геологических выработок при  расстоянии между выработками до 50м, II категория сложности производства измерений</t>
  </si>
  <si>
    <t xml:space="preserve">СБЦ-99, т.93, п.1                    K1 - прим. 1             </t>
  </si>
  <si>
    <t>Планово-высотная привязка выработок при   расстоянии между выработками до 50м, II категория сложности производства измерений</t>
  </si>
  <si>
    <t>СБЦ-99, т.93, п.1</t>
  </si>
  <si>
    <t>Испытание грунтов в шурфах на глубине до 5 м вертикальной статической нагрузкой штампом площадью 2500 см  удельным давлением, св. 0,3 до 0,5 Мпа в грунтах I категорий сложности испытаний по скорости стабилизации деформации грунта</t>
  </si>
  <si>
    <t xml:space="preserve"> СБЦ-99, т.54 п.2, прим. 1 К=0,8
</t>
  </si>
  <si>
    <t>Камеральная обработка полевого испытания грунтов в шурфах вертикальной статической нагрузкой штампом</t>
  </si>
  <si>
    <t>1 испытаний</t>
  </si>
  <si>
    <t>СБЦ-99, т.83 п.6</t>
  </si>
  <si>
    <t>Составление программы работ при средней глубине исследований до 5,0 м, исследуемой площади до 1 кв.км III категория сложности ИГУ</t>
  </si>
  <si>
    <t>СБЦ-99, т.81, п.1  К1- прим.</t>
  </si>
  <si>
    <t>Составление технического отчета при стоимости камеральных работ до 5 тыс.руб. III категория сложности ИГУ</t>
  </si>
  <si>
    <t xml:space="preserve">СБЦ-99, т.87, п. 1 
К2 - компьютерные технологии МП стр.76
</t>
  </si>
  <si>
    <t xml:space="preserve">Расходы по внешнему транспорту до 2000 км продолжительностью до 1 мес   </t>
  </si>
  <si>
    <t xml:space="preserve">Радиационное обследование участка площадью свыше 1 га (измерение гамма-съемка 6,6 га, МАД) </t>
  </si>
  <si>
    <t xml:space="preserve">ИТОГО  в ценах на IV квартал 2020 г. по письму Минстроя РФ от 02.11.2020 N 44016-ИФ/09 </t>
  </si>
  <si>
    <t xml:space="preserve">Итого в ценах на IV квартала 2020 г. по письму Минстроя РФ от 02.11.2020 N 44016-ИФ/09 </t>
  </si>
  <si>
    <t xml:space="preserve"> Итого в ценах на IV квартала 2020 г. по письму Минстроя РФ от 02.11.2020 N 44016-ИФ/09 </t>
  </si>
  <si>
    <t xml:space="preserve">ИТОГО  в ценах на IV квартала 2020 г. по письму Минстроя РФ от 02.11.2020 N 44016-ИФ/09 </t>
  </si>
  <si>
    <t>Итого в ценах на IV квартала 2020 г. по письму Минстроя РФ от 02.11.2020 N 44016-ИФ/09 К = 51.18</t>
  </si>
  <si>
    <t>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</si>
</sst>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0.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_-* #,##0.00_р_._-;\-* #,##0.00_р_._-;_-* &quot;-&quot;_р_._-;_-@_-"/>
    <numFmt numFmtId="172" formatCode="#,##0.00_р_."/>
    <numFmt numFmtId="173" formatCode="_-* #,##0.00&quot;р.&quot;_-;\-* #,##0.00&quot;р.&quot;_-;_-* &quot;-&quot;??&quot;р.&quot;_-;_-@_-"/>
    <numFmt numFmtId="174" formatCode="_-* #,##0.0_р_._-;\-* #,##0.0_р_._-;_-* &quot;-&quot;??_р_._-;_-@_-"/>
    <numFmt numFmtId="175" formatCode="0.0000"/>
    <numFmt numFmtId="176" formatCode="#,##0.000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0"/>
      <name val="Arial Cyr"/>
      <charset val="204"/>
    </font>
    <font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196">
    <xf numFmtId="0" fontId="0" fillId="0" borderId="0"/>
    <xf numFmtId="0" fontId="25" fillId="0" borderId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3" borderId="0">
      <alignment horizontal="left" vertical="center"/>
    </xf>
    <xf numFmtId="0" fontId="27" fillId="3" borderId="0">
      <alignment horizontal="center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right" vertical="center"/>
    </xf>
    <xf numFmtId="0" fontId="27" fillId="3" borderId="0">
      <alignment horizontal="center" vertical="center"/>
    </xf>
    <xf numFmtId="165" fontId="25" fillId="0" borderId="0" applyFont="0" applyFill="0" applyBorder="0" applyAlignment="0" applyProtection="0"/>
    <xf numFmtId="0" fontId="25" fillId="0" borderId="0"/>
    <xf numFmtId="0" fontId="25" fillId="0" borderId="0"/>
    <xf numFmtId="165" fontId="30" fillId="0" borderId="0" applyFont="0" applyFill="0" applyBorder="0" applyAlignment="0" applyProtection="0"/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31" fillId="4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5" borderId="0">
      <alignment horizontal="center" vertical="center"/>
    </xf>
    <xf numFmtId="0" fontId="31" fillId="4" borderId="0">
      <alignment horizontal="left" vertical="center"/>
    </xf>
    <xf numFmtId="0" fontId="31" fillId="0" borderId="0">
      <alignment horizontal="left" vertical="top"/>
    </xf>
    <xf numFmtId="0" fontId="27" fillId="5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center"/>
    </xf>
    <xf numFmtId="0" fontId="32" fillId="4" borderId="0">
      <alignment horizontal="left" vertical="center"/>
    </xf>
    <xf numFmtId="0" fontId="31" fillId="0" borderId="0">
      <alignment horizontal="center" vertical="center"/>
    </xf>
    <xf numFmtId="0" fontId="31" fillId="4" borderId="0">
      <alignment horizontal="center" vertical="center"/>
    </xf>
    <xf numFmtId="0" fontId="31" fillId="4" borderId="0">
      <alignment horizontal="left" vertical="center"/>
    </xf>
    <xf numFmtId="0" fontId="31" fillId="4" borderId="0">
      <alignment horizontal="right" vertical="center"/>
    </xf>
    <xf numFmtId="0" fontId="31" fillId="4" borderId="0">
      <alignment horizontal="center" vertical="center"/>
    </xf>
    <xf numFmtId="0" fontId="31" fillId="4" borderId="0">
      <alignment horizontal="left" vertical="top"/>
    </xf>
    <xf numFmtId="0" fontId="31" fillId="4" borderId="0">
      <alignment horizontal="right" vertical="center"/>
    </xf>
    <xf numFmtId="0" fontId="31" fillId="4" borderId="0">
      <alignment horizontal="right" vertical="top"/>
    </xf>
    <xf numFmtId="0" fontId="31" fillId="4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33" fillId="4" borderId="0">
      <alignment horizontal="left" vertical="top"/>
    </xf>
    <xf numFmtId="0" fontId="31" fillId="4" borderId="0">
      <alignment horizontal="left" vertical="center"/>
    </xf>
    <xf numFmtId="0" fontId="33" fillId="4" borderId="0">
      <alignment horizontal="left" vertical="top"/>
    </xf>
    <xf numFmtId="0" fontId="33" fillId="4" borderId="0">
      <alignment horizontal="center" vertical="center"/>
    </xf>
    <xf numFmtId="0" fontId="34" fillId="4" borderId="0">
      <alignment horizontal="center" vertical="center"/>
    </xf>
    <xf numFmtId="0" fontId="34" fillId="0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top"/>
    </xf>
    <xf numFmtId="0" fontId="31" fillId="4" borderId="0">
      <alignment horizontal="center" vertical="center"/>
    </xf>
    <xf numFmtId="0" fontId="35" fillId="0" borderId="0">
      <alignment horizontal="left" vertical="top"/>
    </xf>
    <xf numFmtId="0" fontId="31" fillId="4" borderId="0">
      <alignment horizontal="center" vertical="center"/>
    </xf>
    <xf numFmtId="0" fontId="31" fillId="0" borderId="0">
      <alignment horizontal="left" vertical="top"/>
    </xf>
    <xf numFmtId="0" fontId="31" fillId="4" borderId="0">
      <alignment horizontal="left" vertical="center"/>
    </xf>
    <xf numFmtId="0" fontId="35" fillId="0" borderId="0">
      <alignment horizontal="left" vertical="center"/>
    </xf>
    <xf numFmtId="0" fontId="27" fillId="5" borderId="0">
      <alignment horizontal="left" vertical="center"/>
    </xf>
    <xf numFmtId="0" fontId="31" fillId="4" borderId="0">
      <alignment horizontal="left" vertical="center"/>
    </xf>
    <xf numFmtId="0" fontId="35" fillId="0" borderId="0">
      <alignment horizontal="left" vertical="top"/>
    </xf>
    <xf numFmtId="0" fontId="27" fillId="5" borderId="0">
      <alignment horizontal="left" vertical="center"/>
    </xf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26" fillId="0" borderId="0"/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5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27" fillId="5" borderId="0">
      <alignment horizontal="left" vertical="center"/>
    </xf>
    <xf numFmtId="0" fontId="30" fillId="0" borderId="0"/>
    <xf numFmtId="0" fontId="29" fillId="0" borderId="0"/>
    <xf numFmtId="9" fontId="30" fillId="0" borderId="0" applyFont="0" applyFill="0" applyBorder="0" applyAlignment="0" applyProtection="0"/>
    <xf numFmtId="0" fontId="24" fillId="0" borderId="0"/>
    <xf numFmtId="0" fontId="37" fillId="0" borderId="0">
      <alignment horizontal="right" vertical="center"/>
    </xf>
    <xf numFmtId="0" fontId="38" fillId="0" borderId="0">
      <alignment horizontal="left" vertical="center"/>
    </xf>
    <xf numFmtId="0" fontId="39" fillId="0" borderId="0">
      <alignment horizontal="left" vertical="center"/>
    </xf>
    <xf numFmtId="0" fontId="39" fillId="0" borderId="0">
      <alignment horizontal="left" vertical="top"/>
    </xf>
    <xf numFmtId="0" fontId="40" fillId="0" borderId="0">
      <alignment horizontal="center" vertical="center"/>
    </xf>
    <xf numFmtId="0" fontId="39" fillId="0" borderId="0">
      <alignment horizontal="center" vertical="top"/>
    </xf>
    <xf numFmtId="0" fontId="37" fillId="0" borderId="0">
      <alignment horizontal="left" vertical="top"/>
    </xf>
    <xf numFmtId="0" fontId="37" fillId="0" borderId="0">
      <alignment horizontal="left" vertical="center"/>
    </xf>
    <xf numFmtId="0" fontId="39" fillId="0" borderId="2">
      <alignment horizontal="center" vertical="center"/>
    </xf>
    <xf numFmtId="0" fontId="37" fillId="0" borderId="2">
      <alignment horizontal="center" vertical="center"/>
    </xf>
    <xf numFmtId="0" fontId="39" fillId="0" borderId="2">
      <alignment horizontal="left" vertical="center"/>
    </xf>
    <xf numFmtId="0" fontId="39" fillId="0" borderId="2">
      <alignment horizontal="right" vertical="center"/>
    </xf>
    <xf numFmtId="0" fontId="39" fillId="0" borderId="2">
      <alignment horizontal="left" vertical="top"/>
    </xf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165" fontId="36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23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2" fillId="0" borderId="0"/>
    <xf numFmtId="0" fontId="37" fillId="0" borderId="0">
      <alignment horizontal="right" vertical="center"/>
    </xf>
    <xf numFmtId="0" fontId="39" fillId="0" borderId="1">
      <alignment horizontal="left" vertical="top"/>
    </xf>
    <xf numFmtId="0" fontId="39" fillId="0" borderId="7">
      <alignment horizontal="left" vertical="top"/>
    </xf>
    <xf numFmtId="0" fontId="39" fillId="0" borderId="2">
      <alignment horizontal="right" vertical="top"/>
    </xf>
    <xf numFmtId="0" fontId="39" fillId="0" borderId="2">
      <alignment horizontal="left" vertical="top"/>
    </xf>
    <xf numFmtId="0" fontId="37" fillId="0" borderId="0">
      <alignment horizontal="right" vertical="center"/>
    </xf>
    <xf numFmtId="0" fontId="39" fillId="0" borderId="2">
      <alignment horizontal="right" vertical="top"/>
    </xf>
    <xf numFmtId="0" fontId="39" fillId="0" borderId="2">
      <alignment horizontal="left" vertical="top"/>
    </xf>
    <xf numFmtId="0" fontId="21" fillId="0" borderId="0"/>
    <xf numFmtId="0" fontId="37" fillId="0" borderId="0">
      <alignment horizontal="right" vertical="center"/>
    </xf>
    <xf numFmtId="0" fontId="37" fillId="0" borderId="0">
      <alignment horizontal="right" vertical="center"/>
    </xf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9" fillId="0" borderId="0">
      <alignment horizontal="left" vertical="top"/>
    </xf>
    <xf numFmtId="0" fontId="37" fillId="0" borderId="0">
      <alignment horizontal="left" vertical="top"/>
    </xf>
    <xf numFmtId="0" fontId="39" fillId="0" borderId="0">
      <alignment horizontal="center" vertical="top"/>
    </xf>
    <xf numFmtId="0" fontId="40" fillId="0" borderId="0">
      <alignment horizontal="center" vertical="center"/>
    </xf>
    <xf numFmtId="0" fontId="13" fillId="0" borderId="0"/>
    <xf numFmtId="0" fontId="12" fillId="0" borderId="0"/>
    <xf numFmtId="0" fontId="11" fillId="0" borderId="0"/>
    <xf numFmtId="0" fontId="11" fillId="0" borderId="0"/>
    <xf numFmtId="165" fontId="36" fillId="0" borderId="0" applyFont="0" applyFill="0" applyBorder="0" applyAlignment="0" applyProtection="0"/>
    <xf numFmtId="0" fontId="5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3" borderId="0">
      <alignment horizontal="center" vertical="center"/>
    </xf>
    <xf numFmtId="0" fontId="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51" fillId="0" borderId="0"/>
    <xf numFmtId="0" fontId="52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6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173" fontId="25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50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0" fontId="63" fillId="0" borderId="0"/>
    <xf numFmtId="0" fontId="3" fillId="0" borderId="0"/>
    <xf numFmtId="0" fontId="2" fillId="0" borderId="0"/>
    <xf numFmtId="0" fontId="81" fillId="0" borderId="0"/>
    <xf numFmtId="0" fontId="29" fillId="0" borderId="0"/>
    <xf numFmtId="0" fontId="1" fillId="0" borderId="0"/>
  </cellStyleXfs>
  <cellXfs count="466">
    <xf numFmtId="0" fontId="0" fillId="0" borderId="0" xfId="0"/>
    <xf numFmtId="0" fontId="25" fillId="2" borderId="0" xfId="1" applyFont="1" applyFill="1"/>
    <xf numFmtId="9" fontId="28" fillId="2" borderId="0" xfId="1" applyNumberFormat="1" applyFont="1" applyFill="1" applyBorder="1" applyAlignment="1">
      <alignment horizontal="left"/>
    </xf>
    <xf numFmtId="0" fontId="44" fillId="0" borderId="0" xfId="0" applyFont="1"/>
    <xf numFmtId="0" fontId="41" fillId="0" borderId="0" xfId="0" applyFont="1"/>
    <xf numFmtId="4" fontId="41" fillId="0" borderId="0" xfId="0" applyNumberFormat="1" applyFont="1"/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28" fillId="2" borderId="2" xfId="14" applyFont="1" applyFill="1" applyBorder="1" applyAlignment="1">
      <alignment vertical="center" wrapText="1"/>
    </xf>
    <xf numFmtId="4" fontId="28" fillId="2" borderId="2" xfId="14" applyNumberFormat="1" applyFont="1" applyFill="1" applyBorder="1" applyAlignment="1">
      <alignment horizontal="center" vertical="center"/>
    </xf>
    <xf numFmtId="4" fontId="41" fillId="0" borderId="2" xfId="0" applyNumberFormat="1" applyFont="1" applyBorder="1" applyAlignment="1">
      <alignment vertical="center"/>
    </xf>
    <xf numFmtId="0" fontId="45" fillId="0" borderId="2" xfId="0" applyFont="1" applyBorder="1"/>
    <xf numFmtId="0" fontId="41" fillId="0" borderId="2" xfId="0" applyFont="1" applyBorder="1"/>
    <xf numFmtId="0" fontId="41" fillId="0" borderId="5" xfId="0" applyFont="1" applyBorder="1"/>
    <xf numFmtId="4" fontId="41" fillId="0" borderId="4" xfId="0" applyNumberFormat="1" applyFont="1" applyBorder="1"/>
    <xf numFmtId="4" fontId="45" fillId="0" borderId="2" xfId="0" applyNumberFormat="1" applyFont="1" applyBorder="1"/>
    <xf numFmtId="0" fontId="41" fillId="0" borderId="5" xfId="0" applyFont="1" applyBorder="1" applyAlignment="1">
      <alignment horizontal="right"/>
    </xf>
    <xf numFmtId="0" fontId="41" fillId="0" borderId="4" xfId="0" applyFont="1" applyBorder="1" applyAlignment="1">
      <alignment horizontal="left"/>
    </xf>
    <xf numFmtId="4" fontId="41" fillId="0" borderId="2" xfId="0" applyNumberFormat="1" applyFont="1" applyBorder="1"/>
    <xf numFmtId="0" fontId="25" fillId="2" borderId="0" xfId="1" applyFont="1" applyFill="1" applyAlignment="1">
      <alignment horizontal="center" vertical="center"/>
    </xf>
    <xf numFmtId="0" fontId="47" fillId="2" borderId="0" xfId="1" applyFont="1" applyFill="1" applyAlignment="1">
      <alignment horizontal="center"/>
    </xf>
    <xf numFmtId="0" fontId="47" fillId="2" borderId="0" xfId="1" applyFont="1" applyFill="1"/>
    <xf numFmtId="0" fontId="47" fillId="2" borderId="0" xfId="1" applyFont="1" applyFill="1" applyAlignment="1">
      <alignment horizontal="right"/>
    </xf>
    <xf numFmtId="4" fontId="44" fillId="0" borderId="0" xfId="0" applyNumberFormat="1" applyFont="1"/>
    <xf numFmtId="0" fontId="48" fillId="0" borderId="2" xfId="0" applyFont="1" applyBorder="1" applyAlignment="1">
      <alignment horizontal="center" vertical="center"/>
    </xf>
    <xf numFmtId="0" fontId="48" fillId="0" borderId="0" xfId="0" applyFont="1"/>
    <xf numFmtId="0" fontId="41" fillId="0" borderId="2" xfId="0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0" fillId="0" borderId="2" xfId="0" applyBorder="1"/>
    <xf numFmtId="0" fontId="42" fillId="0" borderId="2" xfId="0" applyFont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42" fillId="0" borderId="0" xfId="0" applyFont="1"/>
    <xf numFmtId="0" fontId="28" fillId="0" borderId="2" xfId="1" applyFont="1" applyFill="1" applyBorder="1" applyAlignment="1">
      <alignment horizontal="left" vertical="center" wrapText="1"/>
    </xf>
    <xf numFmtId="4" fontId="28" fillId="0" borderId="2" xfId="1" applyNumberFormat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left" vertical="center" wrapText="1"/>
    </xf>
    <xf numFmtId="9" fontId="28" fillId="0" borderId="2" xfId="1" applyNumberFormat="1" applyFont="1" applyFill="1" applyBorder="1" applyAlignment="1">
      <alignment horizontal="center" vertical="center" wrapText="1"/>
    </xf>
    <xf numFmtId="166" fontId="28" fillId="0" borderId="2" xfId="1" applyNumberFormat="1" applyFont="1" applyFill="1" applyBorder="1" applyAlignment="1">
      <alignment horizontal="center"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10" fontId="28" fillId="0" borderId="2" xfId="1" applyNumberFormat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/>
    </xf>
    <xf numFmtId="170" fontId="28" fillId="0" borderId="2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right"/>
    </xf>
    <xf numFmtId="0" fontId="49" fillId="0" borderId="2" xfId="1" applyFont="1" applyFill="1" applyBorder="1" applyAlignment="1">
      <alignment horizontal="center" vertical="center" wrapText="1"/>
    </xf>
    <xf numFmtId="9" fontId="28" fillId="0" borderId="2" xfId="1" applyNumberFormat="1" applyFont="1" applyFill="1" applyBorder="1" applyAlignment="1">
      <alignment horizontal="center" vertical="center"/>
    </xf>
    <xf numFmtId="2" fontId="28" fillId="0" borderId="2" xfId="1" applyNumberFormat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2" xfId="1" applyFont="1" applyFill="1" applyBorder="1" applyAlignment="1">
      <alignment horizontal="left" vertical="center" wrapText="1" shrinkToFit="1"/>
    </xf>
    <xf numFmtId="172" fontId="28" fillId="0" borderId="2" xfId="1" applyNumberFormat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 shrinkToFit="1"/>
    </xf>
    <xf numFmtId="172" fontId="49" fillId="0" borderId="2" xfId="1" applyNumberFormat="1" applyFont="1" applyFill="1" applyBorder="1" applyAlignment="1">
      <alignment horizontal="center" vertical="center" wrapText="1"/>
    </xf>
    <xf numFmtId="9" fontId="28" fillId="0" borderId="2" xfId="4" applyFont="1" applyFill="1" applyBorder="1" applyAlignment="1">
      <alignment horizontal="center" vertical="center" wrapText="1"/>
    </xf>
    <xf numFmtId="172" fontId="28" fillId="0" borderId="4" xfId="1" applyNumberFormat="1" applyFont="1" applyFill="1" applyBorder="1" applyAlignment="1">
      <alignment horizontal="center" vertical="center" wrapText="1"/>
    </xf>
    <xf numFmtId="172" fontId="49" fillId="0" borderId="4" xfId="1" applyNumberFormat="1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left" vertical="center" wrapText="1"/>
    </xf>
    <xf numFmtId="9" fontId="28" fillId="0" borderId="10" xfId="1" applyNumberFormat="1" applyFont="1" applyFill="1" applyBorder="1" applyAlignment="1">
      <alignment horizontal="center" vertical="center" wrapText="1"/>
    </xf>
    <xf numFmtId="2" fontId="28" fillId="0" borderId="11" xfId="1" applyNumberFormat="1" applyFont="1" applyFill="1" applyBorder="1" applyAlignment="1">
      <alignment horizontal="center" vertical="center" wrapText="1"/>
    </xf>
    <xf numFmtId="164" fontId="49" fillId="0" borderId="2" xfId="3" applyFont="1" applyFill="1" applyBorder="1" applyAlignment="1">
      <alignment horizontal="center" vertical="center" wrapText="1"/>
    </xf>
    <xf numFmtId="171" fontId="49" fillId="0" borderId="2" xfId="1" applyNumberFormat="1" applyFont="1" applyFill="1" applyBorder="1" applyAlignment="1">
      <alignment horizontal="center" vertical="center" wrapText="1"/>
    </xf>
    <xf numFmtId="172" fontId="49" fillId="0" borderId="0" xfId="1" applyNumberFormat="1" applyFont="1" applyFill="1" applyBorder="1" applyAlignment="1">
      <alignment horizontal="center" vertical="center" wrapText="1"/>
    </xf>
    <xf numFmtId="9" fontId="28" fillId="0" borderId="0" xfId="1" applyNumberFormat="1" applyFont="1" applyFill="1" applyBorder="1" applyAlignment="1">
      <alignment horizontal="left"/>
    </xf>
    <xf numFmtId="0" fontId="28" fillId="0" borderId="0" xfId="1" applyFont="1" applyFill="1" applyAlignment="1">
      <alignment horizontal="center" vertical="center"/>
    </xf>
    <xf numFmtId="43" fontId="0" fillId="0" borderId="2" xfId="0" applyNumberFormat="1" applyFill="1" applyBorder="1"/>
    <xf numFmtId="43" fontId="42" fillId="0" borderId="0" xfId="0" applyNumberFormat="1" applyFont="1"/>
    <xf numFmtId="0" fontId="28" fillId="0" borderId="2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49" fillId="0" borderId="0" xfId="1" applyFont="1" applyFill="1" applyAlignment="1">
      <alignment horizontal="center" vertical="center" wrapText="1"/>
    </xf>
    <xf numFmtId="0" fontId="49" fillId="0" borderId="2" xfId="1" applyFont="1" applyFill="1" applyBorder="1" applyAlignment="1">
      <alignment horizontal="left" vertical="center" wrapText="1" shrinkToFit="1"/>
    </xf>
    <xf numFmtId="4" fontId="28" fillId="0" borderId="0" xfId="1" applyNumberFormat="1" applyFont="1" applyFill="1" applyAlignment="1">
      <alignment horizontal="center" vertical="center"/>
    </xf>
    <xf numFmtId="0" fontId="60" fillId="0" borderId="10" xfId="1" applyFont="1" applyFill="1" applyBorder="1" applyAlignment="1">
      <alignment vertical="center"/>
    </xf>
    <xf numFmtId="0" fontId="61" fillId="0" borderId="1" xfId="1" applyFont="1" applyFill="1" applyBorder="1" applyAlignment="1">
      <alignment vertical="center"/>
    </xf>
    <xf numFmtId="0" fontId="61" fillId="0" borderId="1" xfId="1" applyFont="1" applyFill="1" applyBorder="1" applyAlignment="1">
      <alignment horizontal="center" vertical="center"/>
    </xf>
    <xf numFmtId="0" fontId="61" fillId="0" borderId="14" xfId="1" applyFont="1" applyFill="1" applyBorder="1" applyAlignment="1">
      <alignment horizontal="right" vertical="center"/>
    </xf>
    <xf numFmtId="0" fontId="49" fillId="2" borderId="2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 wrapText="1"/>
    </xf>
    <xf numFmtId="0" fontId="28" fillId="2" borderId="8" xfId="1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74" fontId="28" fillId="2" borderId="2" xfId="187" applyNumberFormat="1" applyFont="1" applyFill="1" applyBorder="1" applyAlignment="1">
      <alignment horizontal="left" vertical="center" wrapText="1"/>
    </xf>
    <xf numFmtId="165" fontId="28" fillId="2" borderId="2" xfId="2" applyFont="1" applyFill="1" applyBorder="1" applyAlignment="1">
      <alignment horizontal="right" vertical="center" wrapText="1"/>
    </xf>
    <xf numFmtId="167" fontId="28" fillId="2" borderId="2" xfId="1" applyNumberFormat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/>
    </xf>
    <xf numFmtId="165" fontId="49" fillId="0" borderId="4" xfId="2" applyFont="1" applyFill="1" applyBorder="1" applyAlignment="1">
      <alignment horizontal="right" vertical="center" wrapText="1"/>
    </xf>
    <xf numFmtId="0" fontId="28" fillId="2" borderId="2" xfId="1" applyFont="1" applyFill="1" applyBorder="1" applyAlignment="1">
      <alignment horizontal="left" vertical="center" wrapText="1"/>
    </xf>
    <xf numFmtId="0" fontId="28" fillId="2" borderId="2" xfId="1" applyFont="1" applyFill="1" applyBorder="1" applyAlignment="1">
      <alignment vertical="center" wrapText="1"/>
    </xf>
    <xf numFmtId="165" fontId="28" fillId="2" borderId="2" xfId="1" applyNumberFormat="1" applyFont="1" applyFill="1" applyBorder="1" applyAlignment="1">
      <alignment horizontal="center" vertical="center" wrapText="1"/>
    </xf>
    <xf numFmtId="9" fontId="28" fillId="2" borderId="2" xfId="188" applyFont="1" applyFill="1" applyBorder="1" applyAlignment="1">
      <alignment horizontal="center" vertical="center" wrapText="1"/>
    </xf>
    <xf numFmtId="9" fontId="28" fillId="2" borderId="2" xfId="1" applyNumberFormat="1" applyFont="1" applyFill="1" applyBorder="1" applyAlignment="1">
      <alignment horizontal="center" vertical="center" wrapText="1"/>
    </xf>
    <xf numFmtId="9" fontId="53" fillId="2" borderId="2" xfId="0" applyNumberFormat="1" applyFont="1" applyFill="1" applyBorder="1" applyAlignment="1">
      <alignment horizontal="center" vertical="center" wrapText="1"/>
    </xf>
    <xf numFmtId="4" fontId="28" fillId="0" borderId="2" xfId="1" applyNumberFormat="1" applyFont="1" applyFill="1" applyBorder="1" applyAlignment="1">
      <alignment horizontal="right" vertical="center" wrapText="1"/>
    </xf>
    <xf numFmtId="4" fontId="28" fillId="0" borderId="2" xfId="1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top" wrapText="1"/>
    </xf>
    <xf numFmtId="2" fontId="28" fillId="0" borderId="2" xfId="1" applyNumberFormat="1" applyFont="1" applyFill="1" applyBorder="1" applyAlignment="1">
      <alignment horizontal="left" vertical="center"/>
    </xf>
    <xf numFmtId="2" fontId="28" fillId="0" borderId="2" xfId="1" applyNumberFormat="1" applyFont="1" applyFill="1" applyBorder="1" applyAlignment="1">
      <alignment horizontal="center" vertical="center"/>
    </xf>
    <xf numFmtId="165" fontId="49" fillId="0" borderId="2" xfId="2" applyFont="1" applyFill="1" applyBorder="1" applyAlignment="1">
      <alignment horizontal="right" vertical="center" wrapText="1"/>
    </xf>
    <xf numFmtId="164" fontId="49" fillId="0" borderId="2" xfId="3" applyFont="1" applyFill="1" applyBorder="1" applyAlignment="1">
      <alignment horizontal="center" vertical="center"/>
    </xf>
    <xf numFmtId="4" fontId="49" fillId="0" borderId="2" xfId="1" applyNumberFormat="1" applyFont="1" applyFill="1" applyBorder="1" applyAlignment="1">
      <alignment horizontal="right" vertical="center"/>
    </xf>
    <xf numFmtId="0" fontId="28" fillId="0" borderId="5" xfId="1" applyFont="1" applyFill="1" applyBorder="1" applyAlignment="1">
      <alignment horizontal="center" vertical="center"/>
    </xf>
    <xf numFmtId="171" fontId="49" fillId="0" borderId="2" xfId="1" applyNumberFormat="1" applyFont="1" applyFill="1" applyBorder="1" applyAlignment="1">
      <alignment horizontal="center" vertical="center"/>
    </xf>
    <xf numFmtId="4" fontId="28" fillId="0" borderId="2" xfId="1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8" xfId="0" applyBorder="1"/>
    <xf numFmtId="4" fontId="0" fillId="0" borderId="2" xfId="0" applyNumberFormat="1" applyBorder="1"/>
    <xf numFmtId="0" fontId="26" fillId="0" borderId="0" xfId="179"/>
    <xf numFmtId="49" fontId="62" fillId="0" borderId="0" xfId="179" applyNumberFormat="1" applyFont="1" applyAlignment="1">
      <alignment horizontal="center"/>
    </xf>
    <xf numFmtId="0" fontId="26" fillId="0" borderId="0" xfId="179" applyFont="1"/>
    <xf numFmtId="0" fontId="26" fillId="0" borderId="0" xfId="179" quotePrefix="1" applyFont="1" applyAlignment="1">
      <alignment horizontal="left"/>
    </xf>
    <xf numFmtId="0" fontId="26" fillId="0" borderId="0" xfId="189" applyFont="1" applyAlignment="1">
      <alignment horizontal="right" vertical="top"/>
    </xf>
    <xf numFmtId="2" fontId="26" fillId="0" borderId="0" xfId="179" applyNumberFormat="1" applyFont="1" applyAlignment="1"/>
    <xf numFmtId="167" fontId="26" fillId="0" borderId="0" xfId="179" applyNumberFormat="1" applyFont="1" applyAlignment="1">
      <alignment horizontal="center"/>
    </xf>
    <xf numFmtId="0" fontId="26" fillId="0" borderId="8" xfId="179" applyFont="1" applyBorder="1" applyAlignment="1">
      <alignment horizontal="left" vertical="center"/>
    </xf>
    <xf numFmtId="0" fontId="26" fillId="0" borderId="0" xfId="179" applyFont="1" applyAlignment="1">
      <alignment horizontal="left" vertical="center"/>
    </xf>
    <xf numFmtId="0" fontId="64" fillId="0" borderId="0" xfId="190" applyFont="1" applyFill="1" applyAlignment="1" applyProtection="1">
      <alignment horizontal="left" wrapText="1"/>
      <protection locked="0"/>
    </xf>
    <xf numFmtId="0" fontId="26" fillId="0" borderId="4" xfId="179" applyBorder="1" applyAlignment="1">
      <alignment horizontal="left" vertical="center"/>
    </xf>
    <xf numFmtId="49" fontId="26" fillId="0" borderId="5" xfId="179" applyNumberFormat="1" applyBorder="1"/>
    <xf numFmtId="49" fontId="26" fillId="0" borderId="15" xfId="179" applyNumberFormat="1" applyFont="1" applyFill="1" applyBorder="1" applyAlignment="1">
      <alignment horizontal="center" vertical="center" wrapText="1"/>
    </xf>
    <xf numFmtId="0" fontId="26" fillId="0" borderId="16" xfId="179" applyFont="1" applyFill="1" applyBorder="1" applyAlignment="1">
      <alignment horizontal="center" vertical="center" wrapText="1"/>
    </xf>
    <xf numFmtId="0" fontId="26" fillId="0" borderId="17" xfId="179" applyFont="1" applyFill="1" applyBorder="1" applyAlignment="1">
      <alignment horizontal="center" vertical="center" wrapText="1"/>
    </xf>
    <xf numFmtId="0" fontId="26" fillId="0" borderId="21" xfId="179" applyNumberFormat="1" applyFont="1" applyFill="1" applyBorder="1" applyAlignment="1">
      <alignment horizontal="center" vertical="center" wrapText="1"/>
    </xf>
    <xf numFmtId="0" fontId="26" fillId="0" borderId="22" xfId="179" applyFont="1" applyFill="1" applyBorder="1" applyAlignment="1">
      <alignment horizontal="center" vertical="center" wrapText="1"/>
    </xf>
    <xf numFmtId="4" fontId="26" fillId="0" borderId="22" xfId="179" applyNumberFormat="1" applyFont="1" applyFill="1" applyBorder="1" applyAlignment="1">
      <alignment horizontal="center" vertical="center" wrapText="1"/>
    </xf>
    <xf numFmtId="4" fontId="26" fillId="0" borderId="23" xfId="179" applyNumberFormat="1" applyFont="1" applyFill="1" applyBorder="1" applyAlignment="1">
      <alignment horizontal="center" vertical="center" wrapText="1"/>
    </xf>
    <xf numFmtId="0" fontId="26" fillId="0" borderId="2" xfId="179" applyFont="1" applyFill="1" applyBorder="1" applyAlignment="1">
      <alignment horizontal="center" vertical="center" wrapText="1"/>
    </xf>
    <xf numFmtId="0" fontId="26" fillId="2" borderId="22" xfId="179" applyFont="1" applyFill="1" applyBorder="1" applyAlignment="1">
      <alignment horizontal="center" vertical="center" wrapText="1"/>
    </xf>
    <xf numFmtId="4" fontId="26" fillId="0" borderId="2" xfId="179" applyNumberFormat="1" applyFont="1" applyFill="1" applyBorder="1" applyAlignment="1">
      <alignment horizontal="center" vertical="center" wrapText="1"/>
    </xf>
    <xf numFmtId="4" fontId="26" fillId="2" borderId="23" xfId="179" applyNumberFormat="1" applyFont="1" applyFill="1" applyBorder="1" applyAlignment="1">
      <alignment horizontal="center" vertical="center" wrapText="1"/>
    </xf>
    <xf numFmtId="4" fontId="26" fillId="0" borderId="24" xfId="179" applyNumberFormat="1" applyFont="1" applyFill="1" applyBorder="1" applyAlignment="1">
      <alignment horizontal="center" vertical="center" wrapText="1"/>
    </xf>
    <xf numFmtId="4" fontId="26" fillId="0" borderId="25" xfId="179" applyNumberFormat="1" applyFont="1" applyFill="1" applyBorder="1" applyAlignment="1">
      <alignment horizontal="center" vertical="center" wrapText="1"/>
    </xf>
    <xf numFmtId="0" fontId="26" fillId="0" borderId="0" xfId="179" applyFont="1" applyFill="1" applyBorder="1" applyAlignment="1">
      <alignment horizontal="center" vertical="center" wrapText="1"/>
    </xf>
    <xf numFmtId="4" fontId="26" fillId="0" borderId="0" xfId="179" applyNumberFormat="1" applyFont="1" applyFill="1" applyBorder="1" applyAlignment="1">
      <alignment horizontal="center" vertical="center" wrapText="1"/>
    </xf>
    <xf numFmtId="49" fontId="26" fillId="0" borderId="21" xfId="179" applyNumberFormat="1" applyFont="1" applyFill="1" applyBorder="1" applyAlignment="1">
      <alignment horizontal="center" vertical="center" wrapText="1"/>
    </xf>
    <xf numFmtId="0" fontId="26" fillId="0" borderId="26" xfId="179" applyFont="1" applyFill="1" applyBorder="1" applyAlignment="1">
      <alignment horizontal="center" vertical="center" wrapText="1"/>
    </xf>
    <xf numFmtId="4" fontId="26" fillId="0" borderId="27" xfId="179" applyNumberFormat="1" applyFont="1" applyFill="1" applyBorder="1" applyAlignment="1">
      <alignment horizontal="center" vertical="center" wrapText="1"/>
    </xf>
    <xf numFmtId="4" fontId="67" fillId="0" borderId="23" xfId="179" applyNumberFormat="1" applyFont="1" applyFill="1" applyBorder="1" applyAlignment="1">
      <alignment horizontal="center" vertical="center" wrapText="1"/>
    </xf>
    <xf numFmtId="49" fontId="68" fillId="0" borderId="31" xfId="179" applyNumberFormat="1" applyFont="1" applyBorder="1" applyAlignment="1">
      <alignment horizontal="center" vertical="center" wrapText="1"/>
    </xf>
    <xf numFmtId="49" fontId="68" fillId="0" borderId="2" xfId="179" applyNumberFormat="1" applyFont="1" applyBorder="1" applyAlignment="1">
      <alignment horizontal="center" vertical="center" wrapText="1"/>
    </xf>
    <xf numFmtId="4" fontId="68" fillId="0" borderId="2" xfId="179" applyNumberFormat="1" applyFont="1" applyBorder="1" applyAlignment="1">
      <alignment horizontal="center" vertical="center" wrapText="1"/>
    </xf>
    <xf numFmtId="4" fontId="68" fillId="0" borderId="24" xfId="179" applyNumberFormat="1" applyFont="1" applyBorder="1" applyAlignment="1">
      <alignment horizontal="center" vertical="center" wrapText="1"/>
    </xf>
    <xf numFmtId="49" fontId="26" fillId="0" borderId="32" xfId="179" applyNumberFormat="1" applyFill="1" applyBorder="1" applyAlignment="1">
      <alignment horizontal="center" vertical="center" wrapText="1"/>
    </xf>
    <xf numFmtId="175" fontId="26" fillId="0" borderId="26" xfId="179" applyNumberFormat="1" applyFont="1" applyFill="1" applyBorder="1" applyAlignment="1">
      <alignment horizontal="center" vertical="center" wrapText="1"/>
    </xf>
    <xf numFmtId="0" fontId="26" fillId="0" borderId="22" xfId="179" applyFill="1" applyBorder="1" applyAlignment="1">
      <alignment horizontal="center" vertical="center" wrapText="1"/>
    </xf>
    <xf numFmtId="49" fontId="26" fillId="0" borderId="33" xfId="179" applyNumberFormat="1" applyFill="1" applyBorder="1" applyAlignment="1">
      <alignment horizontal="center" vertical="center" wrapText="1"/>
    </xf>
    <xf numFmtId="4" fontId="47" fillId="0" borderId="23" xfId="179" applyNumberFormat="1" applyFont="1" applyFill="1" applyBorder="1" applyAlignment="1">
      <alignment horizontal="center" vertical="center" wrapText="1"/>
    </xf>
    <xf numFmtId="4" fontId="47" fillId="0" borderId="24" xfId="179" applyNumberFormat="1" applyFont="1" applyBorder="1" applyAlignment="1">
      <alignment horizontal="center" vertical="center" wrapText="1"/>
    </xf>
    <xf numFmtId="0" fontId="30" fillId="0" borderId="21" xfId="179" applyFont="1" applyFill="1" applyBorder="1" applyAlignment="1">
      <alignment horizontal="center" vertical="center" wrapText="1"/>
    </xf>
    <xf numFmtId="2" fontId="26" fillId="0" borderId="21" xfId="179" applyNumberFormat="1" applyFont="1" applyFill="1" applyBorder="1" applyAlignment="1">
      <alignment horizontal="center" vertical="center" wrapText="1"/>
    </xf>
    <xf numFmtId="0" fontId="68" fillId="0" borderId="31" xfId="179" applyNumberFormat="1" applyFont="1" applyBorder="1" applyAlignment="1">
      <alignment horizontal="center" vertical="center" wrapText="1"/>
    </xf>
    <xf numFmtId="0" fontId="56" fillId="0" borderId="22" xfId="179" applyFont="1" applyFill="1" applyBorder="1" applyAlignment="1">
      <alignment horizontal="center" vertical="center" wrapText="1"/>
    </xf>
    <xf numFmtId="2" fontId="26" fillId="0" borderId="23" xfId="179" applyNumberFormat="1" applyFont="1" applyFill="1" applyBorder="1" applyAlignment="1">
      <alignment horizontal="center" vertical="center" wrapText="1"/>
    </xf>
    <xf numFmtId="2" fontId="26" fillId="0" borderId="22" xfId="179" applyNumberFormat="1" applyFont="1" applyFill="1" applyBorder="1" applyAlignment="1">
      <alignment horizontal="center" vertical="center" wrapText="1"/>
    </xf>
    <xf numFmtId="0" fontId="26" fillId="0" borderId="23" xfId="179" applyFont="1" applyFill="1" applyBorder="1" applyAlignment="1">
      <alignment horizontal="center" vertical="center" wrapText="1"/>
    </xf>
    <xf numFmtId="2" fontId="62" fillId="0" borderId="23" xfId="179" applyNumberFormat="1" applyFont="1" applyFill="1" applyBorder="1" applyAlignment="1">
      <alignment horizontal="center" vertical="center" wrapText="1"/>
    </xf>
    <xf numFmtId="2" fontId="67" fillId="0" borderId="43" xfId="179" applyNumberFormat="1" applyFont="1" applyFill="1" applyBorder="1" applyAlignment="1">
      <alignment horizontal="center" vertical="center" wrapText="1"/>
    </xf>
    <xf numFmtId="2" fontId="67" fillId="0" borderId="24" xfId="179" applyNumberFormat="1" applyFont="1" applyFill="1" applyBorder="1" applyAlignment="1">
      <alignment horizontal="center" vertical="center" wrapText="1"/>
    </xf>
    <xf numFmtId="0" fontId="26" fillId="0" borderId="2" xfId="179" applyFont="1" applyFill="1" applyBorder="1" applyAlignment="1">
      <alignment horizontal="center" vertical="top" wrapText="1"/>
    </xf>
    <xf numFmtId="0" fontId="62" fillId="0" borderId="2" xfId="179" applyFont="1" applyFill="1" applyBorder="1" applyAlignment="1">
      <alignment horizontal="center" vertical="top" wrapText="1"/>
    </xf>
    <xf numFmtId="0" fontId="62" fillId="0" borderId="11" xfId="179" applyFont="1" applyFill="1" applyBorder="1" applyAlignment="1">
      <alignment horizontal="center" vertical="top" wrapText="1"/>
    </xf>
    <xf numFmtId="2" fontId="25" fillId="0" borderId="11" xfId="179" applyNumberFormat="1" applyFont="1" applyFill="1" applyBorder="1" applyAlignment="1">
      <alignment horizontal="center" vertical="center" wrapText="1"/>
    </xf>
    <xf numFmtId="0" fontId="30" fillId="0" borderId="3" xfId="179" applyFont="1" applyFill="1" applyBorder="1" applyAlignment="1">
      <alignment horizontal="center" vertical="center" wrapText="1"/>
    </xf>
    <xf numFmtId="0" fontId="26" fillId="0" borderId="42" xfId="179" applyFont="1" applyFill="1" applyBorder="1" applyAlignment="1">
      <alignment horizontal="center" vertical="center" wrapText="1"/>
    </xf>
    <xf numFmtId="0" fontId="26" fillId="0" borderId="3" xfId="179" applyFont="1" applyFill="1" applyBorder="1" applyAlignment="1">
      <alignment horizontal="center" vertical="center" wrapText="1"/>
    </xf>
    <xf numFmtId="0" fontId="26" fillId="0" borderId="47" xfId="179" applyFont="1" applyFill="1" applyBorder="1" applyAlignment="1">
      <alignment horizontal="center" vertical="center" wrapText="1"/>
    </xf>
    <xf numFmtId="0" fontId="30" fillId="0" borderId="1" xfId="179" applyFont="1" applyFill="1" applyBorder="1" applyAlignment="1">
      <alignment horizontal="center" vertical="center" wrapText="1"/>
    </xf>
    <xf numFmtId="0" fontId="30" fillId="0" borderId="2" xfId="179" applyFont="1" applyFill="1" applyBorder="1" applyAlignment="1">
      <alignment horizontal="center" vertical="center" wrapText="1"/>
    </xf>
    <xf numFmtId="0" fontId="30" fillId="0" borderId="14" xfId="179" applyFont="1" applyFill="1" applyBorder="1" applyAlignment="1">
      <alignment horizontal="center" vertical="center" wrapText="1"/>
    </xf>
    <xf numFmtId="0" fontId="30" fillId="0" borderId="0" xfId="179" applyFont="1" applyFill="1" applyBorder="1" applyAlignment="1">
      <alignment horizontal="center" vertical="center" wrapText="1"/>
    </xf>
    <xf numFmtId="0" fontId="65" fillId="0" borderId="10" xfId="179" applyFont="1" applyFill="1" applyBorder="1" applyAlignment="1">
      <alignment horizontal="center" vertical="center" wrapText="1"/>
    </xf>
    <xf numFmtId="2" fontId="70" fillId="0" borderId="3" xfId="179" applyNumberFormat="1" applyFont="1" applyFill="1" applyBorder="1" applyAlignment="1">
      <alignment horizontal="center" vertical="center" wrapText="1"/>
    </xf>
    <xf numFmtId="9" fontId="64" fillId="0" borderId="8" xfId="179" applyNumberFormat="1" applyFont="1" applyFill="1" applyBorder="1" applyAlignment="1">
      <alignment horizontal="left" vertical="center" wrapText="1"/>
    </xf>
    <xf numFmtId="0" fontId="64" fillId="0" borderId="8" xfId="179" applyFont="1" applyFill="1" applyBorder="1" applyAlignment="1">
      <alignment horizontal="left" vertical="center" wrapText="1"/>
    </xf>
    <xf numFmtId="2" fontId="64" fillId="0" borderId="2" xfId="179" applyNumberFormat="1" applyFont="1" applyFill="1" applyBorder="1" applyAlignment="1">
      <alignment horizontal="center" vertical="center" wrapText="1"/>
    </xf>
    <xf numFmtId="49" fontId="26" fillId="0" borderId="0" xfId="179" applyNumberFormat="1"/>
    <xf numFmtId="0" fontId="72" fillId="0" borderId="7" xfId="179" applyFont="1" applyBorder="1" applyAlignment="1">
      <alignment vertical="top" wrapText="1"/>
    </xf>
    <xf numFmtId="0" fontId="53" fillId="0" borderId="0" xfId="1" applyFont="1" applyFill="1" applyAlignment="1">
      <alignment wrapText="1"/>
    </xf>
    <xf numFmtId="0" fontId="25" fillId="0" borderId="0" xfId="1" applyFont="1" applyFill="1"/>
    <xf numFmtId="0" fontId="53" fillId="0" borderId="0" xfId="1" applyFont="1" applyFill="1" applyAlignment="1">
      <alignment horizontal="left" vertical="top"/>
    </xf>
    <xf numFmtId="0" fontId="53" fillId="0" borderId="0" xfId="1" applyFont="1" applyFill="1"/>
    <xf numFmtId="0" fontId="5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wrapText="1"/>
    </xf>
    <xf numFmtId="0" fontId="53" fillId="0" borderId="0" xfId="1" applyFont="1" applyFill="1" applyAlignment="1">
      <alignment horizontal="left" vertical="center" wrapText="1"/>
    </xf>
    <xf numFmtId="0" fontId="76" fillId="0" borderId="5" xfId="1" applyFont="1" applyFill="1" applyBorder="1" applyAlignment="1">
      <alignment horizontal="left" vertical="top"/>
    </xf>
    <xf numFmtId="0" fontId="53" fillId="0" borderId="8" xfId="1" applyFont="1" applyFill="1" applyBorder="1" applyAlignment="1"/>
    <xf numFmtId="0" fontId="53" fillId="0" borderId="8" xfId="1" applyFont="1" applyFill="1" applyBorder="1" applyAlignment="1">
      <alignment horizontal="center" vertical="center"/>
    </xf>
    <xf numFmtId="0" fontId="25" fillId="0" borderId="4" xfId="1" applyFont="1" applyFill="1" applyBorder="1" applyAlignment="1"/>
    <xf numFmtId="0" fontId="53" fillId="0" borderId="2" xfId="1" quotePrefix="1" applyFont="1" applyFill="1" applyBorder="1" applyAlignment="1">
      <alignment horizontal="left" vertical="center" wrapText="1"/>
    </xf>
    <xf numFmtId="0" fontId="53" fillId="0" borderId="2" xfId="1" applyFont="1" applyFill="1" applyBorder="1" applyAlignment="1">
      <alignment horizontal="left" vertical="center" wrapText="1"/>
    </xf>
    <xf numFmtId="0" fontId="53" fillId="0" borderId="2" xfId="1" applyFont="1" applyFill="1" applyBorder="1" applyAlignment="1">
      <alignment horizontal="center" vertical="center" wrapText="1"/>
    </xf>
    <xf numFmtId="0" fontId="49" fillId="0" borderId="3" xfId="1" applyFont="1" applyFill="1" applyBorder="1" applyAlignment="1">
      <alignment horizontal="center" vertical="center"/>
    </xf>
    <xf numFmtId="0" fontId="53" fillId="0" borderId="3" xfId="1" quotePrefix="1" applyFont="1" applyFill="1" applyBorder="1" applyAlignment="1">
      <alignment horizontal="left" vertical="center" wrapText="1"/>
    </xf>
    <xf numFmtId="0" fontId="53" fillId="0" borderId="3" xfId="1" applyFont="1" applyFill="1" applyBorder="1" applyAlignment="1">
      <alignment horizontal="left" vertical="center" wrapText="1"/>
    </xf>
    <xf numFmtId="49" fontId="49" fillId="0" borderId="3" xfId="101" applyNumberFormat="1" applyFont="1" applyFill="1" applyBorder="1" applyAlignment="1">
      <alignment horizontal="center" vertical="center" wrapText="1"/>
    </xf>
    <xf numFmtId="0" fontId="28" fillId="0" borderId="3" xfId="101" applyNumberFormat="1" applyFont="1" applyFill="1" applyBorder="1" applyAlignment="1">
      <alignment horizontal="left" vertical="top" wrapText="1"/>
    </xf>
    <xf numFmtId="0" fontId="28" fillId="0" borderId="3" xfId="101" applyNumberFormat="1" applyFont="1" applyFill="1" applyBorder="1" applyAlignment="1">
      <alignment horizontal="center" vertical="center" wrapText="1"/>
    </xf>
    <xf numFmtId="0" fontId="28" fillId="0" borderId="2" xfId="101" applyNumberFormat="1" applyFont="1" applyFill="1" applyBorder="1" applyAlignment="1">
      <alignment horizontal="center" vertical="center" wrapText="1"/>
    </xf>
    <xf numFmtId="176" fontId="28" fillId="0" borderId="2" xfId="101" applyNumberFormat="1" applyFont="1" applyFill="1" applyBorder="1" applyAlignment="1">
      <alignment horizontal="center" vertical="center" wrapText="1"/>
    </xf>
    <xf numFmtId="0" fontId="28" fillId="0" borderId="2" xfId="101" applyNumberFormat="1" applyFont="1" applyFill="1" applyBorder="1" applyAlignment="1">
      <alignment horizontal="center" vertical="center"/>
    </xf>
    <xf numFmtId="0" fontId="28" fillId="0" borderId="0" xfId="101" applyNumberFormat="1" applyFont="1" applyFill="1"/>
    <xf numFmtId="0" fontId="78" fillId="0" borderId="0" xfId="0" applyFont="1" applyFill="1" applyAlignment="1">
      <alignment wrapText="1"/>
    </xf>
    <xf numFmtId="4" fontId="28" fillId="0" borderId="2" xfId="101" applyNumberFormat="1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wrapText="1"/>
    </xf>
    <xf numFmtId="0" fontId="25" fillId="0" borderId="2" xfId="1" applyFont="1" applyFill="1" applyBorder="1"/>
    <xf numFmtId="0" fontId="75" fillId="0" borderId="2" xfId="1" applyFont="1" applyFill="1" applyBorder="1" applyAlignment="1">
      <alignment horizontal="left" vertical="center" wrapText="1"/>
    </xf>
    <xf numFmtId="0" fontId="75" fillId="0" borderId="2" xfId="1" applyFont="1" applyFill="1" applyBorder="1" applyAlignment="1">
      <alignment horizontal="center" vertical="center" wrapText="1"/>
    </xf>
    <xf numFmtId="0" fontId="53" fillId="0" borderId="9" xfId="1" applyFont="1" applyFill="1" applyBorder="1" applyAlignment="1">
      <alignment horizontal="center" vertical="center" wrapText="1"/>
    </xf>
    <xf numFmtId="4" fontId="75" fillId="0" borderId="2" xfId="1" applyNumberFormat="1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left" vertical="center" wrapText="1"/>
    </xf>
    <xf numFmtId="4" fontId="76" fillId="0" borderId="2" xfId="0" applyNumberFormat="1" applyFont="1" applyFill="1" applyBorder="1" applyAlignment="1">
      <alignment horizontal="center" vertical="center" wrapText="1"/>
    </xf>
    <xf numFmtId="9" fontId="53" fillId="0" borderId="9" xfId="1" applyNumberFormat="1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76" fillId="0" borderId="2" xfId="1" applyFont="1" applyFill="1" applyBorder="1" applyAlignment="1">
      <alignment horizontal="left" vertical="center" wrapText="1"/>
    </xf>
    <xf numFmtId="4" fontId="76" fillId="0" borderId="2" xfId="1" applyNumberFormat="1" applyFont="1" applyFill="1" applyBorder="1" applyAlignment="1">
      <alignment horizontal="center" vertical="center" wrapText="1"/>
    </xf>
    <xf numFmtId="9" fontId="53" fillId="0" borderId="2" xfId="1" applyNumberFormat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left" vertical="center"/>
    </xf>
    <xf numFmtId="170" fontId="28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 wrapText="1"/>
    </xf>
    <xf numFmtId="4" fontId="25" fillId="0" borderId="0" xfId="1" applyNumberFormat="1" applyFont="1" applyFill="1" applyAlignment="1">
      <alignment wrapText="1"/>
    </xf>
    <xf numFmtId="1" fontId="25" fillId="0" borderId="0" xfId="1" applyNumberFormat="1" applyFont="1" applyFill="1"/>
    <xf numFmtId="2" fontId="25" fillId="0" borderId="2" xfId="1" applyNumberFormat="1" applyFont="1" applyFill="1" applyBorder="1" applyAlignment="1">
      <alignment horizontal="center" vertical="center"/>
    </xf>
    <xf numFmtId="0" fontId="70" fillId="0" borderId="0" xfId="1" applyFont="1" applyFill="1" applyAlignment="1">
      <alignment wrapText="1"/>
    </xf>
    <xf numFmtId="4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/>
    </xf>
    <xf numFmtId="0" fontId="79" fillId="0" borderId="2" xfId="0" applyFont="1" applyFill="1" applyBorder="1"/>
    <xf numFmtId="2" fontId="79" fillId="0" borderId="2" xfId="0" applyNumberFormat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/>
    </xf>
    <xf numFmtId="4" fontId="49" fillId="0" borderId="2" xfId="1" applyNumberFormat="1" applyFont="1" applyFill="1" applyBorder="1" applyAlignment="1">
      <alignment horizontal="center" vertical="center" wrapText="1"/>
    </xf>
    <xf numFmtId="2" fontId="25" fillId="0" borderId="2" xfId="1" applyNumberFormat="1" applyFont="1" applyFill="1" applyBorder="1" applyAlignment="1">
      <alignment horizontal="center"/>
    </xf>
    <xf numFmtId="2" fontId="28" fillId="0" borderId="2" xfId="1" applyNumberFormat="1" applyFont="1" applyFill="1" applyBorder="1" applyAlignment="1">
      <alignment horizontal="left" vertical="center" wrapText="1"/>
    </xf>
    <xf numFmtId="0" fontId="70" fillId="0" borderId="0" xfId="1" applyFont="1" applyFill="1"/>
    <xf numFmtId="2" fontId="49" fillId="0" borderId="2" xfId="1" applyNumberFormat="1" applyFont="1" applyFill="1" applyBorder="1" applyAlignment="1">
      <alignment horizontal="center" vertical="center" wrapText="1"/>
    </xf>
    <xf numFmtId="2" fontId="49" fillId="0" borderId="2" xfId="1" applyNumberFormat="1" applyFont="1" applyFill="1" applyBorder="1" applyAlignment="1">
      <alignment horizontal="left" vertical="center"/>
    </xf>
    <xf numFmtId="9" fontId="49" fillId="0" borderId="2" xfId="1" applyNumberFormat="1" applyFont="1" applyFill="1" applyBorder="1" applyAlignment="1">
      <alignment horizontal="center" vertical="center"/>
    </xf>
    <xf numFmtId="170" fontId="49" fillId="0" borderId="2" xfId="1" applyNumberFormat="1" applyFont="1" applyFill="1" applyBorder="1" applyAlignment="1">
      <alignment horizontal="center" vertical="center"/>
    </xf>
    <xf numFmtId="2" fontId="70" fillId="0" borderId="2" xfId="1" applyNumberFormat="1" applyFont="1" applyFill="1" applyBorder="1" applyAlignment="1">
      <alignment horizontal="center"/>
    </xf>
    <xf numFmtId="164" fontId="25" fillId="0" borderId="0" xfId="1" applyNumberFormat="1" applyFont="1" applyFill="1" applyAlignment="1">
      <alignment wrapText="1"/>
    </xf>
    <xf numFmtId="0" fontId="26" fillId="0" borderId="2" xfId="1" applyFont="1" applyFill="1" applyBorder="1" applyAlignment="1">
      <alignment horizontal="center" vertical="center"/>
    </xf>
    <xf numFmtId="0" fontId="74" fillId="0" borderId="2" xfId="1" applyFont="1" applyFill="1" applyBorder="1" applyAlignment="1">
      <alignment horizontal="left" vertical="center" wrapText="1"/>
    </xf>
    <xf numFmtId="0" fontId="53" fillId="0" borderId="2" xfId="1" applyFont="1" applyFill="1" applyBorder="1"/>
    <xf numFmtId="4" fontId="74" fillId="0" borderId="2" xfId="1" applyNumberFormat="1" applyFont="1" applyFill="1" applyBorder="1" applyAlignment="1">
      <alignment horizontal="center" vertical="center" wrapText="1"/>
    </xf>
    <xf numFmtId="9" fontId="53" fillId="0" borderId="2" xfId="1" applyNumberFormat="1" applyFont="1" applyFill="1" applyBorder="1" applyAlignment="1">
      <alignment horizontal="center"/>
    </xf>
    <xf numFmtId="0" fontId="28" fillId="0" borderId="2" xfId="1" applyFont="1" applyFill="1" applyBorder="1" applyAlignment="1"/>
    <xf numFmtId="0" fontId="25" fillId="0" borderId="2" xfId="1" applyFont="1" applyFill="1" applyBorder="1" applyAlignment="1"/>
    <xf numFmtId="4" fontId="75" fillId="0" borderId="2" xfId="1" applyNumberFormat="1" applyFont="1" applyFill="1" applyBorder="1" applyAlignment="1">
      <alignment horizontal="right"/>
    </xf>
    <xf numFmtId="0" fontId="49" fillId="0" borderId="5" xfId="1" applyFont="1" applyFill="1" applyBorder="1"/>
    <xf numFmtId="0" fontId="28" fillId="0" borderId="8" xfId="1" applyFont="1" applyFill="1" applyBorder="1"/>
    <xf numFmtId="0" fontId="28" fillId="0" borderId="8" xfId="1" applyFont="1" applyFill="1" applyBorder="1" applyAlignment="1">
      <alignment horizontal="center" vertical="center"/>
    </xf>
    <xf numFmtId="0" fontId="49" fillId="0" borderId="8" xfId="1" applyFont="1" applyFill="1" applyBorder="1"/>
    <xf numFmtId="0" fontId="25" fillId="0" borderId="0" xfId="1" applyFont="1" applyFill="1" applyBorder="1" applyAlignment="1">
      <alignment horizontal="center" vertical="center"/>
    </xf>
    <xf numFmtId="0" fontId="62" fillId="0" borderId="0" xfId="1" applyFont="1" applyFill="1" applyBorder="1"/>
    <xf numFmtId="0" fontId="26" fillId="0" borderId="0" xfId="1" applyFont="1" applyFill="1" applyBorder="1"/>
    <xf numFmtId="0" fontId="26" fillId="0" borderId="0" xfId="1" applyFont="1" applyFill="1" applyBorder="1" applyAlignment="1">
      <alignment horizontal="center" vertical="center"/>
    </xf>
    <xf numFmtId="4" fontId="75" fillId="0" borderId="0" xfId="1" applyNumberFormat="1" applyFont="1" applyFill="1" applyBorder="1" applyAlignment="1">
      <alignment horizontal="right"/>
    </xf>
    <xf numFmtId="0" fontId="25" fillId="0" borderId="0" xfId="1" applyFont="1" applyFill="1" applyAlignment="1">
      <alignment horizontal="center" vertical="center"/>
    </xf>
    <xf numFmtId="0" fontId="28" fillId="0" borderId="0" xfId="1" applyFont="1" applyFill="1"/>
    <xf numFmtId="0" fontId="47" fillId="0" borderId="0" xfId="1" applyFont="1" applyFill="1"/>
    <xf numFmtId="0" fontId="80" fillId="0" borderId="0" xfId="1" applyFont="1" applyFill="1" applyAlignment="1">
      <alignment horizontal="center" vertical="center"/>
    </xf>
    <xf numFmtId="0" fontId="80" fillId="0" borderId="0" xfId="1" applyFont="1" applyFill="1"/>
    <xf numFmtId="4" fontId="80" fillId="0" borderId="0" xfId="1" applyNumberFormat="1" applyFont="1" applyFill="1"/>
    <xf numFmtId="4" fontId="25" fillId="0" borderId="0" xfId="1" applyNumberFormat="1" applyFont="1" applyFill="1"/>
    <xf numFmtId="0" fontId="28" fillId="0" borderId="22" xfId="101" applyNumberFormat="1" applyFont="1" applyBorder="1" applyAlignment="1">
      <alignment horizontal="center" vertical="top" wrapText="1"/>
    </xf>
    <xf numFmtId="0" fontId="28" fillId="0" borderId="0" xfId="101" applyNumberFormat="1" applyFont="1"/>
    <xf numFmtId="0" fontId="28" fillId="0" borderId="0" xfId="101" applyNumberFormat="1" applyFont="1" applyBorder="1" applyAlignment="1">
      <alignment horizontal="center" vertical="top" wrapText="1"/>
    </xf>
    <xf numFmtId="0" fontId="49" fillId="0" borderId="0" xfId="101" applyNumberFormat="1" applyFont="1" applyBorder="1" applyAlignment="1">
      <alignment horizontal="center" vertical="top" wrapText="1"/>
    </xf>
    <xf numFmtId="49" fontId="49" fillId="0" borderId="3" xfId="101" applyNumberFormat="1" applyFont="1" applyBorder="1" applyAlignment="1">
      <alignment horizontal="center" vertical="center" wrapText="1"/>
    </xf>
    <xf numFmtId="0" fontId="28" fillId="0" borderId="3" xfId="101" applyNumberFormat="1" applyFont="1" applyBorder="1" applyAlignment="1">
      <alignment horizontal="left" vertical="top" wrapText="1"/>
    </xf>
    <xf numFmtId="4" fontId="28" fillId="0" borderId="3" xfId="101" applyNumberFormat="1" applyFont="1" applyBorder="1" applyAlignment="1">
      <alignment horizontal="right" vertical="top" wrapText="1"/>
    </xf>
    <xf numFmtId="49" fontId="28" fillId="0" borderId="48" xfId="101" applyNumberFormat="1" applyFont="1" applyBorder="1" applyAlignment="1">
      <alignment horizontal="right" vertical="top" wrapText="1"/>
    </xf>
    <xf numFmtId="0" fontId="28" fillId="0" borderId="48" xfId="101" applyNumberFormat="1" applyFont="1" applyBorder="1" applyAlignment="1">
      <alignment horizontal="left" vertical="top" wrapText="1"/>
    </xf>
    <xf numFmtId="4" fontId="28" fillId="0" borderId="48" xfId="101" applyNumberFormat="1" applyFont="1" applyBorder="1" applyAlignment="1">
      <alignment horizontal="right" vertical="top" wrapText="1"/>
    </xf>
    <xf numFmtId="49" fontId="28" fillId="0" borderId="49" xfId="101" applyNumberFormat="1" applyFont="1" applyBorder="1" applyAlignment="1">
      <alignment horizontal="right" vertical="top" wrapText="1"/>
    </xf>
    <xf numFmtId="0" fontId="28" fillId="0" borderId="49" xfId="101" applyNumberFormat="1" applyFont="1" applyBorder="1" applyAlignment="1">
      <alignment horizontal="left" vertical="top" wrapText="1"/>
    </xf>
    <xf numFmtId="4" fontId="28" fillId="0" borderId="49" xfId="101" applyNumberFormat="1" applyFont="1" applyBorder="1" applyAlignment="1">
      <alignment horizontal="right" vertical="top" wrapText="1"/>
    </xf>
    <xf numFmtId="49" fontId="49" fillId="0" borderId="6" xfId="101" applyNumberFormat="1" applyFont="1" applyBorder="1" applyAlignment="1">
      <alignment horizontal="center" vertical="center" wrapText="1"/>
    </xf>
    <xf numFmtId="0" fontId="28" fillId="0" borderId="6" xfId="101" applyNumberFormat="1" applyFont="1" applyBorder="1" applyAlignment="1">
      <alignment horizontal="left" vertical="top" wrapText="1"/>
    </xf>
    <xf numFmtId="4" fontId="28" fillId="0" borderId="6" xfId="101" applyNumberFormat="1" applyFont="1" applyBorder="1" applyAlignment="1">
      <alignment horizontal="right" vertical="top" wrapText="1"/>
    </xf>
    <xf numFmtId="49" fontId="28" fillId="0" borderId="9" xfId="101" applyNumberFormat="1" applyFont="1" applyBorder="1" applyAlignment="1">
      <alignment horizontal="right" vertical="top" wrapText="1"/>
    </xf>
    <xf numFmtId="0" fontId="28" fillId="0" borderId="9" xfId="101" applyNumberFormat="1" applyFont="1" applyBorder="1" applyAlignment="1">
      <alignment horizontal="left" vertical="top" wrapText="1"/>
    </xf>
    <xf numFmtId="4" fontId="28" fillId="0" borderId="9" xfId="101" applyNumberFormat="1" applyFont="1" applyBorder="1" applyAlignment="1">
      <alignment horizontal="right" vertical="top" wrapText="1"/>
    </xf>
    <xf numFmtId="49" fontId="49" fillId="0" borderId="9" xfId="101" applyNumberFormat="1" applyFont="1" applyBorder="1" applyAlignment="1">
      <alignment horizontal="center" vertical="center" wrapText="1"/>
    </xf>
    <xf numFmtId="49" fontId="49" fillId="0" borderId="2" xfId="101" applyNumberFormat="1" applyFont="1" applyBorder="1" applyAlignment="1">
      <alignment horizontal="center" vertical="center" wrapText="1"/>
    </xf>
    <xf numFmtId="0" fontId="28" fillId="0" borderId="2" xfId="101" applyNumberFormat="1" applyFont="1" applyBorder="1" applyAlignment="1">
      <alignment horizontal="left" vertical="top" wrapText="1"/>
    </xf>
    <xf numFmtId="4" fontId="28" fillId="0" borderId="2" xfId="101" applyNumberFormat="1" applyFont="1" applyBorder="1" applyAlignment="1">
      <alignment horizontal="right" vertical="top" wrapText="1"/>
    </xf>
    <xf numFmtId="49" fontId="49" fillId="0" borderId="2" xfId="101" applyNumberFormat="1" applyFont="1" applyBorder="1" applyAlignment="1">
      <alignment horizontal="center" vertical="top" wrapText="1"/>
    </xf>
    <xf numFmtId="0" fontId="49" fillId="0" borderId="2" xfId="101" applyNumberFormat="1" applyFont="1" applyBorder="1" applyAlignment="1">
      <alignment horizontal="left" vertical="top" wrapText="1"/>
    </xf>
    <xf numFmtId="4" fontId="49" fillId="0" borderId="2" xfId="101" applyNumberFormat="1" applyFont="1" applyBorder="1" applyAlignment="1">
      <alignment horizontal="right" vertical="top" wrapText="1"/>
    </xf>
    <xf numFmtId="0" fontId="49" fillId="0" borderId="0" xfId="101" applyNumberFormat="1" applyFont="1"/>
    <xf numFmtId="49" fontId="28" fillId="0" borderId="2" xfId="101" applyNumberFormat="1" applyFont="1" applyBorder="1" applyAlignment="1">
      <alignment horizontal="right" vertical="top" wrapText="1"/>
    </xf>
    <xf numFmtId="4" fontId="49" fillId="0" borderId="9" xfId="101" applyNumberFormat="1" applyFont="1" applyBorder="1" applyAlignment="1">
      <alignment horizontal="right" vertical="top" wrapText="1"/>
    </xf>
    <xf numFmtId="1" fontId="53" fillId="0" borderId="2" xfId="1" applyNumberFormat="1" applyFont="1" applyFill="1" applyBorder="1" applyAlignment="1">
      <alignment horizontal="center" vertical="center" wrapText="1"/>
    </xf>
    <xf numFmtId="1" fontId="53" fillId="0" borderId="3" xfId="1" applyNumberFormat="1" applyFont="1" applyFill="1" applyBorder="1" applyAlignment="1">
      <alignment horizontal="center" vertical="center" wrapText="1"/>
    </xf>
    <xf numFmtId="167" fontId="28" fillId="0" borderId="2" xfId="1" applyNumberFormat="1" applyFont="1" applyFill="1" applyBorder="1" applyAlignment="1">
      <alignment horizontal="center" vertical="center" wrapText="1"/>
    </xf>
    <xf numFmtId="10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74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6" fillId="0" borderId="1" xfId="179" applyFont="1" applyFill="1" applyBorder="1" applyAlignment="1">
      <alignment horizontal="center" vertical="center" wrapText="1"/>
    </xf>
    <xf numFmtId="0" fontId="26" fillId="0" borderId="7" xfId="179" applyFont="1" applyFill="1" applyBorder="1" applyAlignment="1">
      <alignment horizontal="center" vertical="center" wrapText="1"/>
    </xf>
    <xf numFmtId="0" fontId="26" fillId="0" borderId="39" xfId="179" applyFont="1" applyFill="1" applyBorder="1" applyAlignment="1">
      <alignment horizontal="center" vertical="center" wrapText="1"/>
    </xf>
    <xf numFmtId="0" fontId="26" fillId="0" borderId="5" xfId="179" applyFont="1" applyBorder="1" applyAlignment="1">
      <alignment horizontal="left" vertical="center"/>
    </xf>
    <xf numFmtId="0" fontId="26" fillId="0" borderId="4" xfId="179" applyFont="1" applyBorder="1" applyAlignment="1">
      <alignment horizontal="left" vertical="center"/>
    </xf>
    <xf numFmtId="0" fontId="25" fillId="0" borderId="0" xfId="1" applyFont="1" applyFill="1" applyBorder="1" applyAlignment="1">
      <alignment horizontal="center" wrapText="1"/>
    </xf>
    <xf numFmtId="0" fontId="28" fillId="2" borderId="2" xfId="2" applyNumberFormat="1" applyFont="1" applyFill="1" applyBorder="1" applyAlignment="1">
      <alignment horizontal="right" vertical="center" wrapText="1"/>
    </xf>
    <xf numFmtId="0" fontId="26" fillId="0" borderId="2" xfId="195" applyFont="1" applyBorder="1" applyAlignment="1">
      <alignment horizontal="center" vertical="center" wrapText="1"/>
    </xf>
    <xf numFmtId="0" fontId="26" fillId="0" borderId="2" xfId="195" applyFont="1" applyFill="1" applyBorder="1" applyAlignment="1">
      <alignment horizontal="center" vertical="center" wrapText="1"/>
    </xf>
    <xf numFmtId="0" fontId="26" fillId="0" borderId="9" xfId="195" applyFont="1" applyFill="1" applyBorder="1" applyAlignment="1">
      <alignment horizontal="center" vertical="center" wrapText="1"/>
    </xf>
    <xf numFmtId="0" fontId="1" fillId="0" borderId="2" xfId="195" applyFont="1" applyBorder="1" applyAlignment="1">
      <alignment horizontal="center" vertical="center" wrapText="1"/>
    </xf>
    <xf numFmtId="0" fontId="69" fillId="0" borderId="2" xfId="195" applyFont="1" applyBorder="1" applyAlignment="1">
      <alignment horizontal="center" wrapText="1"/>
    </xf>
    <xf numFmtId="0" fontId="69" fillId="0" borderId="7" xfId="195" applyFont="1" applyBorder="1" applyAlignment="1">
      <alignment horizontal="center" wrapText="1"/>
    </xf>
    <xf numFmtId="0" fontId="41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41" fillId="0" borderId="2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2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45" fillId="0" borderId="2" xfId="0" applyFont="1" applyBorder="1" applyAlignment="1">
      <alignment wrapText="1"/>
    </xf>
    <xf numFmtId="0" fontId="46" fillId="0" borderId="2" xfId="0" applyFont="1" applyBorder="1" applyAlignment="1">
      <alignment wrapText="1"/>
    </xf>
    <xf numFmtId="0" fontId="41" fillId="0" borderId="3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58" fillId="0" borderId="0" xfId="1" applyFont="1" applyFill="1" applyAlignment="1"/>
    <xf numFmtId="0" fontId="0" fillId="0" borderId="0" xfId="0" applyAlignment="1"/>
    <xf numFmtId="0" fontId="58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57" fillId="0" borderId="0" xfId="1" applyFont="1" applyFill="1" applyAlignment="1">
      <alignment horizontal="center" vertical="center"/>
    </xf>
    <xf numFmtId="0" fontId="57" fillId="0" borderId="0" xfId="1" applyFont="1" applyFill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49" fillId="0" borderId="5" xfId="1" applyFont="1" applyFill="1" applyBorder="1" applyAlignment="1">
      <alignment horizontal="left" vertical="center"/>
    </xf>
    <xf numFmtId="0" fontId="49" fillId="0" borderId="8" xfId="1" applyFont="1" applyFill="1" applyBorder="1" applyAlignment="1">
      <alignment horizontal="left" vertical="center"/>
    </xf>
    <xf numFmtId="0" fontId="49" fillId="0" borderId="4" xfId="1" applyFont="1" applyFill="1" applyBorder="1" applyAlignment="1">
      <alignment horizontal="left" vertical="center"/>
    </xf>
    <xf numFmtId="0" fontId="49" fillId="0" borderId="5" xfId="1" applyFont="1" applyFill="1" applyBorder="1" applyAlignment="1">
      <alignment horizontal="left" vertical="center" wrapText="1"/>
    </xf>
    <xf numFmtId="0" fontId="49" fillId="0" borderId="5" xfId="1" applyFont="1" applyFill="1" applyBorder="1" applyAlignment="1">
      <alignment horizontal="center" vertical="center"/>
    </xf>
    <xf numFmtId="0" fontId="49" fillId="0" borderId="8" xfId="1" applyFont="1" applyFill="1" applyBorder="1" applyAlignment="1">
      <alignment horizontal="center" vertical="center"/>
    </xf>
    <xf numFmtId="0" fontId="49" fillId="0" borderId="4" xfId="1" applyFont="1" applyFill="1" applyBorder="1" applyAlignment="1">
      <alignment horizontal="center" vertical="center"/>
    </xf>
    <xf numFmtId="0" fontId="49" fillId="0" borderId="5" xfId="1" applyFont="1" applyFill="1" applyBorder="1" applyAlignment="1">
      <alignment horizontal="right" vertical="center" wrapText="1"/>
    </xf>
    <xf numFmtId="0" fontId="49" fillId="0" borderId="8" xfId="1" applyFont="1" applyFill="1" applyBorder="1" applyAlignment="1">
      <alignment horizontal="right" vertical="center" wrapText="1"/>
    </xf>
    <xf numFmtId="0" fontId="49" fillId="0" borderId="4" xfId="1" applyFont="1" applyFill="1" applyBorder="1" applyAlignment="1">
      <alignment horizontal="right" vertical="center" wrapText="1"/>
    </xf>
    <xf numFmtId="0" fontId="49" fillId="0" borderId="8" xfId="1" applyFont="1" applyFill="1" applyBorder="1" applyAlignment="1">
      <alignment horizontal="left" vertical="center" wrapText="1"/>
    </xf>
    <xf numFmtId="0" fontId="49" fillId="0" borderId="4" xfId="1" applyFont="1" applyFill="1" applyBorder="1" applyAlignment="1">
      <alignment horizontal="left" vertical="center" wrapText="1"/>
    </xf>
    <xf numFmtId="0" fontId="77" fillId="0" borderId="5" xfId="1" applyFont="1" applyFill="1" applyBorder="1" applyAlignment="1">
      <alignment horizontal="center"/>
    </xf>
    <xf numFmtId="0" fontId="77" fillId="0" borderId="8" xfId="1" applyFont="1" applyFill="1" applyBorder="1" applyAlignment="1">
      <alignment horizontal="center"/>
    </xf>
    <xf numFmtId="0" fontId="77" fillId="0" borderId="4" xfId="1" applyFont="1" applyFill="1" applyBorder="1" applyAlignment="1">
      <alignment horizontal="center"/>
    </xf>
    <xf numFmtId="0" fontId="74" fillId="0" borderId="5" xfId="1" applyFont="1" applyFill="1" applyBorder="1" applyAlignment="1">
      <alignment horizontal="left"/>
    </xf>
    <xf numFmtId="0" fontId="74" fillId="0" borderId="8" xfId="1" applyFont="1" applyFill="1" applyBorder="1" applyAlignment="1">
      <alignment horizontal="left"/>
    </xf>
    <xf numFmtId="9" fontId="49" fillId="0" borderId="5" xfId="1" applyNumberFormat="1" applyFont="1" applyFill="1" applyBorder="1" applyAlignment="1">
      <alignment horizontal="left"/>
    </xf>
    <xf numFmtId="9" fontId="49" fillId="0" borderId="8" xfId="1" applyNumberFormat="1" applyFont="1" applyFill="1" applyBorder="1" applyAlignment="1">
      <alignment horizontal="left"/>
    </xf>
    <xf numFmtId="0" fontId="74" fillId="0" borderId="2" xfId="1" applyFont="1" applyFill="1" applyBorder="1" applyAlignment="1">
      <alignment horizontal="center" vertical="center" wrapText="1"/>
    </xf>
    <xf numFmtId="0" fontId="70" fillId="0" borderId="2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wrapText="1"/>
    </xf>
    <xf numFmtId="0" fontId="70" fillId="0" borderId="13" xfId="1" applyFont="1" applyFill="1" applyBorder="1" applyAlignment="1">
      <alignment horizontal="left" vertical="top" wrapText="1"/>
    </xf>
    <xf numFmtId="0" fontId="74" fillId="0" borderId="0" xfId="1" applyFont="1" applyFill="1" applyAlignment="1">
      <alignment horizontal="left" vertical="center" wrapText="1"/>
    </xf>
    <xf numFmtId="0" fontId="70" fillId="0" borderId="0" xfId="1" applyFont="1" applyFill="1" applyAlignment="1">
      <alignment horizontal="left" vertical="center" wrapText="1"/>
    </xf>
    <xf numFmtId="0" fontId="73" fillId="0" borderId="0" xfId="0" applyFont="1" applyFill="1" applyAlignment="1">
      <alignment horizontal="center" vertical="center"/>
    </xf>
    <xf numFmtId="0" fontId="74" fillId="0" borderId="0" xfId="1" applyFont="1" applyFill="1" applyAlignment="1">
      <alignment horizontal="center" vertical="center"/>
    </xf>
    <xf numFmtId="0" fontId="75" fillId="0" borderId="0" xfId="1" applyFont="1" applyFill="1" applyAlignment="1">
      <alignment horizontal="center" vertical="center"/>
    </xf>
    <xf numFmtId="0" fontId="57" fillId="0" borderId="0" xfId="1" quotePrefix="1" applyFont="1" applyFill="1" applyAlignment="1">
      <alignment horizontal="center" vertical="center" wrapText="1"/>
    </xf>
    <xf numFmtId="0" fontId="58" fillId="0" borderId="0" xfId="1" applyFont="1" applyFill="1" applyAlignment="1">
      <alignment horizontal="center" vertical="center" wrapText="1"/>
    </xf>
    <xf numFmtId="0" fontId="49" fillId="0" borderId="5" xfId="1" applyFont="1" applyFill="1" applyBorder="1" applyAlignment="1">
      <alignment horizontal="left" wrapText="1"/>
    </xf>
    <xf numFmtId="0" fontId="49" fillId="0" borderId="8" xfId="1" applyFont="1" applyFill="1" applyBorder="1" applyAlignment="1">
      <alignment horizontal="left" wrapText="1"/>
    </xf>
    <xf numFmtId="0" fontId="49" fillId="0" borderId="4" xfId="1" applyFont="1" applyFill="1" applyBorder="1" applyAlignment="1">
      <alignment horizontal="left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vertical="center" wrapText="1"/>
    </xf>
    <xf numFmtId="0" fontId="54" fillId="0" borderId="0" xfId="1" applyFont="1" applyFill="1" applyAlignment="1">
      <alignment horizontal="center" vertical="center"/>
    </xf>
    <xf numFmtId="0" fontId="49" fillId="0" borderId="0" xfId="1" applyFont="1" applyFill="1" applyAlignment="1">
      <alignment horizontal="center" vertical="center" wrapText="1"/>
    </xf>
    <xf numFmtId="0" fontId="49" fillId="0" borderId="0" xfId="1" applyFont="1" applyFill="1" applyAlignment="1">
      <alignment vertical="center" wrapText="1"/>
    </xf>
    <xf numFmtId="0" fontId="65" fillId="0" borderId="28" xfId="179" applyFont="1" applyFill="1" applyBorder="1" applyAlignment="1">
      <alignment horizontal="center" vertical="center" wrapText="1"/>
    </xf>
    <xf numFmtId="0" fontId="65" fillId="0" borderId="29" xfId="179" applyFont="1" applyFill="1" applyBorder="1" applyAlignment="1">
      <alignment horizontal="center" vertical="center" wrapText="1"/>
    </xf>
    <xf numFmtId="0" fontId="65" fillId="0" borderId="30" xfId="179" applyFont="1" applyFill="1" applyBorder="1" applyAlignment="1">
      <alignment horizontal="center" vertical="center" wrapText="1"/>
    </xf>
    <xf numFmtId="2" fontId="62" fillId="0" borderId="0" xfId="179" applyNumberFormat="1" applyFont="1" applyAlignment="1">
      <alignment horizontal="center"/>
    </xf>
    <xf numFmtId="0" fontId="62" fillId="0" borderId="0" xfId="179" applyFont="1" applyAlignment="1">
      <alignment horizontal="center"/>
    </xf>
    <xf numFmtId="0" fontId="26" fillId="0" borderId="5" xfId="179" applyFont="1" applyBorder="1" applyAlignment="1">
      <alignment horizontal="left" vertical="center"/>
    </xf>
    <xf numFmtId="0" fontId="26" fillId="0" borderId="4" xfId="179" applyFont="1" applyBorder="1" applyAlignment="1">
      <alignment horizontal="left" vertical="center"/>
    </xf>
    <xf numFmtId="0" fontId="64" fillId="0" borderId="8" xfId="190" applyFont="1" applyFill="1" applyBorder="1" applyAlignment="1" applyProtection="1">
      <alignment horizontal="left" vertical="center" wrapText="1"/>
      <protection locked="0"/>
    </xf>
    <xf numFmtId="0" fontId="64" fillId="0" borderId="4" xfId="190" applyFont="1" applyFill="1" applyBorder="1" applyAlignment="1" applyProtection="1">
      <alignment horizontal="left" vertical="center" wrapText="1"/>
      <protection locked="0"/>
    </xf>
    <xf numFmtId="0" fontId="64" fillId="0" borderId="0" xfId="190" applyFont="1" applyFill="1" applyAlignment="1" applyProtection="1">
      <alignment horizontal="left" vertical="center" wrapText="1"/>
      <protection locked="0"/>
    </xf>
    <xf numFmtId="0" fontId="64" fillId="0" borderId="5" xfId="190" applyFont="1" applyFill="1" applyBorder="1" applyAlignment="1" applyProtection="1">
      <alignment horizontal="left" vertical="top" wrapText="1"/>
      <protection locked="0"/>
    </xf>
    <xf numFmtId="0" fontId="64" fillId="0" borderId="8" xfId="190" applyFont="1" applyFill="1" applyBorder="1" applyAlignment="1" applyProtection="1">
      <alignment horizontal="left" vertical="top" wrapText="1"/>
      <protection locked="0"/>
    </xf>
    <xf numFmtId="0" fontId="64" fillId="0" borderId="4" xfId="190" applyFont="1" applyFill="1" applyBorder="1" applyAlignment="1" applyProtection="1">
      <alignment horizontal="left" vertical="top" wrapText="1"/>
      <protection locked="0"/>
    </xf>
    <xf numFmtId="0" fontId="26" fillId="0" borderId="10" xfId="179" applyFont="1" applyBorder="1" applyAlignment="1">
      <alignment horizontal="left" vertical="center" wrapText="1"/>
    </xf>
    <xf numFmtId="0" fontId="26" fillId="0" borderId="1" xfId="179" applyFont="1" applyBorder="1" applyAlignment="1">
      <alignment horizontal="left" vertical="center" wrapText="1"/>
    </xf>
    <xf numFmtId="0" fontId="26" fillId="0" borderId="14" xfId="179" applyFont="1" applyBorder="1" applyAlignment="1">
      <alignment horizontal="left" vertical="center" wrapText="1"/>
    </xf>
    <xf numFmtId="0" fontId="26" fillId="0" borderId="12" xfId="179" applyFont="1" applyBorder="1" applyAlignment="1">
      <alignment horizontal="left" vertical="center" wrapText="1"/>
    </xf>
    <xf numFmtId="0" fontId="26" fillId="0" borderId="7" xfId="179" applyFont="1" applyBorder="1" applyAlignment="1">
      <alignment horizontal="left" vertical="center" wrapText="1"/>
    </xf>
    <xf numFmtId="0" fontId="26" fillId="0" borderId="11" xfId="179" applyFont="1" applyBorder="1" applyAlignment="1">
      <alignment horizontal="left" vertical="center" wrapText="1"/>
    </xf>
    <xf numFmtId="0" fontId="64" fillId="0" borderId="10" xfId="190" applyFont="1" applyFill="1" applyBorder="1" applyAlignment="1" applyProtection="1">
      <alignment horizontal="left" vertical="center" wrapText="1"/>
      <protection locked="0"/>
    </xf>
    <xf numFmtId="0" fontId="64" fillId="0" borderId="1" xfId="190" applyFont="1" applyFill="1" applyBorder="1" applyAlignment="1" applyProtection="1">
      <alignment horizontal="left" vertical="center" wrapText="1"/>
      <protection locked="0"/>
    </xf>
    <xf numFmtId="0" fontId="64" fillId="0" borderId="14" xfId="190" applyFont="1" applyFill="1" applyBorder="1" applyAlignment="1" applyProtection="1">
      <alignment horizontal="left" vertical="center" wrapText="1"/>
      <protection locked="0"/>
    </xf>
    <xf numFmtId="0" fontId="64" fillId="0" borderId="12" xfId="190" applyFont="1" applyFill="1" applyBorder="1" applyAlignment="1" applyProtection="1">
      <alignment horizontal="left" vertical="center" wrapText="1"/>
      <protection locked="0"/>
    </xf>
    <xf numFmtId="0" fontId="64" fillId="0" borderId="7" xfId="190" applyFont="1" applyFill="1" applyBorder="1" applyAlignment="1" applyProtection="1">
      <alignment horizontal="left" vertical="center" wrapText="1"/>
      <protection locked="0"/>
    </xf>
    <xf numFmtId="0" fontId="64" fillId="0" borderId="11" xfId="190" applyFont="1" applyFill="1" applyBorder="1" applyAlignment="1" applyProtection="1">
      <alignment horizontal="left" vertical="center" wrapText="1"/>
      <protection locked="0"/>
    </xf>
    <xf numFmtId="0" fontId="64" fillId="0" borderId="5" xfId="190" applyFont="1" applyFill="1" applyBorder="1" applyAlignment="1" applyProtection="1">
      <alignment horizontal="left" vertical="center" wrapText="1"/>
      <protection locked="0"/>
    </xf>
    <xf numFmtId="0" fontId="26" fillId="0" borderId="8" xfId="179" applyBorder="1" applyAlignment="1">
      <alignment horizontal="center" vertical="top" wrapText="1"/>
    </xf>
    <xf numFmtId="0" fontId="26" fillId="0" borderId="4" xfId="179" applyBorder="1" applyAlignment="1">
      <alignment horizontal="center" vertical="top" wrapText="1"/>
    </xf>
    <xf numFmtId="0" fontId="65" fillId="0" borderId="18" xfId="179" applyFont="1" applyFill="1" applyBorder="1" applyAlignment="1">
      <alignment horizontal="center" vertical="center" wrapText="1"/>
    </xf>
    <xf numFmtId="0" fontId="65" fillId="0" borderId="19" xfId="179" applyFont="1" applyFill="1" applyBorder="1" applyAlignment="1">
      <alignment horizontal="center" vertical="center" wrapText="1"/>
    </xf>
    <xf numFmtId="0" fontId="65" fillId="0" borderId="20" xfId="179" applyFont="1" applyFill="1" applyBorder="1" applyAlignment="1">
      <alignment horizontal="center" vertical="center" wrapText="1"/>
    </xf>
    <xf numFmtId="0" fontId="65" fillId="0" borderId="34" xfId="179" applyFont="1" applyFill="1" applyBorder="1" applyAlignment="1">
      <alignment horizontal="center" vertical="center" wrapText="1"/>
    </xf>
    <xf numFmtId="0" fontId="65" fillId="0" borderId="35" xfId="179" applyFont="1" applyFill="1" applyBorder="1" applyAlignment="1">
      <alignment horizontal="center" vertical="center" wrapText="1"/>
    </xf>
    <xf numFmtId="0" fontId="65" fillId="0" borderId="36" xfId="179" applyFont="1" applyFill="1" applyBorder="1" applyAlignment="1">
      <alignment horizontal="center" vertical="center" wrapText="1"/>
    </xf>
    <xf numFmtId="0" fontId="65" fillId="0" borderId="37" xfId="179" applyFont="1" applyFill="1" applyBorder="1" applyAlignment="1">
      <alignment horizontal="center" vertical="center" wrapText="1"/>
    </xf>
    <xf numFmtId="0" fontId="26" fillId="0" borderId="38" xfId="179" applyFont="1" applyFill="1" applyBorder="1" applyAlignment="1">
      <alignment horizontal="center" vertical="center" wrapText="1"/>
    </xf>
    <xf numFmtId="0" fontId="26" fillId="0" borderId="30" xfId="179" applyFont="1" applyFill="1" applyBorder="1" applyAlignment="1">
      <alignment horizontal="center" vertical="center" wrapText="1"/>
    </xf>
    <xf numFmtId="0" fontId="62" fillId="0" borderId="31" xfId="179" applyFont="1" applyBorder="1" applyAlignment="1">
      <alignment horizontal="center" vertical="center" wrapText="1"/>
    </xf>
    <xf numFmtId="0" fontId="62" fillId="0" borderId="2" xfId="179" applyFont="1" applyBorder="1" applyAlignment="1">
      <alignment horizontal="center" vertical="center" wrapText="1"/>
    </xf>
    <xf numFmtId="0" fontId="65" fillId="0" borderId="21" xfId="179" applyFont="1" applyFill="1" applyBorder="1" applyAlignment="1">
      <alignment horizontal="center" vertical="center" wrapText="1"/>
    </xf>
    <xf numFmtId="0" fontId="65" fillId="0" borderId="22" xfId="179" applyFont="1" applyFill="1" applyBorder="1" applyAlignment="1">
      <alignment horizontal="center" vertical="center" wrapText="1"/>
    </xf>
    <xf numFmtId="0" fontId="65" fillId="0" borderId="23" xfId="179" applyFont="1" applyFill="1" applyBorder="1" applyAlignment="1">
      <alignment horizontal="center" vertical="center" wrapText="1"/>
    </xf>
    <xf numFmtId="0" fontId="62" fillId="0" borderId="39" xfId="179" applyFont="1" applyFill="1" applyBorder="1" applyAlignment="1">
      <alignment horizontal="center" vertical="center" wrapText="1"/>
    </xf>
    <xf numFmtId="0" fontId="62" fillId="0" borderId="35" xfId="179" applyFont="1" applyFill="1" applyBorder="1" applyAlignment="1">
      <alignment horizontal="center" vertical="center" wrapText="1"/>
    </xf>
    <xf numFmtId="0" fontId="62" fillId="0" borderId="37" xfId="179" applyFont="1" applyFill="1" applyBorder="1" applyAlignment="1">
      <alignment horizontal="center" vertical="center" wrapText="1"/>
    </xf>
    <xf numFmtId="0" fontId="30" fillId="0" borderId="39" xfId="179" applyFont="1" applyFill="1" applyBorder="1" applyAlignment="1">
      <alignment horizontal="center" vertical="center" wrapText="1"/>
    </xf>
    <xf numFmtId="0" fontId="30" fillId="0" borderId="35" xfId="179" applyFont="1" applyFill="1" applyBorder="1" applyAlignment="1">
      <alignment horizontal="center" vertical="center" wrapText="1"/>
    </xf>
    <xf numFmtId="0" fontId="30" fillId="0" borderId="40" xfId="179" applyFont="1" applyFill="1" applyBorder="1" applyAlignment="1">
      <alignment horizontal="center" vertical="center" wrapText="1"/>
    </xf>
    <xf numFmtId="0" fontId="62" fillId="0" borderId="5" xfId="179" applyFont="1" applyFill="1" applyBorder="1" applyAlignment="1">
      <alignment horizontal="center" vertical="center" wrapText="1"/>
    </xf>
    <xf numFmtId="0" fontId="62" fillId="0" borderId="8" xfId="179" applyFont="1" applyFill="1" applyBorder="1" applyAlignment="1">
      <alignment horizontal="center" vertical="center" wrapText="1"/>
    </xf>
    <xf numFmtId="0" fontId="62" fillId="0" borderId="4" xfId="179" applyFont="1" applyFill="1" applyBorder="1" applyAlignment="1">
      <alignment horizontal="center" vertical="center" wrapText="1"/>
    </xf>
    <xf numFmtId="0" fontId="26" fillId="0" borderId="39" xfId="179" applyFont="1" applyFill="1" applyBorder="1" applyAlignment="1">
      <alignment horizontal="center" vertical="center" wrapText="1"/>
    </xf>
    <xf numFmtId="0" fontId="26" fillId="0" borderId="35" xfId="179" applyFont="1" applyFill="1" applyBorder="1" applyAlignment="1">
      <alignment horizontal="center" vertical="center" wrapText="1"/>
    </xf>
    <xf numFmtId="0" fontId="26" fillId="0" borderId="40" xfId="179" applyFont="1" applyFill="1" applyBorder="1" applyAlignment="1">
      <alignment horizontal="center" vertical="center" wrapText="1"/>
    </xf>
    <xf numFmtId="0" fontId="65" fillId="0" borderId="41" xfId="179" applyFont="1" applyFill="1" applyBorder="1" applyAlignment="1">
      <alignment horizontal="center" vertical="center" wrapText="1"/>
    </xf>
    <xf numFmtId="0" fontId="62" fillId="0" borderId="41" xfId="179" applyFont="1" applyFill="1" applyBorder="1" applyAlignment="1">
      <alignment horizontal="center" vertical="center" wrapText="1"/>
    </xf>
    <xf numFmtId="0" fontId="65" fillId="0" borderId="42" xfId="179" applyFont="1" applyFill="1" applyBorder="1" applyAlignment="1">
      <alignment horizontal="center" vertical="center" wrapText="1"/>
    </xf>
    <xf numFmtId="0" fontId="65" fillId="0" borderId="31" xfId="179" applyFont="1" applyFill="1" applyBorder="1" applyAlignment="1">
      <alignment horizontal="center" vertical="center" wrapText="1"/>
    </xf>
    <xf numFmtId="0" fontId="65" fillId="0" borderId="2" xfId="179" applyFont="1" applyFill="1" applyBorder="1" applyAlignment="1">
      <alignment horizontal="center" vertical="center" wrapText="1"/>
    </xf>
    <xf numFmtId="0" fontId="26" fillId="0" borderId="14" xfId="179" applyFont="1" applyFill="1" applyBorder="1" applyAlignment="1">
      <alignment horizontal="center" vertical="center" wrapText="1"/>
    </xf>
    <xf numFmtId="0" fontId="26" fillId="0" borderId="11" xfId="179" applyFont="1" applyFill="1" applyBorder="1" applyAlignment="1">
      <alignment horizontal="center" vertical="center" wrapText="1"/>
    </xf>
    <xf numFmtId="2" fontId="47" fillId="0" borderId="25" xfId="179" applyNumberFormat="1" applyFont="1" applyFill="1" applyBorder="1" applyAlignment="1">
      <alignment horizontal="center" vertical="center" wrapText="1"/>
    </xf>
    <xf numFmtId="0" fontId="26" fillId="0" borderId="46" xfId="179" applyFont="1" applyFill="1" applyBorder="1" applyAlignment="1">
      <alignment horizontal="center" vertical="center" wrapText="1"/>
    </xf>
    <xf numFmtId="0" fontId="64" fillId="0" borderId="5" xfId="179" applyFont="1" applyFill="1" applyBorder="1" applyAlignment="1">
      <alignment horizontal="center" vertical="center" wrapText="1"/>
    </xf>
    <xf numFmtId="0" fontId="64" fillId="0" borderId="8" xfId="179" applyFont="1" applyFill="1" applyBorder="1" applyAlignment="1">
      <alignment horizontal="center" vertical="center" wrapText="1"/>
    </xf>
    <xf numFmtId="0" fontId="71" fillId="0" borderId="0" xfId="179" applyFont="1" applyAlignment="1">
      <alignment vertical="top" wrapText="1"/>
    </xf>
    <xf numFmtId="49" fontId="26" fillId="0" borderId="0" xfId="179" applyNumberFormat="1" applyAlignment="1">
      <alignment horizontal="center"/>
    </xf>
    <xf numFmtId="0" fontId="30" fillId="0" borderId="1" xfId="179" applyFont="1" applyBorder="1" applyAlignment="1">
      <alignment horizontal="center" vertical="top" wrapText="1"/>
    </xf>
    <xf numFmtId="0" fontId="30" fillId="0" borderId="0" xfId="179" applyFont="1" applyBorder="1" applyAlignment="1">
      <alignment horizontal="center" vertical="top" wrapText="1"/>
    </xf>
    <xf numFmtId="0" fontId="62" fillId="0" borderId="44" xfId="179" applyFont="1" applyFill="1" applyBorder="1" applyAlignment="1">
      <alignment horizontal="center" vertical="center" wrapText="1"/>
    </xf>
    <xf numFmtId="0" fontId="62" fillId="0" borderId="1" xfId="179" applyFont="1" applyFill="1" applyBorder="1" applyAlignment="1">
      <alignment horizontal="center" vertical="center" wrapText="1"/>
    </xf>
    <xf numFmtId="0" fontId="62" fillId="0" borderId="14" xfId="179" applyFont="1" applyFill="1" applyBorder="1" applyAlignment="1">
      <alignment horizontal="center" vertical="center" wrapText="1"/>
    </xf>
    <xf numFmtId="0" fontId="62" fillId="0" borderId="45" xfId="179" applyFont="1" applyFill="1" applyBorder="1" applyAlignment="1">
      <alignment horizontal="center" vertical="center" wrapText="1"/>
    </xf>
    <xf numFmtId="0" fontId="62" fillId="0" borderId="7" xfId="179" applyFont="1" applyFill="1" applyBorder="1" applyAlignment="1">
      <alignment horizontal="center" vertical="center" wrapText="1"/>
    </xf>
    <xf numFmtId="0" fontId="62" fillId="0" borderId="11" xfId="179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2" fontId="0" fillId="0" borderId="2" xfId="0" applyNumberFormat="1" applyFill="1" applyBorder="1"/>
    <xf numFmtId="4" fontId="42" fillId="0" borderId="0" xfId="0" applyNumberFormat="1" applyFont="1" applyAlignment="1">
      <alignment horizontal="right"/>
    </xf>
  </cellXfs>
  <cellStyles count="196">
    <cellStyle name="S0" xfId="8"/>
    <cellStyle name="S0 10" xfId="123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3"/>
    <cellStyle name="S0 8" xfId="118"/>
    <cellStyle name="S0 9" xfId="122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_Сметы 1 этап" xfId="27"/>
    <cellStyle name="S11" xfId="28"/>
    <cellStyle name="S11 2" xfId="29"/>
    <cellStyle name="S11 3" xfId="96"/>
    <cellStyle name="S12" xfId="30"/>
    <cellStyle name="S12 2" xfId="31"/>
    <cellStyle name="S12 3" xfId="97"/>
    <cellStyle name="S12 4" xfId="114"/>
    <cellStyle name="S13" xfId="32"/>
    <cellStyle name="S13 2" xfId="115"/>
    <cellStyle name="S13 3" xfId="119"/>
    <cellStyle name="S14" xfId="33"/>
    <cellStyle name="S14 2" xfId="116"/>
    <cellStyle name="S14 3" xfId="120"/>
    <cellStyle name="S15" xfId="34"/>
    <cellStyle name="S15 2" xfId="117"/>
    <cellStyle name="S16" xfId="35"/>
    <cellStyle name="S17" xfId="36"/>
    <cellStyle name="S18" xfId="37"/>
    <cellStyle name="S19" xfId="38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6" xfId="87"/>
    <cellStyle name="S2_Сметы 1 этап" xfId="42"/>
    <cellStyle name="S20" xfId="43"/>
    <cellStyle name="S21" xfId="44"/>
    <cellStyle name="S22" xfId="45"/>
    <cellStyle name="S3" xfId="46"/>
    <cellStyle name="S3 2" xfId="88"/>
    <cellStyle name="S3 2 2" xfId="166"/>
    <cellStyle name="S3 3" xfId="134"/>
    <cellStyle name="S4" xfId="47"/>
    <cellStyle name="S4 2" xfId="48"/>
    <cellStyle name="S4 3" xfId="89"/>
    <cellStyle name="S4 4" xfId="133"/>
    <cellStyle name="S5" xfId="49"/>
    <cellStyle name="S5 2" xfId="50"/>
    <cellStyle name="S5 3" xfId="90"/>
    <cellStyle name="S5 4" xfId="132"/>
    <cellStyle name="S6" xfId="51"/>
    <cellStyle name="S6 2" xfId="52"/>
    <cellStyle name="S6 3" xfId="91"/>
    <cellStyle name="S6 4" xfId="131"/>
    <cellStyle name="S7" xfId="53"/>
    <cellStyle name="S7 2" xfId="54"/>
    <cellStyle name="S7 3" xfId="92"/>
    <cellStyle name="S8" xfId="55"/>
    <cellStyle name="S8 2" xfId="56"/>
    <cellStyle name="S8 3" xfId="93"/>
    <cellStyle name="S9" xfId="57"/>
    <cellStyle name="S9 2" xfId="58"/>
    <cellStyle name="S9 3" xfId="59"/>
    <cellStyle name="S9 4" xfId="80"/>
    <cellStyle name="S9 5" xfId="94"/>
    <cellStyle name="S9_Сметы 1 этап" xfId="60"/>
    <cellStyle name="Денежный 2" xfId="176"/>
    <cellStyle name="Денежный 2 2" xfId="184"/>
    <cellStyle name="Денежный 3" xfId="177"/>
    <cellStyle name="Денежный 3 2" xfId="178"/>
    <cellStyle name="Обычный" xfId="0" builtinId="0"/>
    <cellStyle name="Обычный 10" xfId="101"/>
    <cellStyle name="Обычный 10 2" xfId="167"/>
    <cellStyle name="Обычный 11" xfId="124"/>
    <cellStyle name="Обычный 11 2" xfId="145"/>
    <cellStyle name="Обычный 12" xfId="125"/>
    <cellStyle name="Обычный 12 2" xfId="146"/>
    <cellStyle name="Обычный 13" xfId="126"/>
    <cellStyle name="Обычный 13 2" xfId="147"/>
    <cellStyle name="Обычный 14" xfId="127"/>
    <cellStyle name="Обычный 14 2" xfId="148"/>
    <cellStyle name="Обычный 15" xfId="128"/>
    <cellStyle name="Обычный 15 2" xfId="149"/>
    <cellStyle name="Обычный 16" xfId="129"/>
    <cellStyle name="Обычный 16 2" xfId="150"/>
    <cellStyle name="Обычный 17" xfId="130"/>
    <cellStyle name="Обычный 17 2" xfId="151"/>
    <cellStyle name="Обычный 18" xfId="135"/>
    <cellStyle name="Обычный 18 2" xfId="152"/>
    <cellStyle name="Обычный 19" xfId="136"/>
    <cellStyle name="Обычный 19 2" xfId="153"/>
    <cellStyle name="Обычный 2" xfId="1"/>
    <cellStyle name="Обычный 2 2" xfId="14"/>
    <cellStyle name="Обычный 2 2 2" xfId="168"/>
    <cellStyle name="Обычный 2 2 2 2" xfId="179"/>
    <cellStyle name="Обычный 2 2 3" xfId="181"/>
    <cellStyle name="Обычный 2 2 4" xfId="186"/>
    <cellStyle name="Обычный 2 3" xfId="61"/>
    <cellStyle name="Обычный 2 3 2" xfId="81"/>
    <cellStyle name="Обычный 2 4" xfId="62"/>
    <cellStyle name="Обычный 2 5" xfId="13"/>
    <cellStyle name="Обычный 20" xfId="137"/>
    <cellStyle name="Обычный 21" xfId="140"/>
    <cellStyle name="Обычный 22" xfId="141"/>
    <cellStyle name="Обычный 23" xfId="142"/>
    <cellStyle name="Обычный 24" xfId="144"/>
    <cellStyle name="Обычный 25" xfId="163"/>
    <cellStyle name="Обычный 26" xfId="173"/>
    <cellStyle name="Обычный 27" xfId="180"/>
    <cellStyle name="Обычный 28" xfId="183"/>
    <cellStyle name="Обычный 28 2" xfId="191"/>
    <cellStyle name="Обычный 28 3" xfId="192"/>
    <cellStyle name="Обычный 28 3 2" xfId="195"/>
    <cellStyle name="Обычный 29" xfId="193"/>
    <cellStyle name="Обычный 3" xfId="63"/>
    <cellStyle name="Обычный 3 2" xfId="69"/>
    <cellStyle name="Обычный 3 2 2" xfId="169"/>
    <cellStyle name="Обычный 3 3" xfId="182"/>
    <cellStyle name="Обычный 30" xfId="194"/>
    <cellStyle name="Обычный 4" xfId="64"/>
    <cellStyle name="Обычный 4 2" xfId="65"/>
    <cellStyle name="Обычный 4 3" xfId="138"/>
    <cellStyle name="Обычный 4 3 2" xfId="143"/>
    <cellStyle name="Обычный 4 3 3" xfId="164"/>
    <cellStyle name="Обычный 4 3 4" xfId="165"/>
    <cellStyle name="Обычный 4 4" xfId="170"/>
    <cellStyle name="Обычный 5" xfId="66"/>
    <cellStyle name="Обычный 6" xfId="82"/>
    <cellStyle name="Обычный 6 2" xfId="171"/>
    <cellStyle name="Обычный 7" xfId="84"/>
    <cellStyle name="Обычный 7 2" xfId="108"/>
    <cellStyle name="Обычный 7 2 2" xfId="154"/>
    <cellStyle name="Обычный 7 3" xfId="155"/>
    <cellStyle name="Обычный 8" xfId="112"/>
    <cellStyle name="Обычный 8 2" xfId="156"/>
    <cellStyle name="Обычный 9" xfId="121"/>
    <cellStyle name="Обычный 9 2" xfId="157"/>
    <cellStyle name="Обычный_6200_PRT" xfId="190"/>
    <cellStyle name="Обычный_6200РД" xfId="189"/>
    <cellStyle name="Процентный" xfId="188" builtinId="5"/>
    <cellStyle name="Процентный 2" xfId="4"/>
    <cellStyle name="Процентный 2 2" xfId="175"/>
    <cellStyle name="Процентный 3" xfId="67"/>
    <cellStyle name="Процентный 3 2" xfId="83"/>
    <cellStyle name="ТЕКСТ" xfId="172"/>
    <cellStyle name="Финансовый" xfId="187" builtinId="3"/>
    <cellStyle name="Финансовый [0] 2" xfId="3"/>
    <cellStyle name="Финансовый [0] 2 2" xfId="100"/>
    <cellStyle name="Финансовый [0] 2 2 2" xfId="111"/>
    <cellStyle name="Финансовый [0] 2 2 3" xfId="158"/>
    <cellStyle name="Финансовый [0] 2 3" xfId="104"/>
    <cellStyle name="Финансовый [0] 2 4" xfId="159"/>
    <cellStyle name="Финансовый [0] 3" xfId="99"/>
    <cellStyle name="Финансовый [0] 3 2" xfId="110"/>
    <cellStyle name="Финансовый [0] 3 3" xfId="160"/>
    <cellStyle name="Финансовый 2" xfId="2"/>
    <cellStyle name="Финансовый 2 2" xfId="103"/>
    <cellStyle name="Финансовый 2 2 2" xfId="139"/>
    <cellStyle name="Финансовый 2 3" xfId="161"/>
    <cellStyle name="Финансовый 2 4" xfId="102"/>
    <cellStyle name="Финансовый 2 5" xfId="162"/>
    <cellStyle name="Финансовый 3" xfId="12"/>
    <cellStyle name="Финансовый 3 2" xfId="105"/>
    <cellStyle name="Финансовый 3 3" xfId="174"/>
    <cellStyle name="Финансовый 4" xfId="15"/>
    <cellStyle name="Финансовый 4 2" xfId="106"/>
    <cellStyle name="Финансовый 5" xfId="68"/>
    <cellStyle name="Финансовый 5 2" xfId="107"/>
    <cellStyle name="Финансовый 6" xfId="98"/>
    <cellStyle name="Финансовый 6 2" xfId="109"/>
    <cellStyle name="Финансовый 7" xfId="1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4" sqref="D4:G4"/>
    </sheetView>
  </sheetViews>
  <sheetFormatPr defaultColWidth="9.140625" defaultRowHeight="15" x14ac:dyDescent="0.25"/>
  <cols>
    <col min="1" max="1" width="6" style="3" customWidth="1"/>
    <col min="2" max="2" width="19.85546875" style="3" customWidth="1"/>
    <col min="3" max="3" width="6.85546875" style="3" customWidth="1"/>
    <col min="4" max="4" width="18.140625" style="3" customWidth="1"/>
    <col min="5" max="5" width="10.42578125" style="3" customWidth="1"/>
    <col min="6" max="6" width="10.85546875" style="3" customWidth="1"/>
    <col min="7" max="7" width="12.28515625" style="3" customWidth="1"/>
    <col min="8" max="16384" width="9.140625" style="3"/>
  </cols>
  <sheetData>
    <row r="1" spans="1:16" x14ac:dyDescent="0.25">
      <c r="A1" s="320" t="s">
        <v>14</v>
      </c>
      <c r="B1" s="321"/>
      <c r="C1" s="321"/>
      <c r="D1" s="321"/>
      <c r="E1" s="321"/>
      <c r="F1" s="321"/>
      <c r="G1" s="321"/>
    </row>
    <row r="2" spans="1:16" s="4" customFormat="1" x14ac:dyDescent="0.25">
      <c r="A2" s="322" t="s">
        <v>29</v>
      </c>
      <c r="B2" s="323"/>
      <c r="C2" s="323"/>
      <c r="D2" s="323"/>
      <c r="E2" s="323"/>
      <c r="F2" s="323"/>
      <c r="G2" s="323"/>
    </row>
    <row r="3" spans="1:16" s="4" customFormat="1" ht="35.25" customHeight="1" x14ac:dyDescent="0.2">
      <c r="A3" s="324" t="s">
        <v>32</v>
      </c>
      <c r="B3" s="325"/>
      <c r="C3" s="325"/>
      <c r="D3" s="325"/>
      <c r="E3" s="325"/>
      <c r="F3" s="325"/>
      <c r="G3" s="325"/>
    </row>
    <row r="4" spans="1:16" s="4" customFormat="1" ht="39" customHeight="1" x14ac:dyDescent="0.2">
      <c r="A4" s="316" t="s">
        <v>15</v>
      </c>
      <c r="B4" s="326"/>
      <c r="C4" s="326"/>
      <c r="D4" s="318" t="s">
        <v>31</v>
      </c>
      <c r="E4" s="326"/>
      <c r="F4" s="326"/>
      <c r="G4" s="326"/>
      <c r="O4" s="5"/>
      <c r="P4" s="5"/>
    </row>
    <row r="5" spans="1:16" s="4" customFormat="1" x14ac:dyDescent="0.2">
      <c r="A5" s="316" t="s">
        <v>16</v>
      </c>
      <c r="B5" s="317"/>
      <c r="C5" s="317"/>
      <c r="D5" s="318" t="s">
        <v>2</v>
      </c>
      <c r="E5" s="319"/>
      <c r="F5" s="319"/>
      <c r="G5" s="319"/>
    </row>
    <row r="6" spans="1:16" s="4" customFormat="1" x14ac:dyDescent="0.2">
      <c r="A6" s="316" t="s">
        <v>17</v>
      </c>
      <c r="B6" s="317"/>
      <c r="C6" s="317"/>
      <c r="D6" s="318" t="s">
        <v>35</v>
      </c>
      <c r="E6" s="319"/>
      <c r="F6" s="319"/>
      <c r="G6" s="319"/>
    </row>
    <row r="7" spans="1:16" x14ac:dyDescent="0.25">
      <c r="G7" s="4" t="s">
        <v>5</v>
      </c>
    </row>
    <row r="8" spans="1:16" x14ac:dyDescent="0.25">
      <c r="A8" s="327" t="s">
        <v>0</v>
      </c>
      <c r="B8" s="327" t="s">
        <v>1</v>
      </c>
      <c r="C8" s="328" t="s">
        <v>6</v>
      </c>
      <c r="D8" s="329"/>
      <c r="E8" s="327" t="s">
        <v>18</v>
      </c>
      <c r="F8" s="327" t="s">
        <v>7</v>
      </c>
      <c r="G8" s="327" t="s">
        <v>8</v>
      </c>
    </row>
    <row r="9" spans="1:16" ht="25.5" x14ac:dyDescent="0.25">
      <c r="A9" s="327"/>
      <c r="B9" s="327"/>
      <c r="C9" s="26" t="s">
        <v>19</v>
      </c>
      <c r="D9" s="26" t="s">
        <v>9</v>
      </c>
      <c r="E9" s="327"/>
      <c r="F9" s="327"/>
      <c r="G9" s="327"/>
    </row>
    <row r="10" spans="1:16" s="25" customFormat="1" ht="10.5" customHeight="1" x14ac:dyDescent="0.2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</row>
    <row r="11" spans="1:16" x14ac:dyDescent="0.25">
      <c r="A11" s="7" t="s">
        <v>10</v>
      </c>
      <c r="B11" s="334" t="s">
        <v>33</v>
      </c>
      <c r="C11" s="6">
        <v>1</v>
      </c>
      <c r="D11" s="8" t="s">
        <v>20</v>
      </c>
      <c r="E11" s="6">
        <v>2</v>
      </c>
      <c r="F11" s="9">
        <v>4722.8599999999997</v>
      </c>
      <c r="G11" s="10">
        <f>E11*F11*C11</f>
        <v>9445.7199999999993</v>
      </c>
    </row>
    <row r="12" spans="1:16" ht="16.5" customHeight="1" x14ac:dyDescent="0.25">
      <c r="A12" s="7" t="s">
        <v>11</v>
      </c>
      <c r="B12" s="335"/>
      <c r="C12" s="6">
        <v>1</v>
      </c>
      <c r="D12" s="8" t="s">
        <v>21</v>
      </c>
      <c r="E12" s="6">
        <v>4</v>
      </c>
      <c r="F12" s="9">
        <v>2623.81</v>
      </c>
      <c r="G12" s="10">
        <f>E12*F12*C12</f>
        <v>10495.24</v>
      </c>
    </row>
    <row r="13" spans="1:16" ht="13.5" customHeight="1" x14ac:dyDescent="0.25">
      <c r="A13" s="7" t="s">
        <v>12</v>
      </c>
      <c r="B13" s="335"/>
      <c r="C13" s="6">
        <v>1</v>
      </c>
      <c r="D13" s="8" t="s">
        <v>22</v>
      </c>
      <c r="E13" s="6">
        <v>5</v>
      </c>
      <c r="F13" s="9">
        <v>2361.4299999999998</v>
      </c>
      <c r="G13" s="10">
        <f>E13*F13*C13</f>
        <v>11807.15</v>
      </c>
    </row>
    <row r="14" spans="1:16" x14ac:dyDescent="0.25">
      <c r="A14" s="7"/>
      <c r="B14" s="11" t="s">
        <v>3</v>
      </c>
      <c r="C14" s="12"/>
      <c r="D14" s="12"/>
      <c r="E14" s="13"/>
      <c r="F14" s="14"/>
      <c r="G14" s="15">
        <f>SUM(G11:G13)</f>
        <v>31748.11</v>
      </c>
    </row>
    <row r="15" spans="1:16" x14ac:dyDescent="0.25">
      <c r="A15" s="330" t="s">
        <v>23</v>
      </c>
      <c r="B15" s="331"/>
      <c r="C15" s="331"/>
      <c r="D15" s="331"/>
      <c r="E15" s="13"/>
      <c r="F15" s="14"/>
      <c r="G15" s="15">
        <f>G14</f>
        <v>31748.11</v>
      </c>
    </row>
    <row r="16" spans="1:16" x14ac:dyDescent="0.25">
      <c r="A16" s="330" t="s">
        <v>24</v>
      </c>
      <c r="B16" s="331"/>
      <c r="C16" s="331"/>
      <c r="D16" s="331"/>
      <c r="E16" s="16">
        <v>31</v>
      </c>
      <c r="F16" s="17" t="s">
        <v>25</v>
      </c>
      <c r="G16" s="18">
        <f>G15*E16/100</f>
        <v>9841.91</v>
      </c>
    </row>
    <row r="17" spans="1:12" x14ac:dyDescent="0.25">
      <c r="A17" s="330" t="s">
        <v>26</v>
      </c>
      <c r="B17" s="331"/>
      <c r="C17" s="331"/>
      <c r="D17" s="331"/>
      <c r="E17" s="16">
        <v>91</v>
      </c>
      <c r="F17" s="17" t="s">
        <v>25</v>
      </c>
      <c r="G17" s="18">
        <f>G15*E17/100</f>
        <v>28890.78</v>
      </c>
    </row>
    <row r="18" spans="1:12" x14ac:dyDescent="0.25">
      <c r="A18" s="332" t="s">
        <v>13</v>
      </c>
      <c r="B18" s="333"/>
      <c r="C18" s="333"/>
      <c r="D18" s="333"/>
      <c r="E18" s="13"/>
      <c r="F18" s="14"/>
      <c r="G18" s="15">
        <f>SUM(G15:G17)</f>
        <v>70480.800000000003</v>
      </c>
    </row>
    <row r="19" spans="1:12" x14ac:dyDescent="0.25">
      <c r="A19" s="330" t="s">
        <v>27</v>
      </c>
      <c r="B19" s="331"/>
      <c r="C19" s="331"/>
      <c r="D19" s="331"/>
      <c r="E19" s="13">
        <v>13</v>
      </c>
      <c r="F19" s="17" t="s">
        <v>25</v>
      </c>
      <c r="G19" s="18">
        <f>G18*E19/100</f>
        <v>9162.5</v>
      </c>
    </row>
    <row r="20" spans="1:12" x14ac:dyDescent="0.25">
      <c r="A20" s="330" t="s">
        <v>28</v>
      </c>
      <c r="B20" s="331"/>
      <c r="C20" s="331"/>
      <c r="D20" s="331"/>
      <c r="E20" s="13"/>
      <c r="F20" s="14"/>
      <c r="G20" s="15">
        <f>SUM(G18:G19)</f>
        <v>79643.3</v>
      </c>
    </row>
    <row r="21" spans="1:12" x14ac:dyDescent="0.25">
      <c r="A21" s="330" t="s">
        <v>4</v>
      </c>
      <c r="B21" s="331"/>
      <c r="C21" s="331"/>
      <c r="D21" s="331"/>
      <c r="E21" s="13">
        <v>18</v>
      </c>
      <c r="F21" s="17" t="s">
        <v>25</v>
      </c>
      <c r="G21" s="18">
        <f>G20*E21/100</f>
        <v>14335.79</v>
      </c>
    </row>
    <row r="22" spans="1:12" x14ac:dyDescent="0.25">
      <c r="A22" s="332" t="s">
        <v>30</v>
      </c>
      <c r="B22" s="333"/>
      <c r="C22" s="333"/>
      <c r="D22" s="333"/>
      <c r="E22" s="13"/>
      <c r="F22" s="14"/>
      <c r="G22" s="15">
        <f>SUM(G20:G21)</f>
        <v>93979.09</v>
      </c>
    </row>
    <row r="23" spans="1:12" x14ac:dyDescent="0.25">
      <c r="G23" s="23"/>
    </row>
    <row r="24" spans="1:12" s="1" customFormat="1" ht="12.75" x14ac:dyDescent="0.2">
      <c r="A24" s="19"/>
      <c r="B24" s="2" t="s">
        <v>34</v>
      </c>
      <c r="D24" s="19"/>
      <c r="E24" s="20"/>
      <c r="F24" s="21"/>
      <c r="G24" s="21"/>
      <c r="H24" s="21"/>
      <c r="I24" s="21"/>
      <c r="J24" s="21"/>
      <c r="K24" s="21"/>
      <c r="L24" s="22"/>
    </row>
  </sheetData>
  <mergeCells count="24">
    <mergeCell ref="A20:D20"/>
    <mergeCell ref="A21:D21"/>
    <mergeCell ref="A22:D22"/>
    <mergeCell ref="B11:B13"/>
    <mergeCell ref="A15:D15"/>
    <mergeCell ref="A16:D16"/>
    <mergeCell ref="A17:D17"/>
    <mergeCell ref="A18:D18"/>
    <mergeCell ref="A19:D19"/>
    <mergeCell ref="A6:C6"/>
    <mergeCell ref="D6:G6"/>
    <mergeCell ref="A8:A9"/>
    <mergeCell ref="B8:B9"/>
    <mergeCell ref="C8:D8"/>
    <mergeCell ref="E8:E9"/>
    <mergeCell ref="F8:F9"/>
    <mergeCell ref="G8:G9"/>
    <mergeCell ref="A5:C5"/>
    <mergeCell ref="D5:G5"/>
    <mergeCell ref="A1:G1"/>
    <mergeCell ref="A2:G2"/>
    <mergeCell ref="A3:G3"/>
    <mergeCell ref="A4:C4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2" zoomScale="80" zoomScaleNormal="80" workbookViewId="0">
      <selection activeCell="K35" sqref="K35"/>
    </sheetView>
  </sheetViews>
  <sheetFormatPr defaultRowHeight="15" x14ac:dyDescent="0.25"/>
  <cols>
    <col min="2" max="2" width="44.28515625" customWidth="1"/>
    <col min="3" max="3" width="12" customWidth="1"/>
    <col min="5" max="5" width="22.140625" customWidth="1"/>
    <col min="6" max="6" width="12.5703125" customWidth="1"/>
    <col min="11" max="11" width="17" customWidth="1"/>
    <col min="12" max="12" width="29.140625" customWidth="1"/>
  </cols>
  <sheetData>
    <row r="1" spans="1:12" x14ac:dyDescent="0.25">
      <c r="A1" s="340" t="s">
        <v>168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x14ac:dyDescent="0.25">
      <c r="A2" s="340" t="s">
        <v>169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62.25" customHeight="1" x14ac:dyDescent="0.25">
      <c r="A3" s="341" t="s">
        <v>170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25">
      <c r="A4" s="336" t="s">
        <v>171</v>
      </c>
      <c r="B4" s="337"/>
      <c r="C4" s="338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6" t="s">
        <v>172</v>
      </c>
      <c r="B5" s="337"/>
      <c r="C5" s="338" t="s">
        <v>44</v>
      </c>
      <c r="D5" s="339"/>
      <c r="E5" s="339"/>
      <c r="F5" s="339"/>
      <c r="G5" s="339"/>
      <c r="H5" s="339"/>
      <c r="I5" s="339"/>
      <c r="J5" s="339"/>
      <c r="K5" s="339"/>
      <c r="L5" s="339"/>
    </row>
    <row r="6" spans="1:12" x14ac:dyDescent="0.25">
      <c r="A6" s="336" t="s">
        <v>173</v>
      </c>
      <c r="B6" s="337"/>
      <c r="C6" s="338" t="s">
        <v>174</v>
      </c>
      <c r="D6" s="339"/>
      <c r="E6" s="339"/>
      <c r="F6" s="339"/>
      <c r="G6" s="339"/>
      <c r="H6" s="339"/>
      <c r="I6" s="339"/>
      <c r="J6" s="339"/>
      <c r="K6" s="339"/>
      <c r="L6" s="339"/>
    </row>
    <row r="7" spans="1:12" x14ac:dyDescent="0.25">
      <c r="A7" s="71" t="s">
        <v>175</v>
      </c>
      <c r="B7" s="72"/>
      <c r="C7" s="72"/>
      <c r="D7" s="73"/>
      <c r="E7" s="72"/>
      <c r="F7" s="72"/>
      <c r="G7" s="72"/>
      <c r="H7" s="73"/>
      <c r="I7" s="73"/>
      <c r="J7" s="73"/>
      <c r="K7" s="73"/>
      <c r="L7" s="74"/>
    </row>
    <row r="8" spans="1:12" x14ac:dyDescent="0.25">
      <c r="A8" s="342" t="s">
        <v>176</v>
      </c>
      <c r="B8" s="342" t="s">
        <v>42</v>
      </c>
      <c r="C8" s="342" t="s">
        <v>52</v>
      </c>
      <c r="D8" s="342" t="s">
        <v>53</v>
      </c>
      <c r="E8" s="342" t="s">
        <v>45</v>
      </c>
      <c r="F8" s="342" t="s">
        <v>54</v>
      </c>
      <c r="G8" s="342"/>
      <c r="H8" s="342"/>
      <c r="I8" s="342"/>
      <c r="J8" s="342"/>
      <c r="K8" s="342"/>
      <c r="L8" s="343" t="s">
        <v>55</v>
      </c>
    </row>
    <row r="9" spans="1:12" ht="27.75" customHeight="1" x14ac:dyDescent="0.25">
      <c r="A9" s="342"/>
      <c r="B9" s="342"/>
      <c r="C9" s="342"/>
      <c r="D9" s="342"/>
      <c r="E9" s="342"/>
      <c r="F9" s="300" t="s">
        <v>56</v>
      </c>
      <c r="G9" s="300" t="s">
        <v>177</v>
      </c>
      <c r="H9" s="300" t="s">
        <v>177</v>
      </c>
      <c r="I9" s="300" t="s">
        <v>177</v>
      </c>
      <c r="J9" s="300" t="s">
        <v>177</v>
      </c>
      <c r="K9" s="300" t="s">
        <v>57</v>
      </c>
      <c r="L9" s="344"/>
    </row>
    <row r="10" spans="1:12" x14ac:dyDescent="0.25">
      <c r="A10" s="349" t="s">
        <v>46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1"/>
    </row>
    <row r="11" spans="1:12" ht="78.75" customHeight="1" x14ac:dyDescent="0.25">
      <c r="A11" s="75">
        <v>1</v>
      </c>
      <c r="B11" s="76" t="s">
        <v>178</v>
      </c>
      <c r="C11" s="77" t="s">
        <v>179</v>
      </c>
      <c r="D11" s="78">
        <v>3</v>
      </c>
      <c r="E11" s="300" t="s">
        <v>180</v>
      </c>
      <c r="F11" s="34">
        <v>10008</v>
      </c>
      <c r="G11" s="76">
        <v>1.3</v>
      </c>
      <c r="H11" s="76">
        <v>1.2</v>
      </c>
      <c r="I11" s="76"/>
      <c r="J11" s="76"/>
      <c r="K11" s="79">
        <f>D11</f>
        <v>3</v>
      </c>
      <c r="L11" s="80">
        <f>F11*G11*K11*H11</f>
        <v>46837.440000000002</v>
      </c>
    </row>
    <row r="12" spans="1:12" ht="96.75" customHeight="1" x14ac:dyDescent="0.25">
      <c r="A12" s="75">
        <v>2</v>
      </c>
      <c r="B12" s="76" t="s">
        <v>181</v>
      </c>
      <c r="C12" s="77" t="s">
        <v>179</v>
      </c>
      <c r="D12" s="78">
        <v>3</v>
      </c>
      <c r="E12" s="300" t="s">
        <v>182</v>
      </c>
      <c r="F12" s="34">
        <v>2463</v>
      </c>
      <c r="G12" s="76">
        <v>0.4</v>
      </c>
      <c r="H12" s="76">
        <v>1.2</v>
      </c>
      <c r="I12" s="76"/>
      <c r="J12" s="76"/>
      <c r="K12" s="79">
        <f t="shared" ref="K12" si="0">D12</f>
        <v>3</v>
      </c>
      <c r="L12" s="80">
        <f>F12*G12*K12*H12</f>
        <v>3546.72</v>
      </c>
    </row>
    <row r="13" spans="1:12" ht="103.5" customHeight="1" x14ac:dyDescent="0.25">
      <c r="A13" s="75">
        <v>3</v>
      </c>
      <c r="B13" s="76" t="s">
        <v>561</v>
      </c>
      <c r="C13" s="76" t="s">
        <v>184</v>
      </c>
      <c r="D13" s="78">
        <v>0</v>
      </c>
      <c r="E13" s="300" t="s">
        <v>562</v>
      </c>
      <c r="F13" s="34">
        <v>1117</v>
      </c>
      <c r="G13" s="76">
        <v>1.2</v>
      </c>
      <c r="H13" s="76">
        <v>1.2</v>
      </c>
      <c r="I13" s="76"/>
      <c r="J13" s="76"/>
      <c r="K13" s="79">
        <f>D13</f>
        <v>0</v>
      </c>
      <c r="L13" s="309">
        <f>F13*G13*H13*K13</f>
        <v>0</v>
      </c>
    </row>
    <row r="14" spans="1:12" ht="81" customHeight="1" x14ac:dyDescent="0.25">
      <c r="A14" s="75">
        <v>4</v>
      </c>
      <c r="B14" s="76" t="s">
        <v>183</v>
      </c>
      <c r="C14" s="76" t="s">
        <v>184</v>
      </c>
      <c r="D14" s="81">
        <v>7</v>
      </c>
      <c r="E14" s="300" t="s">
        <v>563</v>
      </c>
      <c r="F14" s="34">
        <v>2432</v>
      </c>
      <c r="G14" s="76">
        <v>1.2</v>
      </c>
      <c r="H14" s="76">
        <v>1.55</v>
      </c>
      <c r="I14" s="76"/>
      <c r="J14" s="76"/>
      <c r="K14" s="79">
        <f>D14</f>
        <v>7</v>
      </c>
      <c r="L14" s="80">
        <f>F14*K14*G14*H14</f>
        <v>31664.639999999999</v>
      </c>
    </row>
    <row r="15" spans="1:12" ht="21" customHeight="1" x14ac:dyDescent="0.25">
      <c r="A15" s="82"/>
      <c r="B15" s="352" t="s">
        <v>185</v>
      </c>
      <c r="C15" s="353"/>
      <c r="D15" s="353"/>
      <c r="E15" s="353"/>
      <c r="F15" s="353"/>
      <c r="G15" s="353"/>
      <c r="H15" s="353"/>
      <c r="I15" s="353"/>
      <c r="J15" s="353"/>
      <c r="K15" s="354"/>
      <c r="L15" s="83">
        <f>SUM(L11:L14)</f>
        <v>82048.800000000003</v>
      </c>
    </row>
    <row r="16" spans="1:12" ht="27" customHeight="1" x14ac:dyDescent="0.25">
      <c r="A16" s="82">
        <v>5</v>
      </c>
      <c r="B16" s="84" t="s">
        <v>186</v>
      </c>
      <c r="C16" s="76" t="s">
        <v>187</v>
      </c>
      <c r="D16" s="76"/>
      <c r="E16" s="85" t="s">
        <v>564</v>
      </c>
      <c r="F16" s="86">
        <f>L15</f>
        <v>82048.800000000003</v>
      </c>
      <c r="G16" s="87"/>
      <c r="H16" s="88"/>
      <c r="I16" s="76"/>
      <c r="J16" s="76">
        <v>1</v>
      </c>
      <c r="K16" s="89">
        <v>0.4</v>
      </c>
      <c r="L16" s="80">
        <f>F16*J16*K16</f>
        <v>32819.519999999997</v>
      </c>
    </row>
    <row r="17" spans="1:12" ht="21" customHeight="1" x14ac:dyDescent="0.25">
      <c r="A17" s="82"/>
      <c r="B17" s="348" t="s">
        <v>188</v>
      </c>
      <c r="C17" s="355"/>
      <c r="D17" s="355"/>
      <c r="E17" s="355"/>
      <c r="F17" s="355"/>
      <c r="G17" s="355"/>
      <c r="H17" s="355"/>
      <c r="I17" s="355"/>
      <c r="J17" s="355"/>
      <c r="K17" s="356"/>
      <c r="L17" s="83">
        <f>SUM(L15:L15)+L16</f>
        <v>114868.32</v>
      </c>
    </row>
    <row r="18" spans="1:12" x14ac:dyDescent="0.25">
      <c r="A18" s="349" t="s">
        <v>189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1"/>
    </row>
    <row r="19" spans="1:12" ht="71.25" customHeight="1" x14ac:dyDescent="0.25">
      <c r="A19" s="75">
        <v>6</v>
      </c>
      <c r="B19" s="76" t="s">
        <v>190</v>
      </c>
      <c r="C19" s="77" t="s">
        <v>179</v>
      </c>
      <c r="D19" s="81">
        <v>3</v>
      </c>
      <c r="E19" s="300" t="s">
        <v>191</v>
      </c>
      <c r="F19" s="34">
        <v>3912</v>
      </c>
      <c r="G19" s="76">
        <v>1.3</v>
      </c>
      <c r="H19" s="76">
        <v>1.2</v>
      </c>
      <c r="I19" s="76"/>
      <c r="J19" s="76"/>
      <c r="K19" s="79">
        <f>D19</f>
        <v>3</v>
      </c>
      <c r="L19" s="80">
        <f>F19*G19*K19*H19</f>
        <v>18308.16</v>
      </c>
    </row>
    <row r="20" spans="1:12" ht="44.25" customHeight="1" x14ac:dyDescent="0.25">
      <c r="A20" s="75">
        <v>7</v>
      </c>
      <c r="B20" s="76" t="s">
        <v>192</v>
      </c>
      <c r="C20" s="77" t="s">
        <v>179</v>
      </c>
      <c r="D20" s="81">
        <v>3</v>
      </c>
      <c r="E20" s="300" t="s">
        <v>193</v>
      </c>
      <c r="F20" s="34">
        <v>485</v>
      </c>
      <c r="G20" s="300">
        <v>1.2</v>
      </c>
      <c r="H20" s="76"/>
      <c r="I20" s="76"/>
      <c r="J20" s="76"/>
      <c r="K20" s="79">
        <f t="shared" ref="K20" si="1">D20</f>
        <v>3</v>
      </c>
      <c r="L20" s="80">
        <f>F20*G20*K20</f>
        <v>1746</v>
      </c>
    </row>
    <row r="21" spans="1:12" ht="79.5" customHeight="1" x14ac:dyDescent="0.25">
      <c r="A21" s="75"/>
      <c r="B21" s="76" t="s">
        <v>565</v>
      </c>
      <c r="C21" s="77" t="s">
        <v>184</v>
      </c>
      <c r="D21" s="81">
        <f>D13</f>
        <v>0</v>
      </c>
      <c r="E21" s="300" t="s">
        <v>566</v>
      </c>
      <c r="F21" s="34">
        <v>318</v>
      </c>
      <c r="G21" s="300">
        <v>1.2</v>
      </c>
      <c r="H21" s="76">
        <v>1.2</v>
      </c>
      <c r="I21" s="76"/>
      <c r="J21" s="76"/>
      <c r="K21" s="79">
        <f>D21</f>
        <v>0</v>
      </c>
      <c r="L21" s="80">
        <f>F21*G21*H21*K21</f>
        <v>0</v>
      </c>
    </row>
    <row r="22" spans="1:12" ht="75" customHeight="1" x14ac:dyDescent="0.25">
      <c r="A22" s="75">
        <v>8</v>
      </c>
      <c r="B22" s="76" t="s">
        <v>194</v>
      </c>
      <c r="C22" s="76" t="s">
        <v>184</v>
      </c>
      <c r="D22" s="81">
        <f>D14</f>
        <v>7</v>
      </c>
      <c r="E22" s="300" t="s">
        <v>195</v>
      </c>
      <c r="F22" s="34">
        <v>589</v>
      </c>
      <c r="G22" s="76">
        <v>1.2</v>
      </c>
      <c r="H22" s="76">
        <v>1.55</v>
      </c>
      <c r="I22" s="76"/>
      <c r="J22" s="76"/>
      <c r="K22" s="79">
        <f>D22</f>
        <v>7</v>
      </c>
      <c r="L22" s="80">
        <f>F22*G22*K22*H22</f>
        <v>7668.78</v>
      </c>
    </row>
    <row r="23" spans="1:12" ht="21" customHeight="1" x14ac:dyDescent="0.25">
      <c r="A23" s="82"/>
      <c r="B23" s="35" t="s">
        <v>58</v>
      </c>
      <c r="C23" s="301"/>
      <c r="D23" s="300"/>
      <c r="E23" s="33"/>
      <c r="F23" s="300"/>
      <c r="G23" s="300"/>
      <c r="H23" s="300"/>
      <c r="I23" s="300"/>
      <c r="J23" s="300"/>
      <c r="K23" s="300"/>
      <c r="L23" s="83">
        <f>SUM(L19:L22)</f>
        <v>27722.94</v>
      </c>
    </row>
    <row r="24" spans="1:12" ht="15.75" customHeight="1" x14ac:dyDescent="0.25">
      <c r="A24" s="82"/>
      <c r="B24" s="352" t="s">
        <v>196</v>
      </c>
      <c r="C24" s="353"/>
      <c r="D24" s="353"/>
      <c r="E24" s="353"/>
      <c r="F24" s="353"/>
      <c r="G24" s="353"/>
      <c r="H24" s="353"/>
      <c r="I24" s="353"/>
      <c r="J24" s="353"/>
      <c r="K24" s="354"/>
      <c r="L24" s="83">
        <f>L23</f>
        <v>27722.94</v>
      </c>
    </row>
    <row r="25" spans="1:12" x14ac:dyDescent="0.25">
      <c r="A25" s="349" t="s">
        <v>197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1"/>
    </row>
    <row r="26" spans="1:12" ht="31.5" customHeight="1" x14ac:dyDescent="0.25">
      <c r="A26" s="82">
        <v>9</v>
      </c>
      <c r="B26" s="300" t="s">
        <v>198</v>
      </c>
      <c r="C26" s="300" t="s">
        <v>49</v>
      </c>
      <c r="D26" s="39">
        <v>8.7499999999999994E-2</v>
      </c>
      <c r="E26" s="300" t="s">
        <v>199</v>
      </c>
      <c r="F26" s="34">
        <f>L17</f>
        <v>114868.32</v>
      </c>
      <c r="G26" s="38"/>
      <c r="H26" s="300"/>
      <c r="I26" s="300"/>
      <c r="J26" s="300"/>
      <c r="K26" s="37">
        <f>D26</f>
        <v>8.7999999999999995E-2</v>
      </c>
      <c r="L26" s="90">
        <f>F26*K26</f>
        <v>10108.41</v>
      </c>
    </row>
    <row r="27" spans="1:12" ht="33.75" customHeight="1" x14ac:dyDescent="0.25">
      <c r="A27" s="82">
        <v>10</v>
      </c>
      <c r="B27" s="300" t="s">
        <v>200</v>
      </c>
      <c r="C27" s="300" t="s">
        <v>49</v>
      </c>
      <c r="D27" s="37">
        <v>0.39200000000000002</v>
      </c>
      <c r="E27" s="300" t="s">
        <v>201</v>
      </c>
      <c r="F27" s="91">
        <f>F26+L26</f>
        <v>124976.73</v>
      </c>
      <c r="G27" s="92"/>
      <c r="H27" s="40"/>
      <c r="I27" s="40"/>
      <c r="J27" s="40"/>
      <c r="K27" s="37">
        <f>D27</f>
        <v>0.39200000000000002</v>
      </c>
      <c r="L27" s="90">
        <f>F27*K27</f>
        <v>48990.879999999997</v>
      </c>
    </row>
    <row r="28" spans="1:12" ht="21" customHeight="1" x14ac:dyDescent="0.25">
      <c r="A28" s="82">
        <v>11</v>
      </c>
      <c r="B28" s="300" t="s">
        <v>202</v>
      </c>
      <c r="C28" s="300" t="s">
        <v>49</v>
      </c>
      <c r="D28" s="37">
        <v>0.06</v>
      </c>
      <c r="E28" s="93" t="s">
        <v>203</v>
      </c>
      <c r="F28" s="34">
        <f>F27</f>
        <v>124976.73</v>
      </c>
      <c r="G28" s="41"/>
      <c r="H28" s="300"/>
      <c r="I28" s="300"/>
      <c r="J28" s="300"/>
      <c r="K28" s="37">
        <f>D28</f>
        <v>0.06</v>
      </c>
      <c r="L28" s="90">
        <f>F28*K28</f>
        <v>7498.6</v>
      </c>
    </row>
    <row r="29" spans="1:12" ht="21" customHeight="1" x14ac:dyDescent="0.25">
      <c r="A29" s="82"/>
      <c r="F29" s="34"/>
      <c r="G29" s="41"/>
      <c r="H29" s="300"/>
      <c r="I29" s="300"/>
      <c r="J29" s="300"/>
      <c r="L29" s="90">
        <f>F29*0.1</f>
        <v>0</v>
      </c>
    </row>
    <row r="30" spans="1:12" ht="16.5" customHeight="1" x14ac:dyDescent="0.25">
      <c r="A30" s="40"/>
      <c r="B30" s="35" t="s">
        <v>60</v>
      </c>
      <c r="C30" s="300"/>
      <c r="D30" s="36"/>
      <c r="E30" s="94"/>
      <c r="F30" s="95"/>
      <c r="G30" s="95"/>
      <c r="H30" s="95"/>
      <c r="I30" s="95"/>
      <c r="J30" s="95"/>
      <c r="K30" s="36"/>
      <c r="L30" s="96">
        <f>SUM(L26:L29)</f>
        <v>66597.89</v>
      </c>
    </row>
    <row r="31" spans="1:12" ht="16.5" customHeight="1" x14ac:dyDescent="0.25">
      <c r="A31" s="82"/>
      <c r="B31" s="35" t="s">
        <v>204</v>
      </c>
      <c r="C31" s="300"/>
      <c r="D31" s="300"/>
      <c r="E31" s="33"/>
      <c r="F31" s="300"/>
      <c r="G31" s="300"/>
      <c r="H31" s="300"/>
      <c r="I31" s="300"/>
      <c r="J31" s="300"/>
      <c r="K31" s="96"/>
      <c r="L31" s="96">
        <f>L30+L24+L17</f>
        <v>209189.15</v>
      </c>
    </row>
    <row r="32" spans="1:12" ht="16.5" customHeight="1" x14ac:dyDescent="0.25">
      <c r="A32" s="82">
        <v>12</v>
      </c>
      <c r="B32" s="300" t="s">
        <v>205</v>
      </c>
      <c r="C32" s="300" t="s">
        <v>49</v>
      </c>
      <c r="D32" s="37">
        <v>0.1</v>
      </c>
      <c r="E32" s="93" t="s">
        <v>206</v>
      </c>
      <c r="F32" s="301"/>
      <c r="G32" s="300"/>
      <c r="H32" s="301"/>
      <c r="I32" s="300"/>
      <c r="J32" s="302"/>
      <c r="K32" s="37">
        <v>0.1</v>
      </c>
      <c r="L32" s="96">
        <f>L31*0.1</f>
        <v>20918.919999999998</v>
      </c>
    </row>
    <row r="33" spans="1:12" x14ac:dyDescent="0.25">
      <c r="A33" s="40"/>
      <c r="B33" s="345" t="s">
        <v>207</v>
      </c>
      <c r="C33" s="346"/>
      <c r="D33" s="346"/>
      <c r="E33" s="346"/>
      <c r="F33" s="346"/>
      <c r="G33" s="346"/>
      <c r="H33" s="346"/>
      <c r="I33" s="346"/>
      <c r="J33" s="347"/>
      <c r="K33" s="97"/>
      <c r="L33" s="98">
        <f>SUM(L31:L32)</f>
        <v>230108.07</v>
      </c>
    </row>
    <row r="34" spans="1:12" ht="19.5" customHeight="1" x14ac:dyDescent="0.25">
      <c r="A34" s="99"/>
      <c r="B34" s="348" t="s">
        <v>585</v>
      </c>
      <c r="C34" s="346"/>
      <c r="D34" s="346"/>
      <c r="E34" s="346"/>
      <c r="F34" s="346"/>
      <c r="G34" s="346"/>
      <c r="H34" s="346"/>
      <c r="I34" s="346"/>
      <c r="J34" s="347"/>
      <c r="K34" s="100">
        <v>4.55</v>
      </c>
      <c r="L34" s="101">
        <f>L33*K34</f>
        <v>1046991.72</v>
      </c>
    </row>
    <row r="35" spans="1:12" x14ac:dyDescent="0.25">
      <c r="B35" s="33" t="s">
        <v>4</v>
      </c>
      <c r="C35" s="33"/>
      <c r="D35" s="36">
        <v>0.2</v>
      </c>
      <c r="E35" s="33"/>
      <c r="F35" s="34">
        <f>L34</f>
        <v>1046991.72</v>
      </c>
      <c r="G35" s="33"/>
      <c r="H35" s="33"/>
      <c r="I35" s="33"/>
      <c r="J35" s="33"/>
      <c r="K35" s="37">
        <v>0.2</v>
      </c>
      <c r="L35" s="90">
        <f>K35*F35</f>
        <v>209398.34</v>
      </c>
    </row>
    <row r="36" spans="1:12" x14ac:dyDescent="0.25">
      <c r="B36" s="102" t="s">
        <v>208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4">
        <f>L34+L35</f>
        <v>1256390.06</v>
      </c>
    </row>
  </sheetData>
  <mergeCells count="24">
    <mergeCell ref="B33:J33"/>
    <mergeCell ref="B34:J34"/>
    <mergeCell ref="A10:L10"/>
    <mergeCell ref="B15:K15"/>
    <mergeCell ref="B17:K17"/>
    <mergeCell ref="A18:L18"/>
    <mergeCell ref="B24:K24"/>
    <mergeCell ref="A25:L25"/>
    <mergeCell ref="A6:B6"/>
    <mergeCell ref="C6:L6"/>
    <mergeCell ref="A8:A9"/>
    <mergeCell ref="B8:B9"/>
    <mergeCell ref="C8:C9"/>
    <mergeCell ref="D8:D9"/>
    <mergeCell ref="E8:E9"/>
    <mergeCell ref="F8:K8"/>
    <mergeCell ref="L8:L9"/>
    <mergeCell ref="A5:B5"/>
    <mergeCell ref="C5:L5"/>
    <mergeCell ref="A1:L1"/>
    <mergeCell ref="A2:L2"/>
    <mergeCell ref="A3:L3"/>
    <mergeCell ref="A4:B4"/>
    <mergeCell ref="C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6"/>
  <sheetViews>
    <sheetView topLeftCell="A67" zoomScale="110" zoomScaleNormal="110" workbookViewId="0">
      <selection activeCell="B78" sqref="B78"/>
    </sheetView>
  </sheetViews>
  <sheetFormatPr defaultColWidth="9.140625" defaultRowHeight="12.75" x14ac:dyDescent="0.2"/>
  <cols>
    <col min="1" max="1" width="4.5703125" style="257" customWidth="1"/>
    <col min="2" max="2" width="37.28515625" style="176" customWidth="1"/>
    <col min="3" max="3" width="10.42578125" style="176" customWidth="1"/>
    <col min="4" max="4" width="9.85546875" style="257" customWidth="1"/>
    <col min="5" max="5" width="24.85546875" style="176" customWidth="1"/>
    <col min="6" max="6" width="13.140625" style="176" customWidth="1"/>
    <col min="7" max="8" width="8.7109375" style="176" customWidth="1"/>
    <col min="9" max="9" width="15.7109375" style="176" customWidth="1"/>
    <col min="10" max="10" width="13.85546875" style="180" customWidth="1"/>
    <col min="11" max="11" width="11.140625" style="176" customWidth="1"/>
    <col min="12" max="253" width="9.140625" style="176"/>
    <col min="254" max="254" width="4.5703125" style="176" customWidth="1"/>
    <col min="255" max="255" width="37.28515625" style="176" customWidth="1"/>
    <col min="256" max="256" width="10.42578125" style="176" customWidth="1"/>
    <col min="257" max="257" width="13.7109375" style="176" customWidth="1"/>
    <col min="258" max="258" width="24.5703125" style="176" customWidth="1"/>
    <col min="259" max="259" width="10" style="176" customWidth="1"/>
    <col min="260" max="264" width="8.7109375" style="176" customWidth="1"/>
    <col min="265" max="265" width="15.7109375" style="176" customWidth="1"/>
    <col min="266" max="266" width="33.7109375" style="176" customWidth="1"/>
    <col min="267" max="267" width="11.140625" style="176" customWidth="1"/>
    <col min="268" max="509" width="9.140625" style="176"/>
    <col min="510" max="510" width="4.5703125" style="176" customWidth="1"/>
    <col min="511" max="511" width="37.28515625" style="176" customWidth="1"/>
    <col min="512" max="512" width="10.42578125" style="176" customWidth="1"/>
    <col min="513" max="513" width="13.7109375" style="176" customWidth="1"/>
    <col min="514" max="514" width="24.5703125" style="176" customWidth="1"/>
    <col min="515" max="515" width="10" style="176" customWidth="1"/>
    <col min="516" max="520" width="8.7109375" style="176" customWidth="1"/>
    <col min="521" max="521" width="15.7109375" style="176" customWidth="1"/>
    <col min="522" max="522" width="33.7109375" style="176" customWidth="1"/>
    <col min="523" max="523" width="11.140625" style="176" customWidth="1"/>
    <col min="524" max="765" width="9.140625" style="176"/>
    <col min="766" max="766" width="4.5703125" style="176" customWidth="1"/>
    <col min="767" max="767" width="37.28515625" style="176" customWidth="1"/>
    <col min="768" max="768" width="10.42578125" style="176" customWidth="1"/>
    <col min="769" max="769" width="13.7109375" style="176" customWidth="1"/>
    <col min="770" max="770" width="24.5703125" style="176" customWidth="1"/>
    <col min="771" max="771" width="10" style="176" customWidth="1"/>
    <col min="772" max="776" width="8.7109375" style="176" customWidth="1"/>
    <col min="777" max="777" width="15.7109375" style="176" customWidth="1"/>
    <col min="778" max="778" width="33.7109375" style="176" customWidth="1"/>
    <col min="779" max="779" width="11.140625" style="176" customWidth="1"/>
    <col min="780" max="1021" width="9.140625" style="176"/>
    <col min="1022" max="1022" width="4.5703125" style="176" customWidth="1"/>
    <col min="1023" max="1023" width="37.28515625" style="176" customWidth="1"/>
    <col min="1024" max="1024" width="10.42578125" style="176" customWidth="1"/>
    <col min="1025" max="1025" width="13.7109375" style="176" customWidth="1"/>
    <col min="1026" max="1026" width="24.5703125" style="176" customWidth="1"/>
    <col min="1027" max="1027" width="10" style="176" customWidth="1"/>
    <col min="1028" max="1032" width="8.7109375" style="176" customWidth="1"/>
    <col min="1033" max="1033" width="15.7109375" style="176" customWidth="1"/>
    <col min="1034" max="1034" width="33.7109375" style="176" customWidth="1"/>
    <col min="1035" max="1035" width="11.140625" style="176" customWidth="1"/>
    <col min="1036" max="1277" width="9.140625" style="176"/>
    <col min="1278" max="1278" width="4.5703125" style="176" customWidth="1"/>
    <col min="1279" max="1279" width="37.28515625" style="176" customWidth="1"/>
    <col min="1280" max="1280" width="10.42578125" style="176" customWidth="1"/>
    <col min="1281" max="1281" width="13.7109375" style="176" customWidth="1"/>
    <col min="1282" max="1282" width="24.5703125" style="176" customWidth="1"/>
    <col min="1283" max="1283" width="10" style="176" customWidth="1"/>
    <col min="1284" max="1288" width="8.7109375" style="176" customWidth="1"/>
    <col min="1289" max="1289" width="15.7109375" style="176" customWidth="1"/>
    <col min="1290" max="1290" width="33.7109375" style="176" customWidth="1"/>
    <col min="1291" max="1291" width="11.140625" style="176" customWidth="1"/>
    <col min="1292" max="1533" width="9.140625" style="176"/>
    <col min="1534" max="1534" width="4.5703125" style="176" customWidth="1"/>
    <col min="1535" max="1535" width="37.28515625" style="176" customWidth="1"/>
    <col min="1536" max="1536" width="10.42578125" style="176" customWidth="1"/>
    <col min="1537" max="1537" width="13.7109375" style="176" customWidth="1"/>
    <col min="1538" max="1538" width="24.5703125" style="176" customWidth="1"/>
    <col min="1539" max="1539" width="10" style="176" customWidth="1"/>
    <col min="1540" max="1544" width="8.7109375" style="176" customWidth="1"/>
    <col min="1545" max="1545" width="15.7109375" style="176" customWidth="1"/>
    <col min="1546" max="1546" width="33.7109375" style="176" customWidth="1"/>
    <col min="1547" max="1547" width="11.140625" style="176" customWidth="1"/>
    <col min="1548" max="1789" width="9.140625" style="176"/>
    <col min="1790" max="1790" width="4.5703125" style="176" customWidth="1"/>
    <col min="1791" max="1791" width="37.28515625" style="176" customWidth="1"/>
    <col min="1792" max="1792" width="10.42578125" style="176" customWidth="1"/>
    <col min="1793" max="1793" width="13.7109375" style="176" customWidth="1"/>
    <col min="1794" max="1794" width="24.5703125" style="176" customWidth="1"/>
    <col min="1795" max="1795" width="10" style="176" customWidth="1"/>
    <col min="1796" max="1800" width="8.7109375" style="176" customWidth="1"/>
    <col min="1801" max="1801" width="15.7109375" style="176" customWidth="1"/>
    <col min="1802" max="1802" width="33.7109375" style="176" customWidth="1"/>
    <col min="1803" max="1803" width="11.140625" style="176" customWidth="1"/>
    <col min="1804" max="2045" width="9.140625" style="176"/>
    <col min="2046" max="2046" width="4.5703125" style="176" customWidth="1"/>
    <col min="2047" max="2047" width="37.28515625" style="176" customWidth="1"/>
    <col min="2048" max="2048" width="10.42578125" style="176" customWidth="1"/>
    <col min="2049" max="2049" width="13.7109375" style="176" customWidth="1"/>
    <col min="2050" max="2050" width="24.5703125" style="176" customWidth="1"/>
    <col min="2051" max="2051" width="10" style="176" customWidth="1"/>
    <col min="2052" max="2056" width="8.7109375" style="176" customWidth="1"/>
    <col min="2057" max="2057" width="15.7109375" style="176" customWidth="1"/>
    <col min="2058" max="2058" width="33.7109375" style="176" customWidth="1"/>
    <col min="2059" max="2059" width="11.140625" style="176" customWidth="1"/>
    <col min="2060" max="2301" width="9.140625" style="176"/>
    <col min="2302" max="2302" width="4.5703125" style="176" customWidth="1"/>
    <col min="2303" max="2303" width="37.28515625" style="176" customWidth="1"/>
    <col min="2304" max="2304" width="10.42578125" style="176" customWidth="1"/>
    <col min="2305" max="2305" width="13.7109375" style="176" customWidth="1"/>
    <col min="2306" max="2306" width="24.5703125" style="176" customWidth="1"/>
    <col min="2307" max="2307" width="10" style="176" customWidth="1"/>
    <col min="2308" max="2312" width="8.7109375" style="176" customWidth="1"/>
    <col min="2313" max="2313" width="15.7109375" style="176" customWidth="1"/>
    <col min="2314" max="2314" width="33.7109375" style="176" customWidth="1"/>
    <col min="2315" max="2315" width="11.140625" style="176" customWidth="1"/>
    <col min="2316" max="2557" width="9.140625" style="176"/>
    <col min="2558" max="2558" width="4.5703125" style="176" customWidth="1"/>
    <col min="2559" max="2559" width="37.28515625" style="176" customWidth="1"/>
    <col min="2560" max="2560" width="10.42578125" style="176" customWidth="1"/>
    <col min="2561" max="2561" width="13.7109375" style="176" customWidth="1"/>
    <col min="2562" max="2562" width="24.5703125" style="176" customWidth="1"/>
    <col min="2563" max="2563" width="10" style="176" customWidth="1"/>
    <col min="2564" max="2568" width="8.7109375" style="176" customWidth="1"/>
    <col min="2569" max="2569" width="15.7109375" style="176" customWidth="1"/>
    <col min="2570" max="2570" width="33.7109375" style="176" customWidth="1"/>
    <col min="2571" max="2571" width="11.140625" style="176" customWidth="1"/>
    <col min="2572" max="2813" width="9.140625" style="176"/>
    <col min="2814" max="2814" width="4.5703125" style="176" customWidth="1"/>
    <col min="2815" max="2815" width="37.28515625" style="176" customWidth="1"/>
    <col min="2816" max="2816" width="10.42578125" style="176" customWidth="1"/>
    <col min="2817" max="2817" width="13.7109375" style="176" customWidth="1"/>
    <col min="2818" max="2818" width="24.5703125" style="176" customWidth="1"/>
    <col min="2819" max="2819" width="10" style="176" customWidth="1"/>
    <col min="2820" max="2824" width="8.7109375" style="176" customWidth="1"/>
    <col min="2825" max="2825" width="15.7109375" style="176" customWidth="1"/>
    <col min="2826" max="2826" width="33.7109375" style="176" customWidth="1"/>
    <col min="2827" max="2827" width="11.140625" style="176" customWidth="1"/>
    <col min="2828" max="3069" width="9.140625" style="176"/>
    <col min="3070" max="3070" width="4.5703125" style="176" customWidth="1"/>
    <col min="3071" max="3071" width="37.28515625" style="176" customWidth="1"/>
    <col min="3072" max="3072" width="10.42578125" style="176" customWidth="1"/>
    <col min="3073" max="3073" width="13.7109375" style="176" customWidth="1"/>
    <col min="3074" max="3074" width="24.5703125" style="176" customWidth="1"/>
    <col min="3075" max="3075" width="10" style="176" customWidth="1"/>
    <col min="3076" max="3080" width="8.7109375" style="176" customWidth="1"/>
    <col min="3081" max="3081" width="15.7109375" style="176" customWidth="1"/>
    <col min="3082" max="3082" width="33.7109375" style="176" customWidth="1"/>
    <col min="3083" max="3083" width="11.140625" style="176" customWidth="1"/>
    <col min="3084" max="3325" width="9.140625" style="176"/>
    <col min="3326" max="3326" width="4.5703125" style="176" customWidth="1"/>
    <col min="3327" max="3327" width="37.28515625" style="176" customWidth="1"/>
    <col min="3328" max="3328" width="10.42578125" style="176" customWidth="1"/>
    <col min="3329" max="3329" width="13.7109375" style="176" customWidth="1"/>
    <col min="3330" max="3330" width="24.5703125" style="176" customWidth="1"/>
    <col min="3331" max="3331" width="10" style="176" customWidth="1"/>
    <col min="3332" max="3336" width="8.7109375" style="176" customWidth="1"/>
    <col min="3337" max="3337" width="15.7109375" style="176" customWidth="1"/>
    <col min="3338" max="3338" width="33.7109375" style="176" customWidth="1"/>
    <col min="3339" max="3339" width="11.140625" style="176" customWidth="1"/>
    <col min="3340" max="3581" width="9.140625" style="176"/>
    <col min="3582" max="3582" width="4.5703125" style="176" customWidth="1"/>
    <col min="3583" max="3583" width="37.28515625" style="176" customWidth="1"/>
    <col min="3584" max="3584" width="10.42578125" style="176" customWidth="1"/>
    <col min="3585" max="3585" width="13.7109375" style="176" customWidth="1"/>
    <col min="3586" max="3586" width="24.5703125" style="176" customWidth="1"/>
    <col min="3587" max="3587" width="10" style="176" customWidth="1"/>
    <col min="3588" max="3592" width="8.7109375" style="176" customWidth="1"/>
    <col min="3593" max="3593" width="15.7109375" style="176" customWidth="1"/>
    <col min="3594" max="3594" width="33.7109375" style="176" customWidth="1"/>
    <col min="3595" max="3595" width="11.140625" style="176" customWidth="1"/>
    <col min="3596" max="3837" width="9.140625" style="176"/>
    <col min="3838" max="3838" width="4.5703125" style="176" customWidth="1"/>
    <col min="3839" max="3839" width="37.28515625" style="176" customWidth="1"/>
    <col min="3840" max="3840" width="10.42578125" style="176" customWidth="1"/>
    <col min="3841" max="3841" width="13.7109375" style="176" customWidth="1"/>
    <col min="3842" max="3842" width="24.5703125" style="176" customWidth="1"/>
    <col min="3843" max="3843" width="10" style="176" customWidth="1"/>
    <col min="3844" max="3848" width="8.7109375" style="176" customWidth="1"/>
    <col min="3849" max="3849" width="15.7109375" style="176" customWidth="1"/>
    <col min="3850" max="3850" width="33.7109375" style="176" customWidth="1"/>
    <col min="3851" max="3851" width="11.140625" style="176" customWidth="1"/>
    <col min="3852" max="4093" width="9.140625" style="176"/>
    <col min="4094" max="4094" width="4.5703125" style="176" customWidth="1"/>
    <col min="4095" max="4095" width="37.28515625" style="176" customWidth="1"/>
    <col min="4096" max="4096" width="10.42578125" style="176" customWidth="1"/>
    <col min="4097" max="4097" width="13.7109375" style="176" customWidth="1"/>
    <col min="4098" max="4098" width="24.5703125" style="176" customWidth="1"/>
    <col min="4099" max="4099" width="10" style="176" customWidth="1"/>
    <col min="4100" max="4104" width="8.7109375" style="176" customWidth="1"/>
    <col min="4105" max="4105" width="15.7109375" style="176" customWidth="1"/>
    <col min="4106" max="4106" width="33.7109375" style="176" customWidth="1"/>
    <col min="4107" max="4107" width="11.140625" style="176" customWidth="1"/>
    <col min="4108" max="4349" width="9.140625" style="176"/>
    <col min="4350" max="4350" width="4.5703125" style="176" customWidth="1"/>
    <col min="4351" max="4351" width="37.28515625" style="176" customWidth="1"/>
    <col min="4352" max="4352" width="10.42578125" style="176" customWidth="1"/>
    <col min="4353" max="4353" width="13.7109375" style="176" customWidth="1"/>
    <col min="4354" max="4354" width="24.5703125" style="176" customWidth="1"/>
    <col min="4355" max="4355" width="10" style="176" customWidth="1"/>
    <col min="4356" max="4360" width="8.7109375" style="176" customWidth="1"/>
    <col min="4361" max="4361" width="15.7109375" style="176" customWidth="1"/>
    <col min="4362" max="4362" width="33.7109375" style="176" customWidth="1"/>
    <col min="4363" max="4363" width="11.140625" style="176" customWidth="1"/>
    <col min="4364" max="4605" width="9.140625" style="176"/>
    <col min="4606" max="4606" width="4.5703125" style="176" customWidth="1"/>
    <col min="4607" max="4607" width="37.28515625" style="176" customWidth="1"/>
    <col min="4608" max="4608" width="10.42578125" style="176" customWidth="1"/>
    <col min="4609" max="4609" width="13.7109375" style="176" customWidth="1"/>
    <col min="4610" max="4610" width="24.5703125" style="176" customWidth="1"/>
    <col min="4611" max="4611" width="10" style="176" customWidth="1"/>
    <col min="4612" max="4616" width="8.7109375" style="176" customWidth="1"/>
    <col min="4617" max="4617" width="15.7109375" style="176" customWidth="1"/>
    <col min="4618" max="4618" width="33.7109375" style="176" customWidth="1"/>
    <col min="4619" max="4619" width="11.140625" style="176" customWidth="1"/>
    <col min="4620" max="4861" width="9.140625" style="176"/>
    <col min="4862" max="4862" width="4.5703125" style="176" customWidth="1"/>
    <col min="4863" max="4863" width="37.28515625" style="176" customWidth="1"/>
    <col min="4864" max="4864" width="10.42578125" style="176" customWidth="1"/>
    <col min="4865" max="4865" width="13.7109375" style="176" customWidth="1"/>
    <col min="4866" max="4866" width="24.5703125" style="176" customWidth="1"/>
    <col min="4867" max="4867" width="10" style="176" customWidth="1"/>
    <col min="4868" max="4872" width="8.7109375" style="176" customWidth="1"/>
    <col min="4873" max="4873" width="15.7109375" style="176" customWidth="1"/>
    <col min="4874" max="4874" width="33.7109375" style="176" customWidth="1"/>
    <col min="4875" max="4875" width="11.140625" style="176" customWidth="1"/>
    <col min="4876" max="5117" width="9.140625" style="176"/>
    <col min="5118" max="5118" width="4.5703125" style="176" customWidth="1"/>
    <col min="5119" max="5119" width="37.28515625" style="176" customWidth="1"/>
    <col min="5120" max="5120" width="10.42578125" style="176" customWidth="1"/>
    <col min="5121" max="5121" width="13.7109375" style="176" customWidth="1"/>
    <col min="5122" max="5122" width="24.5703125" style="176" customWidth="1"/>
    <col min="5123" max="5123" width="10" style="176" customWidth="1"/>
    <col min="5124" max="5128" width="8.7109375" style="176" customWidth="1"/>
    <col min="5129" max="5129" width="15.7109375" style="176" customWidth="1"/>
    <col min="5130" max="5130" width="33.7109375" style="176" customWidth="1"/>
    <col min="5131" max="5131" width="11.140625" style="176" customWidth="1"/>
    <col min="5132" max="5373" width="9.140625" style="176"/>
    <col min="5374" max="5374" width="4.5703125" style="176" customWidth="1"/>
    <col min="5375" max="5375" width="37.28515625" style="176" customWidth="1"/>
    <col min="5376" max="5376" width="10.42578125" style="176" customWidth="1"/>
    <col min="5377" max="5377" width="13.7109375" style="176" customWidth="1"/>
    <col min="5378" max="5378" width="24.5703125" style="176" customWidth="1"/>
    <col min="5379" max="5379" width="10" style="176" customWidth="1"/>
    <col min="5380" max="5384" width="8.7109375" style="176" customWidth="1"/>
    <col min="5385" max="5385" width="15.7109375" style="176" customWidth="1"/>
    <col min="5386" max="5386" width="33.7109375" style="176" customWidth="1"/>
    <col min="5387" max="5387" width="11.140625" style="176" customWidth="1"/>
    <col min="5388" max="5629" width="9.140625" style="176"/>
    <col min="5630" max="5630" width="4.5703125" style="176" customWidth="1"/>
    <col min="5631" max="5631" width="37.28515625" style="176" customWidth="1"/>
    <col min="5632" max="5632" width="10.42578125" style="176" customWidth="1"/>
    <col min="5633" max="5633" width="13.7109375" style="176" customWidth="1"/>
    <col min="5634" max="5634" width="24.5703125" style="176" customWidth="1"/>
    <col min="5635" max="5635" width="10" style="176" customWidth="1"/>
    <col min="5636" max="5640" width="8.7109375" style="176" customWidth="1"/>
    <col min="5641" max="5641" width="15.7109375" style="176" customWidth="1"/>
    <col min="5642" max="5642" width="33.7109375" style="176" customWidth="1"/>
    <col min="5643" max="5643" width="11.140625" style="176" customWidth="1"/>
    <col min="5644" max="5885" width="9.140625" style="176"/>
    <col min="5886" max="5886" width="4.5703125" style="176" customWidth="1"/>
    <col min="5887" max="5887" width="37.28515625" style="176" customWidth="1"/>
    <col min="5888" max="5888" width="10.42578125" style="176" customWidth="1"/>
    <col min="5889" max="5889" width="13.7109375" style="176" customWidth="1"/>
    <col min="5890" max="5890" width="24.5703125" style="176" customWidth="1"/>
    <col min="5891" max="5891" width="10" style="176" customWidth="1"/>
    <col min="5892" max="5896" width="8.7109375" style="176" customWidth="1"/>
    <col min="5897" max="5897" width="15.7109375" style="176" customWidth="1"/>
    <col min="5898" max="5898" width="33.7109375" style="176" customWidth="1"/>
    <col min="5899" max="5899" width="11.140625" style="176" customWidth="1"/>
    <col min="5900" max="6141" width="9.140625" style="176"/>
    <col min="6142" max="6142" width="4.5703125" style="176" customWidth="1"/>
    <col min="6143" max="6143" width="37.28515625" style="176" customWidth="1"/>
    <col min="6144" max="6144" width="10.42578125" style="176" customWidth="1"/>
    <col min="6145" max="6145" width="13.7109375" style="176" customWidth="1"/>
    <col min="6146" max="6146" width="24.5703125" style="176" customWidth="1"/>
    <col min="6147" max="6147" width="10" style="176" customWidth="1"/>
    <col min="6148" max="6152" width="8.7109375" style="176" customWidth="1"/>
    <col min="6153" max="6153" width="15.7109375" style="176" customWidth="1"/>
    <col min="6154" max="6154" width="33.7109375" style="176" customWidth="1"/>
    <col min="6155" max="6155" width="11.140625" style="176" customWidth="1"/>
    <col min="6156" max="6397" width="9.140625" style="176"/>
    <col min="6398" max="6398" width="4.5703125" style="176" customWidth="1"/>
    <col min="6399" max="6399" width="37.28515625" style="176" customWidth="1"/>
    <col min="6400" max="6400" width="10.42578125" style="176" customWidth="1"/>
    <col min="6401" max="6401" width="13.7109375" style="176" customWidth="1"/>
    <col min="6402" max="6402" width="24.5703125" style="176" customWidth="1"/>
    <col min="6403" max="6403" width="10" style="176" customWidth="1"/>
    <col min="6404" max="6408" width="8.7109375" style="176" customWidth="1"/>
    <col min="6409" max="6409" width="15.7109375" style="176" customWidth="1"/>
    <col min="6410" max="6410" width="33.7109375" style="176" customWidth="1"/>
    <col min="6411" max="6411" width="11.140625" style="176" customWidth="1"/>
    <col min="6412" max="6653" width="9.140625" style="176"/>
    <col min="6654" max="6654" width="4.5703125" style="176" customWidth="1"/>
    <col min="6655" max="6655" width="37.28515625" style="176" customWidth="1"/>
    <col min="6656" max="6656" width="10.42578125" style="176" customWidth="1"/>
    <col min="6657" max="6657" width="13.7109375" style="176" customWidth="1"/>
    <col min="6658" max="6658" width="24.5703125" style="176" customWidth="1"/>
    <col min="6659" max="6659" width="10" style="176" customWidth="1"/>
    <col min="6660" max="6664" width="8.7109375" style="176" customWidth="1"/>
    <col min="6665" max="6665" width="15.7109375" style="176" customWidth="1"/>
    <col min="6666" max="6666" width="33.7109375" style="176" customWidth="1"/>
    <col min="6667" max="6667" width="11.140625" style="176" customWidth="1"/>
    <col min="6668" max="6909" width="9.140625" style="176"/>
    <col min="6910" max="6910" width="4.5703125" style="176" customWidth="1"/>
    <col min="6911" max="6911" width="37.28515625" style="176" customWidth="1"/>
    <col min="6912" max="6912" width="10.42578125" style="176" customWidth="1"/>
    <col min="6913" max="6913" width="13.7109375" style="176" customWidth="1"/>
    <col min="6914" max="6914" width="24.5703125" style="176" customWidth="1"/>
    <col min="6915" max="6915" width="10" style="176" customWidth="1"/>
    <col min="6916" max="6920" width="8.7109375" style="176" customWidth="1"/>
    <col min="6921" max="6921" width="15.7109375" style="176" customWidth="1"/>
    <col min="6922" max="6922" width="33.7109375" style="176" customWidth="1"/>
    <col min="6923" max="6923" width="11.140625" style="176" customWidth="1"/>
    <col min="6924" max="7165" width="9.140625" style="176"/>
    <col min="7166" max="7166" width="4.5703125" style="176" customWidth="1"/>
    <col min="7167" max="7167" width="37.28515625" style="176" customWidth="1"/>
    <col min="7168" max="7168" width="10.42578125" style="176" customWidth="1"/>
    <col min="7169" max="7169" width="13.7109375" style="176" customWidth="1"/>
    <col min="7170" max="7170" width="24.5703125" style="176" customWidth="1"/>
    <col min="7171" max="7171" width="10" style="176" customWidth="1"/>
    <col min="7172" max="7176" width="8.7109375" style="176" customWidth="1"/>
    <col min="7177" max="7177" width="15.7109375" style="176" customWidth="1"/>
    <col min="7178" max="7178" width="33.7109375" style="176" customWidth="1"/>
    <col min="7179" max="7179" width="11.140625" style="176" customWidth="1"/>
    <col min="7180" max="7421" width="9.140625" style="176"/>
    <col min="7422" max="7422" width="4.5703125" style="176" customWidth="1"/>
    <col min="7423" max="7423" width="37.28515625" style="176" customWidth="1"/>
    <col min="7424" max="7424" width="10.42578125" style="176" customWidth="1"/>
    <col min="7425" max="7425" width="13.7109375" style="176" customWidth="1"/>
    <col min="7426" max="7426" width="24.5703125" style="176" customWidth="1"/>
    <col min="7427" max="7427" width="10" style="176" customWidth="1"/>
    <col min="7428" max="7432" width="8.7109375" style="176" customWidth="1"/>
    <col min="7433" max="7433" width="15.7109375" style="176" customWidth="1"/>
    <col min="7434" max="7434" width="33.7109375" style="176" customWidth="1"/>
    <col min="7435" max="7435" width="11.140625" style="176" customWidth="1"/>
    <col min="7436" max="7677" width="9.140625" style="176"/>
    <col min="7678" max="7678" width="4.5703125" style="176" customWidth="1"/>
    <col min="7679" max="7679" width="37.28515625" style="176" customWidth="1"/>
    <col min="7680" max="7680" width="10.42578125" style="176" customWidth="1"/>
    <col min="7681" max="7681" width="13.7109375" style="176" customWidth="1"/>
    <col min="7682" max="7682" width="24.5703125" style="176" customWidth="1"/>
    <col min="7683" max="7683" width="10" style="176" customWidth="1"/>
    <col min="7684" max="7688" width="8.7109375" style="176" customWidth="1"/>
    <col min="7689" max="7689" width="15.7109375" style="176" customWidth="1"/>
    <col min="7690" max="7690" width="33.7109375" style="176" customWidth="1"/>
    <col min="7691" max="7691" width="11.140625" style="176" customWidth="1"/>
    <col min="7692" max="7933" width="9.140625" style="176"/>
    <col min="7934" max="7934" width="4.5703125" style="176" customWidth="1"/>
    <col min="7935" max="7935" width="37.28515625" style="176" customWidth="1"/>
    <col min="7936" max="7936" width="10.42578125" style="176" customWidth="1"/>
    <col min="7937" max="7937" width="13.7109375" style="176" customWidth="1"/>
    <col min="7938" max="7938" width="24.5703125" style="176" customWidth="1"/>
    <col min="7939" max="7939" width="10" style="176" customWidth="1"/>
    <col min="7940" max="7944" width="8.7109375" style="176" customWidth="1"/>
    <col min="7945" max="7945" width="15.7109375" style="176" customWidth="1"/>
    <col min="7946" max="7946" width="33.7109375" style="176" customWidth="1"/>
    <col min="7947" max="7947" width="11.140625" style="176" customWidth="1"/>
    <col min="7948" max="8189" width="9.140625" style="176"/>
    <col min="8190" max="8190" width="4.5703125" style="176" customWidth="1"/>
    <col min="8191" max="8191" width="37.28515625" style="176" customWidth="1"/>
    <col min="8192" max="8192" width="10.42578125" style="176" customWidth="1"/>
    <col min="8193" max="8193" width="13.7109375" style="176" customWidth="1"/>
    <col min="8194" max="8194" width="24.5703125" style="176" customWidth="1"/>
    <col min="8195" max="8195" width="10" style="176" customWidth="1"/>
    <col min="8196" max="8200" width="8.7109375" style="176" customWidth="1"/>
    <col min="8201" max="8201" width="15.7109375" style="176" customWidth="1"/>
    <col min="8202" max="8202" width="33.7109375" style="176" customWidth="1"/>
    <col min="8203" max="8203" width="11.140625" style="176" customWidth="1"/>
    <col min="8204" max="8445" width="9.140625" style="176"/>
    <col min="8446" max="8446" width="4.5703125" style="176" customWidth="1"/>
    <col min="8447" max="8447" width="37.28515625" style="176" customWidth="1"/>
    <col min="8448" max="8448" width="10.42578125" style="176" customWidth="1"/>
    <col min="8449" max="8449" width="13.7109375" style="176" customWidth="1"/>
    <col min="8450" max="8450" width="24.5703125" style="176" customWidth="1"/>
    <col min="8451" max="8451" width="10" style="176" customWidth="1"/>
    <col min="8452" max="8456" width="8.7109375" style="176" customWidth="1"/>
    <col min="8457" max="8457" width="15.7109375" style="176" customWidth="1"/>
    <col min="8458" max="8458" width="33.7109375" style="176" customWidth="1"/>
    <col min="8459" max="8459" width="11.140625" style="176" customWidth="1"/>
    <col min="8460" max="8701" width="9.140625" style="176"/>
    <col min="8702" max="8702" width="4.5703125" style="176" customWidth="1"/>
    <col min="8703" max="8703" width="37.28515625" style="176" customWidth="1"/>
    <col min="8704" max="8704" width="10.42578125" style="176" customWidth="1"/>
    <col min="8705" max="8705" width="13.7109375" style="176" customWidth="1"/>
    <col min="8706" max="8706" width="24.5703125" style="176" customWidth="1"/>
    <col min="8707" max="8707" width="10" style="176" customWidth="1"/>
    <col min="8708" max="8712" width="8.7109375" style="176" customWidth="1"/>
    <col min="8713" max="8713" width="15.7109375" style="176" customWidth="1"/>
    <col min="8714" max="8714" width="33.7109375" style="176" customWidth="1"/>
    <col min="8715" max="8715" width="11.140625" style="176" customWidth="1"/>
    <col min="8716" max="8957" width="9.140625" style="176"/>
    <col min="8958" max="8958" width="4.5703125" style="176" customWidth="1"/>
    <col min="8959" max="8959" width="37.28515625" style="176" customWidth="1"/>
    <col min="8960" max="8960" width="10.42578125" style="176" customWidth="1"/>
    <col min="8961" max="8961" width="13.7109375" style="176" customWidth="1"/>
    <col min="8962" max="8962" width="24.5703125" style="176" customWidth="1"/>
    <col min="8963" max="8963" width="10" style="176" customWidth="1"/>
    <col min="8964" max="8968" width="8.7109375" style="176" customWidth="1"/>
    <col min="8969" max="8969" width="15.7109375" style="176" customWidth="1"/>
    <col min="8970" max="8970" width="33.7109375" style="176" customWidth="1"/>
    <col min="8971" max="8971" width="11.140625" style="176" customWidth="1"/>
    <col min="8972" max="9213" width="9.140625" style="176"/>
    <col min="9214" max="9214" width="4.5703125" style="176" customWidth="1"/>
    <col min="9215" max="9215" width="37.28515625" style="176" customWidth="1"/>
    <col min="9216" max="9216" width="10.42578125" style="176" customWidth="1"/>
    <col min="9217" max="9217" width="13.7109375" style="176" customWidth="1"/>
    <col min="9218" max="9218" width="24.5703125" style="176" customWidth="1"/>
    <col min="9219" max="9219" width="10" style="176" customWidth="1"/>
    <col min="9220" max="9224" width="8.7109375" style="176" customWidth="1"/>
    <col min="9225" max="9225" width="15.7109375" style="176" customWidth="1"/>
    <col min="9226" max="9226" width="33.7109375" style="176" customWidth="1"/>
    <col min="9227" max="9227" width="11.140625" style="176" customWidth="1"/>
    <col min="9228" max="9469" width="9.140625" style="176"/>
    <col min="9470" max="9470" width="4.5703125" style="176" customWidth="1"/>
    <col min="9471" max="9471" width="37.28515625" style="176" customWidth="1"/>
    <col min="9472" max="9472" width="10.42578125" style="176" customWidth="1"/>
    <col min="9473" max="9473" width="13.7109375" style="176" customWidth="1"/>
    <col min="9474" max="9474" width="24.5703125" style="176" customWidth="1"/>
    <col min="9475" max="9475" width="10" style="176" customWidth="1"/>
    <col min="9476" max="9480" width="8.7109375" style="176" customWidth="1"/>
    <col min="9481" max="9481" width="15.7109375" style="176" customWidth="1"/>
    <col min="9482" max="9482" width="33.7109375" style="176" customWidth="1"/>
    <col min="9483" max="9483" width="11.140625" style="176" customWidth="1"/>
    <col min="9484" max="9725" width="9.140625" style="176"/>
    <col min="9726" max="9726" width="4.5703125" style="176" customWidth="1"/>
    <col min="9727" max="9727" width="37.28515625" style="176" customWidth="1"/>
    <col min="9728" max="9728" width="10.42578125" style="176" customWidth="1"/>
    <col min="9729" max="9729" width="13.7109375" style="176" customWidth="1"/>
    <col min="9730" max="9730" width="24.5703125" style="176" customWidth="1"/>
    <col min="9731" max="9731" width="10" style="176" customWidth="1"/>
    <col min="9732" max="9736" width="8.7109375" style="176" customWidth="1"/>
    <col min="9737" max="9737" width="15.7109375" style="176" customWidth="1"/>
    <col min="9738" max="9738" width="33.7109375" style="176" customWidth="1"/>
    <col min="9739" max="9739" width="11.140625" style="176" customWidth="1"/>
    <col min="9740" max="9981" width="9.140625" style="176"/>
    <col min="9982" max="9982" width="4.5703125" style="176" customWidth="1"/>
    <col min="9983" max="9983" width="37.28515625" style="176" customWidth="1"/>
    <col min="9984" max="9984" width="10.42578125" style="176" customWidth="1"/>
    <col min="9985" max="9985" width="13.7109375" style="176" customWidth="1"/>
    <col min="9986" max="9986" width="24.5703125" style="176" customWidth="1"/>
    <col min="9987" max="9987" width="10" style="176" customWidth="1"/>
    <col min="9988" max="9992" width="8.7109375" style="176" customWidth="1"/>
    <col min="9993" max="9993" width="15.7109375" style="176" customWidth="1"/>
    <col min="9994" max="9994" width="33.7109375" style="176" customWidth="1"/>
    <col min="9995" max="9995" width="11.140625" style="176" customWidth="1"/>
    <col min="9996" max="10237" width="9.140625" style="176"/>
    <col min="10238" max="10238" width="4.5703125" style="176" customWidth="1"/>
    <col min="10239" max="10239" width="37.28515625" style="176" customWidth="1"/>
    <col min="10240" max="10240" width="10.42578125" style="176" customWidth="1"/>
    <col min="10241" max="10241" width="13.7109375" style="176" customWidth="1"/>
    <col min="10242" max="10242" width="24.5703125" style="176" customWidth="1"/>
    <col min="10243" max="10243" width="10" style="176" customWidth="1"/>
    <col min="10244" max="10248" width="8.7109375" style="176" customWidth="1"/>
    <col min="10249" max="10249" width="15.7109375" style="176" customWidth="1"/>
    <col min="10250" max="10250" width="33.7109375" style="176" customWidth="1"/>
    <col min="10251" max="10251" width="11.140625" style="176" customWidth="1"/>
    <col min="10252" max="10493" width="9.140625" style="176"/>
    <col min="10494" max="10494" width="4.5703125" style="176" customWidth="1"/>
    <col min="10495" max="10495" width="37.28515625" style="176" customWidth="1"/>
    <col min="10496" max="10496" width="10.42578125" style="176" customWidth="1"/>
    <col min="10497" max="10497" width="13.7109375" style="176" customWidth="1"/>
    <col min="10498" max="10498" width="24.5703125" style="176" customWidth="1"/>
    <col min="10499" max="10499" width="10" style="176" customWidth="1"/>
    <col min="10500" max="10504" width="8.7109375" style="176" customWidth="1"/>
    <col min="10505" max="10505" width="15.7109375" style="176" customWidth="1"/>
    <col min="10506" max="10506" width="33.7109375" style="176" customWidth="1"/>
    <col min="10507" max="10507" width="11.140625" style="176" customWidth="1"/>
    <col min="10508" max="10749" width="9.140625" style="176"/>
    <col min="10750" max="10750" width="4.5703125" style="176" customWidth="1"/>
    <col min="10751" max="10751" width="37.28515625" style="176" customWidth="1"/>
    <col min="10752" max="10752" width="10.42578125" style="176" customWidth="1"/>
    <col min="10753" max="10753" width="13.7109375" style="176" customWidth="1"/>
    <col min="10754" max="10754" width="24.5703125" style="176" customWidth="1"/>
    <col min="10755" max="10755" width="10" style="176" customWidth="1"/>
    <col min="10756" max="10760" width="8.7109375" style="176" customWidth="1"/>
    <col min="10761" max="10761" width="15.7109375" style="176" customWidth="1"/>
    <col min="10762" max="10762" width="33.7109375" style="176" customWidth="1"/>
    <col min="10763" max="10763" width="11.140625" style="176" customWidth="1"/>
    <col min="10764" max="11005" width="9.140625" style="176"/>
    <col min="11006" max="11006" width="4.5703125" style="176" customWidth="1"/>
    <col min="11007" max="11007" width="37.28515625" style="176" customWidth="1"/>
    <col min="11008" max="11008" width="10.42578125" style="176" customWidth="1"/>
    <col min="11009" max="11009" width="13.7109375" style="176" customWidth="1"/>
    <col min="11010" max="11010" width="24.5703125" style="176" customWidth="1"/>
    <col min="11011" max="11011" width="10" style="176" customWidth="1"/>
    <col min="11012" max="11016" width="8.7109375" style="176" customWidth="1"/>
    <col min="11017" max="11017" width="15.7109375" style="176" customWidth="1"/>
    <col min="11018" max="11018" width="33.7109375" style="176" customWidth="1"/>
    <col min="11019" max="11019" width="11.140625" style="176" customWidth="1"/>
    <col min="11020" max="11261" width="9.140625" style="176"/>
    <col min="11262" max="11262" width="4.5703125" style="176" customWidth="1"/>
    <col min="11263" max="11263" width="37.28515625" style="176" customWidth="1"/>
    <col min="11264" max="11264" width="10.42578125" style="176" customWidth="1"/>
    <col min="11265" max="11265" width="13.7109375" style="176" customWidth="1"/>
    <col min="11266" max="11266" width="24.5703125" style="176" customWidth="1"/>
    <col min="11267" max="11267" width="10" style="176" customWidth="1"/>
    <col min="11268" max="11272" width="8.7109375" style="176" customWidth="1"/>
    <col min="11273" max="11273" width="15.7109375" style="176" customWidth="1"/>
    <col min="11274" max="11274" width="33.7109375" style="176" customWidth="1"/>
    <col min="11275" max="11275" width="11.140625" style="176" customWidth="1"/>
    <col min="11276" max="11517" width="9.140625" style="176"/>
    <col min="11518" max="11518" width="4.5703125" style="176" customWidth="1"/>
    <col min="11519" max="11519" width="37.28515625" style="176" customWidth="1"/>
    <col min="11520" max="11520" width="10.42578125" style="176" customWidth="1"/>
    <col min="11521" max="11521" width="13.7109375" style="176" customWidth="1"/>
    <col min="11522" max="11522" width="24.5703125" style="176" customWidth="1"/>
    <col min="11523" max="11523" width="10" style="176" customWidth="1"/>
    <col min="11524" max="11528" width="8.7109375" style="176" customWidth="1"/>
    <col min="11529" max="11529" width="15.7109375" style="176" customWidth="1"/>
    <col min="11530" max="11530" width="33.7109375" style="176" customWidth="1"/>
    <col min="11531" max="11531" width="11.140625" style="176" customWidth="1"/>
    <col min="11532" max="11773" width="9.140625" style="176"/>
    <col min="11774" max="11774" width="4.5703125" style="176" customWidth="1"/>
    <col min="11775" max="11775" width="37.28515625" style="176" customWidth="1"/>
    <col min="11776" max="11776" width="10.42578125" style="176" customWidth="1"/>
    <col min="11777" max="11777" width="13.7109375" style="176" customWidth="1"/>
    <col min="11778" max="11778" width="24.5703125" style="176" customWidth="1"/>
    <col min="11779" max="11779" width="10" style="176" customWidth="1"/>
    <col min="11780" max="11784" width="8.7109375" style="176" customWidth="1"/>
    <col min="11785" max="11785" width="15.7109375" style="176" customWidth="1"/>
    <col min="11786" max="11786" width="33.7109375" style="176" customWidth="1"/>
    <col min="11787" max="11787" width="11.140625" style="176" customWidth="1"/>
    <col min="11788" max="12029" width="9.140625" style="176"/>
    <col min="12030" max="12030" width="4.5703125" style="176" customWidth="1"/>
    <col min="12031" max="12031" width="37.28515625" style="176" customWidth="1"/>
    <col min="12032" max="12032" width="10.42578125" style="176" customWidth="1"/>
    <col min="12033" max="12033" width="13.7109375" style="176" customWidth="1"/>
    <col min="12034" max="12034" width="24.5703125" style="176" customWidth="1"/>
    <col min="12035" max="12035" width="10" style="176" customWidth="1"/>
    <col min="12036" max="12040" width="8.7109375" style="176" customWidth="1"/>
    <col min="12041" max="12041" width="15.7109375" style="176" customWidth="1"/>
    <col min="12042" max="12042" width="33.7109375" style="176" customWidth="1"/>
    <col min="12043" max="12043" width="11.140625" style="176" customWidth="1"/>
    <col min="12044" max="12285" width="9.140625" style="176"/>
    <col min="12286" max="12286" width="4.5703125" style="176" customWidth="1"/>
    <col min="12287" max="12287" width="37.28515625" style="176" customWidth="1"/>
    <col min="12288" max="12288" width="10.42578125" style="176" customWidth="1"/>
    <col min="12289" max="12289" width="13.7109375" style="176" customWidth="1"/>
    <col min="12290" max="12290" width="24.5703125" style="176" customWidth="1"/>
    <col min="12291" max="12291" width="10" style="176" customWidth="1"/>
    <col min="12292" max="12296" width="8.7109375" style="176" customWidth="1"/>
    <col min="12297" max="12297" width="15.7109375" style="176" customWidth="1"/>
    <col min="12298" max="12298" width="33.7109375" style="176" customWidth="1"/>
    <col min="12299" max="12299" width="11.140625" style="176" customWidth="1"/>
    <col min="12300" max="12541" width="9.140625" style="176"/>
    <col min="12542" max="12542" width="4.5703125" style="176" customWidth="1"/>
    <col min="12543" max="12543" width="37.28515625" style="176" customWidth="1"/>
    <col min="12544" max="12544" width="10.42578125" style="176" customWidth="1"/>
    <col min="12545" max="12545" width="13.7109375" style="176" customWidth="1"/>
    <col min="12546" max="12546" width="24.5703125" style="176" customWidth="1"/>
    <col min="12547" max="12547" width="10" style="176" customWidth="1"/>
    <col min="12548" max="12552" width="8.7109375" style="176" customWidth="1"/>
    <col min="12553" max="12553" width="15.7109375" style="176" customWidth="1"/>
    <col min="12554" max="12554" width="33.7109375" style="176" customWidth="1"/>
    <col min="12555" max="12555" width="11.140625" style="176" customWidth="1"/>
    <col min="12556" max="12797" width="9.140625" style="176"/>
    <col min="12798" max="12798" width="4.5703125" style="176" customWidth="1"/>
    <col min="12799" max="12799" width="37.28515625" style="176" customWidth="1"/>
    <col min="12800" max="12800" width="10.42578125" style="176" customWidth="1"/>
    <col min="12801" max="12801" width="13.7109375" style="176" customWidth="1"/>
    <col min="12802" max="12802" width="24.5703125" style="176" customWidth="1"/>
    <col min="12803" max="12803" width="10" style="176" customWidth="1"/>
    <col min="12804" max="12808" width="8.7109375" style="176" customWidth="1"/>
    <col min="12809" max="12809" width="15.7109375" style="176" customWidth="1"/>
    <col min="12810" max="12810" width="33.7109375" style="176" customWidth="1"/>
    <col min="12811" max="12811" width="11.140625" style="176" customWidth="1"/>
    <col min="12812" max="13053" width="9.140625" style="176"/>
    <col min="13054" max="13054" width="4.5703125" style="176" customWidth="1"/>
    <col min="13055" max="13055" width="37.28515625" style="176" customWidth="1"/>
    <col min="13056" max="13056" width="10.42578125" style="176" customWidth="1"/>
    <col min="13057" max="13057" width="13.7109375" style="176" customWidth="1"/>
    <col min="13058" max="13058" width="24.5703125" style="176" customWidth="1"/>
    <col min="13059" max="13059" width="10" style="176" customWidth="1"/>
    <col min="13060" max="13064" width="8.7109375" style="176" customWidth="1"/>
    <col min="13065" max="13065" width="15.7109375" style="176" customWidth="1"/>
    <col min="13066" max="13066" width="33.7109375" style="176" customWidth="1"/>
    <col min="13067" max="13067" width="11.140625" style="176" customWidth="1"/>
    <col min="13068" max="13309" width="9.140625" style="176"/>
    <col min="13310" max="13310" width="4.5703125" style="176" customWidth="1"/>
    <col min="13311" max="13311" width="37.28515625" style="176" customWidth="1"/>
    <col min="13312" max="13312" width="10.42578125" style="176" customWidth="1"/>
    <col min="13313" max="13313" width="13.7109375" style="176" customWidth="1"/>
    <col min="13314" max="13314" width="24.5703125" style="176" customWidth="1"/>
    <col min="13315" max="13315" width="10" style="176" customWidth="1"/>
    <col min="13316" max="13320" width="8.7109375" style="176" customWidth="1"/>
    <col min="13321" max="13321" width="15.7109375" style="176" customWidth="1"/>
    <col min="13322" max="13322" width="33.7109375" style="176" customWidth="1"/>
    <col min="13323" max="13323" width="11.140625" style="176" customWidth="1"/>
    <col min="13324" max="13565" width="9.140625" style="176"/>
    <col min="13566" max="13566" width="4.5703125" style="176" customWidth="1"/>
    <col min="13567" max="13567" width="37.28515625" style="176" customWidth="1"/>
    <col min="13568" max="13568" width="10.42578125" style="176" customWidth="1"/>
    <col min="13569" max="13569" width="13.7109375" style="176" customWidth="1"/>
    <col min="13570" max="13570" width="24.5703125" style="176" customWidth="1"/>
    <col min="13571" max="13571" width="10" style="176" customWidth="1"/>
    <col min="13572" max="13576" width="8.7109375" style="176" customWidth="1"/>
    <col min="13577" max="13577" width="15.7109375" style="176" customWidth="1"/>
    <col min="13578" max="13578" width="33.7109375" style="176" customWidth="1"/>
    <col min="13579" max="13579" width="11.140625" style="176" customWidth="1"/>
    <col min="13580" max="13821" width="9.140625" style="176"/>
    <col min="13822" max="13822" width="4.5703125" style="176" customWidth="1"/>
    <col min="13823" max="13823" width="37.28515625" style="176" customWidth="1"/>
    <col min="13824" max="13824" width="10.42578125" style="176" customWidth="1"/>
    <col min="13825" max="13825" width="13.7109375" style="176" customWidth="1"/>
    <col min="13826" max="13826" width="24.5703125" style="176" customWidth="1"/>
    <col min="13827" max="13827" width="10" style="176" customWidth="1"/>
    <col min="13828" max="13832" width="8.7109375" style="176" customWidth="1"/>
    <col min="13833" max="13833" width="15.7109375" style="176" customWidth="1"/>
    <col min="13834" max="13834" width="33.7109375" style="176" customWidth="1"/>
    <col min="13835" max="13835" width="11.140625" style="176" customWidth="1"/>
    <col min="13836" max="14077" width="9.140625" style="176"/>
    <col min="14078" max="14078" width="4.5703125" style="176" customWidth="1"/>
    <col min="14079" max="14079" width="37.28515625" style="176" customWidth="1"/>
    <col min="14080" max="14080" width="10.42578125" style="176" customWidth="1"/>
    <col min="14081" max="14081" width="13.7109375" style="176" customWidth="1"/>
    <col min="14082" max="14082" width="24.5703125" style="176" customWidth="1"/>
    <col min="14083" max="14083" width="10" style="176" customWidth="1"/>
    <col min="14084" max="14088" width="8.7109375" style="176" customWidth="1"/>
    <col min="14089" max="14089" width="15.7109375" style="176" customWidth="1"/>
    <col min="14090" max="14090" width="33.7109375" style="176" customWidth="1"/>
    <col min="14091" max="14091" width="11.140625" style="176" customWidth="1"/>
    <col min="14092" max="14333" width="9.140625" style="176"/>
    <col min="14334" max="14334" width="4.5703125" style="176" customWidth="1"/>
    <col min="14335" max="14335" width="37.28515625" style="176" customWidth="1"/>
    <col min="14336" max="14336" width="10.42578125" style="176" customWidth="1"/>
    <col min="14337" max="14337" width="13.7109375" style="176" customWidth="1"/>
    <col min="14338" max="14338" width="24.5703125" style="176" customWidth="1"/>
    <col min="14339" max="14339" width="10" style="176" customWidth="1"/>
    <col min="14340" max="14344" width="8.7109375" style="176" customWidth="1"/>
    <col min="14345" max="14345" width="15.7109375" style="176" customWidth="1"/>
    <col min="14346" max="14346" width="33.7109375" style="176" customWidth="1"/>
    <col min="14347" max="14347" width="11.140625" style="176" customWidth="1"/>
    <col min="14348" max="14589" width="9.140625" style="176"/>
    <col min="14590" max="14590" width="4.5703125" style="176" customWidth="1"/>
    <col min="14591" max="14591" width="37.28515625" style="176" customWidth="1"/>
    <col min="14592" max="14592" width="10.42578125" style="176" customWidth="1"/>
    <col min="14593" max="14593" width="13.7109375" style="176" customWidth="1"/>
    <col min="14594" max="14594" width="24.5703125" style="176" customWidth="1"/>
    <col min="14595" max="14595" width="10" style="176" customWidth="1"/>
    <col min="14596" max="14600" width="8.7109375" style="176" customWidth="1"/>
    <col min="14601" max="14601" width="15.7109375" style="176" customWidth="1"/>
    <col min="14602" max="14602" width="33.7109375" style="176" customWidth="1"/>
    <col min="14603" max="14603" width="11.140625" style="176" customWidth="1"/>
    <col min="14604" max="14845" width="9.140625" style="176"/>
    <col min="14846" max="14846" width="4.5703125" style="176" customWidth="1"/>
    <col min="14847" max="14847" width="37.28515625" style="176" customWidth="1"/>
    <col min="14848" max="14848" width="10.42578125" style="176" customWidth="1"/>
    <col min="14849" max="14849" width="13.7109375" style="176" customWidth="1"/>
    <col min="14850" max="14850" width="24.5703125" style="176" customWidth="1"/>
    <col min="14851" max="14851" width="10" style="176" customWidth="1"/>
    <col min="14852" max="14856" width="8.7109375" style="176" customWidth="1"/>
    <col min="14857" max="14857" width="15.7109375" style="176" customWidth="1"/>
    <col min="14858" max="14858" width="33.7109375" style="176" customWidth="1"/>
    <col min="14859" max="14859" width="11.140625" style="176" customWidth="1"/>
    <col min="14860" max="15101" width="9.140625" style="176"/>
    <col min="15102" max="15102" width="4.5703125" style="176" customWidth="1"/>
    <col min="15103" max="15103" width="37.28515625" style="176" customWidth="1"/>
    <col min="15104" max="15104" width="10.42578125" style="176" customWidth="1"/>
    <col min="15105" max="15105" width="13.7109375" style="176" customWidth="1"/>
    <col min="15106" max="15106" width="24.5703125" style="176" customWidth="1"/>
    <col min="15107" max="15107" width="10" style="176" customWidth="1"/>
    <col min="15108" max="15112" width="8.7109375" style="176" customWidth="1"/>
    <col min="15113" max="15113" width="15.7109375" style="176" customWidth="1"/>
    <col min="15114" max="15114" width="33.7109375" style="176" customWidth="1"/>
    <col min="15115" max="15115" width="11.140625" style="176" customWidth="1"/>
    <col min="15116" max="15357" width="9.140625" style="176"/>
    <col min="15358" max="15358" width="4.5703125" style="176" customWidth="1"/>
    <col min="15359" max="15359" width="37.28515625" style="176" customWidth="1"/>
    <col min="15360" max="15360" width="10.42578125" style="176" customWidth="1"/>
    <col min="15361" max="15361" width="13.7109375" style="176" customWidth="1"/>
    <col min="15362" max="15362" width="24.5703125" style="176" customWidth="1"/>
    <col min="15363" max="15363" width="10" style="176" customWidth="1"/>
    <col min="15364" max="15368" width="8.7109375" style="176" customWidth="1"/>
    <col min="15369" max="15369" width="15.7109375" style="176" customWidth="1"/>
    <col min="15370" max="15370" width="33.7109375" style="176" customWidth="1"/>
    <col min="15371" max="15371" width="11.140625" style="176" customWidth="1"/>
    <col min="15372" max="15613" width="9.140625" style="176"/>
    <col min="15614" max="15614" width="4.5703125" style="176" customWidth="1"/>
    <col min="15615" max="15615" width="37.28515625" style="176" customWidth="1"/>
    <col min="15616" max="15616" width="10.42578125" style="176" customWidth="1"/>
    <col min="15617" max="15617" width="13.7109375" style="176" customWidth="1"/>
    <col min="15618" max="15618" width="24.5703125" style="176" customWidth="1"/>
    <col min="15619" max="15619" width="10" style="176" customWidth="1"/>
    <col min="15620" max="15624" width="8.7109375" style="176" customWidth="1"/>
    <col min="15625" max="15625" width="15.7109375" style="176" customWidth="1"/>
    <col min="15626" max="15626" width="33.7109375" style="176" customWidth="1"/>
    <col min="15627" max="15627" width="11.140625" style="176" customWidth="1"/>
    <col min="15628" max="15869" width="9.140625" style="176"/>
    <col min="15870" max="15870" width="4.5703125" style="176" customWidth="1"/>
    <col min="15871" max="15871" width="37.28515625" style="176" customWidth="1"/>
    <col min="15872" max="15872" width="10.42578125" style="176" customWidth="1"/>
    <col min="15873" max="15873" width="13.7109375" style="176" customWidth="1"/>
    <col min="15874" max="15874" width="24.5703125" style="176" customWidth="1"/>
    <col min="15875" max="15875" width="10" style="176" customWidth="1"/>
    <col min="15876" max="15880" width="8.7109375" style="176" customWidth="1"/>
    <col min="15881" max="15881" width="15.7109375" style="176" customWidth="1"/>
    <col min="15882" max="15882" width="33.7109375" style="176" customWidth="1"/>
    <col min="15883" max="15883" width="11.140625" style="176" customWidth="1"/>
    <col min="15884" max="16125" width="9.140625" style="176"/>
    <col min="16126" max="16126" width="4.5703125" style="176" customWidth="1"/>
    <col min="16127" max="16127" width="37.28515625" style="176" customWidth="1"/>
    <col min="16128" max="16128" width="10.42578125" style="176" customWidth="1"/>
    <col min="16129" max="16129" width="13.7109375" style="176" customWidth="1"/>
    <col min="16130" max="16130" width="24.5703125" style="176" customWidth="1"/>
    <col min="16131" max="16131" width="10" style="176" customWidth="1"/>
    <col min="16132" max="16136" width="8.7109375" style="176" customWidth="1"/>
    <col min="16137" max="16137" width="15.7109375" style="176" customWidth="1"/>
    <col min="16138" max="16138" width="33.7109375" style="176" customWidth="1"/>
    <col min="16139" max="16139" width="11.140625" style="176" customWidth="1"/>
    <col min="16140" max="16384" width="9.140625" style="176"/>
  </cols>
  <sheetData>
    <row r="1" spans="1:10" ht="14.25" x14ac:dyDescent="0.2">
      <c r="A1" s="370" t="s">
        <v>358</v>
      </c>
      <c r="B1" s="370"/>
      <c r="C1" s="370"/>
      <c r="D1" s="370"/>
      <c r="E1" s="370"/>
      <c r="F1" s="370"/>
      <c r="G1" s="370"/>
      <c r="H1" s="370"/>
      <c r="I1" s="370"/>
      <c r="J1" s="175"/>
    </row>
    <row r="2" spans="1:10" x14ac:dyDescent="0.2">
      <c r="A2" s="371" t="s">
        <v>359</v>
      </c>
      <c r="B2" s="371"/>
      <c r="C2" s="371"/>
      <c r="D2" s="371"/>
      <c r="E2" s="371"/>
      <c r="F2" s="371"/>
      <c r="G2" s="371"/>
      <c r="H2" s="371"/>
      <c r="I2" s="371"/>
      <c r="J2" s="175"/>
    </row>
    <row r="3" spans="1:10" ht="7.9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175"/>
    </row>
    <row r="4" spans="1:10" hidden="1" x14ac:dyDescent="0.2">
      <c r="A4" s="177"/>
      <c r="B4" s="178"/>
      <c r="C4" s="178"/>
      <c r="D4" s="179"/>
      <c r="E4" s="178"/>
      <c r="F4" s="178"/>
      <c r="G4" s="178"/>
      <c r="H4" s="178"/>
      <c r="I4" s="178"/>
      <c r="J4" s="175"/>
    </row>
    <row r="5" spans="1:10" ht="32.25" customHeight="1" x14ac:dyDescent="0.2">
      <c r="A5" s="373" t="s">
        <v>360</v>
      </c>
      <c r="B5" s="374"/>
      <c r="C5" s="374"/>
      <c r="D5" s="374"/>
      <c r="E5" s="374"/>
      <c r="F5" s="374"/>
      <c r="G5" s="374"/>
      <c r="H5" s="374"/>
      <c r="I5" s="374"/>
      <c r="J5" s="175"/>
    </row>
    <row r="6" spans="1:10" ht="13.15" customHeight="1" x14ac:dyDescent="0.2">
      <c r="A6" s="368" t="s">
        <v>361</v>
      </c>
      <c r="B6" s="369"/>
      <c r="C6" s="369"/>
      <c r="D6" s="369"/>
      <c r="E6" s="369"/>
      <c r="F6" s="369"/>
      <c r="G6" s="369"/>
      <c r="H6" s="369"/>
      <c r="I6" s="178"/>
    </row>
    <row r="7" spans="1:10" ht="13.15" customHeight="1" x14ac:dyDescent="0.2">
      <c r="A7" s="368" t="s">
        <v>362</v>
      </c>
      <c r="B7" s="369"/>
      <c r="C7" s="369"/>
      <c r="D7" s="369"/>
      <c r="E7" s="369"/>
      <c r="F7" s="369"/>
      <c r="G7" s="369"/>
      <c r="H7" s="369"/>
      <c r="I7" s="181"/>
      <c r="J7" s="175"/>
    </row>
    <row r="8" spans="1:10" x14ac:dyDescent="0.2">
      <c r="A8" s="182" t="s">
        <v>363</v>
      </c>
      <c r="B8" s="183"/>
      <c r="C8" s="183"/>
      <c r="D8" s="184"/>
      <c r="E8" s="183"/>
      <c r="F8" s="183"/>
      <c r="G8" s="183"/>
      <c r="H8" s="183"/>
      <c r="I8" s="185"/>
      <c r="J8" s="175"/>
    </row>
    <row r="9" spans="1:10" ht="13.15" customHeight="1" x14ac:dyDescent="0.2">
      <c r="A9" s="364" t="s">
        <v>176</v>
      </c>
      <c r="B9" s="364" t="s">
        <v>364</v>
      </c>
      <c r="C9" s="364" t="s">
        <v>365</v>
      </c>
      <c r="D9" s="364" t="s">
        <v>53</v>
      </c>
      <c r="E9" s="364" t="s">
        <v>45</v>
      </c>
      <c r="F9" s="364" t="s">
        <v>54</v>
      </c>
      <c r="G9" s="364"/>
      <c r="H9" s="364"/>
      <c r="I9" s="364" t="s">
        <v>366</v>
      </c>
    </row>
    <row r="10" spans="1:10" x14ac:dyDescent="0.2">
      <c r="A10" s="365"/>
      <c r="B10" s="365"/>
      <c r="C10" s="365"/>
      <c r="D10" s="365"/>
      <c r="E10" s="365"/>
      <c r="F10" s="299" t="s">
        <v>56</v>
      </c>
      <c r="G10" s="299" t="s">
        <v>367</v>
      </c>
      <c r="H10" s="299" t="s">
        <v>368</v>
      </c>
      <c r="I10" s="365"/>
    </row>
    <row r="11" spans="1:10" x14ac:dyDescent="0.2">
      <c r="A11" s="297">
        <v>1</v>
      </c>
      <c r="B11" s="297">
        <v>2</v>
      </c>
      <c r="C11" s="297">
        <v>3</v>
      </c>
      <c r="D11" s="297">
        <v>4</v>
      </c>
      <c r="E11" s="297">
        <v>5</v>
      </c>
      <c r="F11" s="297">
        <v>6</v>
      </c>
      <c r="G11" s="297">
        <v>7</v>
      </c>
      <c r="H11" s="297">
        <v>8</v>
      </c>
      <c r="I11" s="297">
        <v>12</v>
      </c>
    </row>
    <row r="12" spans="1:10" ht="15.75" x14ac:dyDescent="0.25">
      <c r="A12" s="357" t="s">
        <v>46</v>
      </c>
      <c r="B12" s="358"/>
      <c r="C12" s="358"/>
      <c r="D12" s="358"/>
      <c r="E12" s="358"/>
      <c r="F12" s="358"/>
      <c r="G12" s="358"/>
      <c r="H12" s="358"/>
      <c r="I12" s="359"/>
    </row>
    <row r="13" spans="1:10" ht="38.25" x14ac:dyDescent="0.2">
      <c r="A13" s="82">
        <v>1</v>
      </c>
      <c r="B13" s="47" t="s">
        <v>369</v>
      </c>
      <c r="C13" s="297" t="s">
        <v>166</v>
      </c>
      <c r="D13" s="297">
        <v>3</v>
      </c>
      <c r="E13" s="33" t="s">
        <v>370</v>
      </c>
      <c r="F13" s="95">
        <v>36</v>
      </c>
      <c r="G13" s="40"/>
      <c r="H13" s="82"/>
      <c r="I13" s="95">
        <f>D13*F13</f>
        <v>108</v>
      </c>
    </row>
    <row r="14" spans="1:10" ht="89.25" x14ac:dyDescent="0.2">
      <c r="A14" s="82">
        <v>2</v>
      </c>
      <c r="B14" s="47" t="s">
        <v>556</v>
      </c>
      <c r="C14" s="297" t="s">
        <v>166</v>
      </c>
      <c r="D14" s="297">
        <v>1</v>
      </c>
      <c r="E14" s="33" t="s">
        <v>371</v>
      </c>
      <c r="F14" s="95">
        <v>20.3</v>
      </c>
      <c r="G14" s="40"/>
      <c r="H14" s="82"/>
      <c r="I14" s="95">
        <f>D14*F14</f>
        <v>20.3</v>
      </c>
    </row>
    <row r="15" spans="1:10" ht="25.5" x14ac:dyDescent="0.2">
      <c r="A15" s="82">
        <v>3</v>
      </c>
      <c r="B15" s="47" t="s">
        <v>372</v>
      </c>
      <c r="C15" s="297" t="s">
        <v>373</v>
      </c>
      <c r="D15" s="297">
        <v>75</v>
      </c>
      <c r="E15" s="33" t="s">
        <v>557</v>
      </c>
      <c r="F15" s="95">
        <v>16.399999999999999</v>
      </c>
      <c r="G15" s="40">
        <v>1.5</v>
      </c>
      <c r="H15" s="82"/>
      <c r="I15" s="95">
        <f>D15*F15*G15</f>
        <v>1845</v>
      </c>
    </row>
    <row r="16" spans="1:10" ht="51" x14ac:dyDescent="0.2">
      <c r="A16" s="82">
        <v>4</v>
      </c>
      <c r="B16" s="47" t="s">
        <v>570</v>
      </c>
      <c r="C16" s="297" t="s">
        <v>375</v>
      </c>
      <c r="D16" s="297">
        <v>4</v>
      </c>
      <c r="E16" s="33" t="s">
        <v>571</v>
      </c>
      <c r="F16" s="95">
        <v>8.5</v>
      </c>
      <c r="G16" s="40">
        <v>0.5</v>
      </c>
      <c r="H16" s="82"/>
      <c r="I16" s="95">
        <f>D16*F16*G16</f>
        <v>17</v>
      </c>
      <c r="J16" s="176"/>
    </row>
    <row r="17" spans="1:10" ht="63.75" x14ac:dyDescent="0.2">
      <c r="A17" s="82">
        <v>5</v>
      </c>
      <c r="B17" s="47" t="s">
        <v>374</v>
      </c>
      <c r="C17" s="297" t="s">
        <v>375</v>
      </c>
      <c r="D17" s="297">
        <v>24</v>
      </c>
      <c r="E17" s="33" t="s">
        <v>376</v>
      </c>
      <c r="F17" s="95">
        <v>14.4</v>
      </c>
      <c r="G17" s="40">
        <v>0.5</v>
      </c>
      <c r="H17" s="82"/>
      <c r="I17" s="95">
        <f>D17*F17*G17</f>
        <v>172.8</v>
      </c>
      <c r="J17" s="176"/>
    </row>
    <row r="18" spans="1:10" ht="63.75" x14ac:dyDescent="0.2">
      <c r="A18" s="82">
        <v>6</v>
      </c>
      <c r="B18" s="47" t="s">
        <v>377</v>
      </c>
      <c r="C18" s="297" t="s">
        <v>375</v>
      </c>
      <c r="D18" s="297">
        <v>8</v>
      </c>
      <c r="E18" s="33" t="s">
        <v>378</v>
      </c>
      <c r="F18" s="95">
        <v>18.399999999999999</v>
      </c>
      <c r="G18" s="40">
        <v>0.5</v>
      </c>
      <c r="H18" s="82"/>
      <c r="I18" s="95">
        <f>D18*F18*G18</f>
        <v>73.599999999999994</v>
      </c>
      <c r="J18" s="176"/>
    </row>
    <row r="19" spans="1:10" ht="51" x14ac:dyDescent="0.2">
      <c r="A19" s="82">
        <v>7</v>
      </c>
      <c r="B19" s="47" t="s">
        <v>572</v>
      </c>
      <c r="C19" s="297" t="s">
        <v>375</v>
      </c>
      <c r="D19" s="297">
        <v>4</v>
      </c>
      <c r="E19" s="33" t="s">
        <v>573</v>
      </c>
      <c r="F19" s="95">
        <v>8.5</v>
      </c>
      <c r="G19" s="40"/>
      <c r="H19" s="82"/>
      <c r="I19" s="95">
        <f>D19*F19</f>
        <v>34</v>
      </c>
      <c r="J19" s="176"/>
    </row>
    <row r="20" spans="1:10" ht="51" x14ac:dyDescent="0.2">
      <c r="A20" s="82">
        <v>8</v>
      </c>
      <c r="B20" s="47" t="s">
        <v>379</v>
      </c>
      <c r="C20" s="297" t="s">
        <v>375</v>
      </c>
      <c r="D20" s="297">
        <v>24</v>
      </c>
      <c r="E20" s="33" t="s">
        <v>380</v>
      </c>
      <c r="F20" s="95">
        <v>14.4</v>
      </c>
      <c r="G20" s="40"/>
      <c r="H20" s="82"/>
      <c r="I20" s="95">
        <f>D20*F20</f>
        <v>345.6</v>
      </c>
      <c r="J20" s="176"/>
    </row>
    <row r="21" spans="1:10" ht="51" x14ac:dyDescent="0.2">
      <c r="A21" s="82">
        <v>9</v>
      </c>
      <c r="B21" s="47" t="s">
        <v>381</v>
      </c>
      <c r="C21" s="297" t="s">
        <v>375</v>
      </c>
      <c r="D21" s="297">
        <v>8</v>
      </c>
      <c r="E21" s="33" t="s">
        <v>382</v>
      </c>
      <c r="F21" s="95">
        <v>18.399999999999999</v>
      </c>
      <c r="G21" s="40"/>
      <c r="H21" s="82"/>
      <c r="I21" s="95">
        <f>D21*F21</f>
        <v>147.19999999999999</v>
      </c>
      <c r="J21" s="176"/>
    </row>
    <row r="22" spans="1:10" ht="51" x14ac:dyDescent="0.2">
      <c r="A22" s="82">
        <v>10</v>
      </c>
      <c r="B22" s="47" t="s">
        <v>383</v>
      </c>
      <c r="C22" s="297" t="s">
        <v>384</v>
      </c>
      <c r="D22" s="297">
        <v>145</v>
      </c>
      <c r="E22" s="33" t="s">
        <v>385</v>
      </c>
      <c r="F22" s="95">
        <v>59.9</v>
      </c>
      <c r="G22" s="95"/>
      <c r="H22" s="95">
        <v>0.9</v>
      </c>
      <c r="I22" s="91">
        <f>F22*D22*H22</f>
        <v>7816.95</v>
      </c>
      <c r="J22" s="176"/>
    </row>
    <row r="23" spans="1:10" ht="38.25" x14ac:dyDescent="0.2">
      <c r="A23" s="82">
        <v>11</v>
      </c>
      <c r="B23" s="186" t="s">
        <v>386</v>
      </c>
      <c r="C23" s="297" t="s">
        <v>384</v>
      </c>
      <c r="D23" s="293">
        <v>50</v>
      </c>
      <c r="E23" s="187" t="s">
        <v>387</v>
      </c>
      <c r="F23" s="188">
        <v>1.6</v>
      </c>
      <c r="G23" s="188">
        <v>0.6</v>
      </c>
      <c r="H23" s="188"/>
      <c r="I23" s="95">
        <f>D23*F23*G23</f>
        <v>48</v>
      </c>
      <c r="J23" s="176"/>
    </row>
    <row r="24" spans="1:10" ht="25.5" x14ac:dyDescent="0.2">
      <c r="A24" s="189">
        <v>12</v>
      </c>
      <c r="B24" s="190" t="s">
        <v>388</v>
      </c>
      <c r="C24" s="298" t="s">
        <v>389</v>
      </c>
      <c r="D24" s="294">
        <v>2</v>
      </c>
      <c r="E24" s="191" t="s">
        <v>390</v>
      </c>
      <c r="F24" s="188">
        <v>42.1</v>
      </c>
      <c r="G24" s="188"/>
      <c r="H24" s="188"/>
      <c r="I24" s="95">
        <f t="shared" ref="I24:I30" si="0">D24*F24</f>
        <v>84.2</v>
      </c>
      <c r="J24" s="176"/>
    </row>
    <row r="25" spans="1:10" ht="25.5" x14ac:dyDescent="0.2">
      <c r="A25" s="189">
        <v>13</v>
      </c>
      <c r="B25" s="190" t="s">
        <v>391</v>
      </c>
      <c r="C25" s="298" t="s">
        <v>389</v>
      </c>
      <c r="D25" s="294">
        <v>4</v>
      </c>
      <c r="E25" s="191" t="s">
        <v>390</v>
      </c>
      <c r="F25" s="188">
        <v>51.6</v>
      </c>
      <c r="G25" s="188"/>
      <c r="H25" s="188"/>
      <c r="I25" s="95">
        <f t="shared" si="0"/>
        <v>206.4</v>
      </c>
      <c r="J25" s="176"/>
    </row>
    <row r="26" spans="1:10" ht="25.5" x14ac:dyDescent="0.2">
      <c r="A26" s="189">
        <v>14</v>
      </c>
      <c r="B26" s="190" t="s">
        <v>392</v>
      </c>
      <c r="C26" s="298" t="s">
        <v>389</v>
      </c>
      <c r="D26" s="294">
        <v>6</v>
      </c>
      <c r="E26" s="191" t="s">
        <v>393</v>
      </c>
      <c r="F26" s="188">
        <v>93.4</v>
      </c>
      <c r="G26" s="188"/>
      <c r="H26" s="188"/>
      <c r="I26" s="95">
        <f t="shared" si="0"/>
        <v>560.4</v>
      </c>
      <c r="J26" s="176"/>
    </row>
    <row r="27" spans="1:10" s="198" customFormat="1" ht="38.25" x14ac:dyDescent="0.2">
      <c r="A27" s="192" t="s">
        <v>401</v>
      </c>
      <c r="B27" s="193" t="s">
        <v>395</v>
      </c>
      <c r="C27" s="194" t="s">
        <v>396</v>
      </c>
      <c r="D27" s="194">
        <v>3</v>
      </c>
      <c r="E27" s="193" t="s">
        <v>397</v>
      </c>
      <c r="F27" s="195">
        <v>60.2</v>
      </c>
      <c r="G27" s="196"/>
      <c r="H27" s="197"/>
      <c r="I27" s="197">
        <f t="shared" si="0"/>
        <v>180.6</v>
      </c>
    </row>
    <row r="28" spans="1:10" s="198" customFormat="1" ht="76.5" x14ac:dyDescent="0.2">
      <c r="A28" s="192" t="s">
        <v>541</v>
      </c>
      <c r="B28" s="193" t="s">
        <v>574</v>
      </c>
      <c r="C28" s="194" t="s">
        <v>396</v>
      </c>
      <c r="D28" s="194">
        <v>3</v>
      </c>
      <c r="E28" s="193" t="s">
        <v>575</v>
      </c>
      <c r="F28" s="195">
        <v>813</v>
      </c>
      <c r="G28" s="200">
        <v>0.8</v>
      </c>
      <c r="H28" s="197"/>
      <c r="I28" s="197">
        <f>D28*F28*G28</f>
        <v>1951.2</v>
      </c>
    </row>
    <row r="29" spans="1:10" s="198" customFormat="1" ht="51" x14ac:dyDescent="0.2">
      <c r="A29" s="192" t="s">
        <v>544</v>
      </c>
      <c r="B29" s="201" t="s">
        <v>398</v>
      </c>
      <c r="C29" s="194" t="s">
        <v>399</v>
      </c>
      <c r="D29" s="194">
        <v>0.6</v>
      </c>
      <c r="E29" s="193" t="s">
        <v>400</v>
      </c>
      <c r="F29" s="195">
        <v>6.2</v>
      </c>
      <c r="G29" s="200"/>
      <c r="H29" s="197"/>
      <c r="I29" s="197">
        <f t="shared" si="0"/>
        <v>3.72</v>
      </c>
    </row>
    <row r="30" spans="1:10" s="198" customFormat="1" ht="89.25" x14ac:dyDescent="0.2">
      <c r="A30" s="192" t="s">
        <v>548</v>
      </c>
      <c r="B30" s="201" t="s">
        <v>402</v>
      </c>
      <c r="C30" s="194" t="s">
        <v>399</v>
      </c>
      <c r="D30" s="194">
        <v>0.6</v>
      </c>
      <c r="E30" s="193" t="s">
        <v>403</v>
      </c>
      <c r="F30" s="195">
        <v>160.19999999999999</v>
      </c>
      <c r="G30" s="200"/>
      <c r="H30" s="197"/>
      <c r="I30" s="197">
        <f t="shared" si="0"/>
        <v>96.12</v>
      </c>
    </row>
    <row r="31" spans="1:10" x14ac:dyDescent="0.2">
      <c r="A31" s="202"/>
      <c r="B31" s="203" t="s">
        <v>404</v>
      </c>
      <c r="C31" s="203"/>
      <c r="D31" s="204"/>
      <c r="E31" s="202"/>
      <c r="F31" s="205"/>
      <c r="G31" s="202"/>
      <c r="H31" s="205"/>
      <c r="I31" s="206">
        <f>I13+I14+I15+I16+I17+I18+I19+I20+I21+I22+I23+I24+I25+I26+I27+I28+I29+I30</f>
        <v>13711.09</v>
      </c>
    </row>
    <row r="32" spans="1:10" ht="25.5" x14ac:dyDescent="0.2">
      <c r="A32" s="202"/>
      <c r="B32" s="47" t="s">
        <v>405</v>
      </c>
      <c r="C32" s="207"/>
      <c r="D32" s="208"/>
      <c r="E32" s="188" t="s">
        <v>406</v>
      </c>
      <c r="F32" s="209">
        <v>0.2</v>
      </c>
      <c r="G32" s="210"/>
      <c r="H32" s="210"/>
      <c r="I32" s="208">
        <f>I31*F32</f>
        <v>2742.22</v>
      </c>
    </row>
    <row r="33" spans="1:13" ht="38.25" x14ac:dyDescent="0.2">
      <c r="A33" s="202"/>
      <c r="B33" s="47" t="s">
        <v>407</v>
      </c>
      <c r="C33" s="207"/>
      <c r="D33" s="208"/>
      <c r="E33" s="188" t="s">
        <v>408</v>
      </c>
      <c r="F33" s="209">
        <v>0.4</v>
      </c>
      <c r="G33" s="210"/>
      <c r="H33" s="210"/>
      <c r="I33" s="208">
        <f>(I31+I32)*F33</f>
        <v>6581.32</v>
      </c>
    </row>
    <row r="34" spans="1:13" ht="25.5" hidden="1" x14ac:dyDescent="0.2">
      <c r="A34" s="82"/>
      <c r="B34" s="211" t="s">
        <v>186</v>
      </c>
      <c r="C34" s="203"/>
      <c r="D34" s="212">
        <f>I31+I33</f>
        <v>20292.41</v>
      </c>
      <c r="E34" s="40" t="s">
        <v>409</v>
      </c>
      <c r="F34" s="209">
        <v>0</v>
      </c>
      <c r="G34" s="205">
        <v>0.5</v>
      </c>
      <c r="H34" s="205"/>
      <c r="I34" s="212">
        <f>D34*F34*G34</f>
        <v>0</v>
      </c>
    </row>
    <row r="35" spans="1:13" x14ac:dyDescent="0.2">
      <c r="A35" s="202"/>
      <c r="B35" s="203" t="s">
        <v>410</v>
      </c>
      <c r="C35" s="203"/>
      <c r="D35" s="204"/>
      <c r="E35" s="202"/>
      <c r="F35" s="213"/>
      <c r="G35" s="202"/>
      <c r="H35" s="188"/>
      <c r="I35" s="206">
        <f>I31+I34+I33</f>
        <v>20292.41</v>
      </c>
    </row>
    <row r="36" spans="1:13" ht="15.75" x14ac:dyDescent="0.25">
      <c r="A36" s="357" t="s">
        <v>47</v>
      </c>
      <c r="B36" s="358"/>
      <c r="C36" s="358"/>
      <c r="D36" s="358"/>
      <c r="E36" s="358"/>
      <c r="F36" s="358"/>
      <c r="G36" s="358"/>
      <c r="H36" s="358"/>
      <c r="I36" s="359"/>
    </row>
    <row r="37" spans="1:13" ht="25.5" x14ac:dyDescent="0.2">
      <c r="A37" s="43">
        <v>19</v>
      </c>
      <c r="B37" s="33" t="s">
        <v>411</v>
      </c>
      <c r="C37" s="40" t="s">
        <v>412</v>
      </c>
      <c r="D37" s="40">
        <v>40</v>
      </c>
      <c r="E37" s="214" t="s">
        <v>413</v>
      </c>
      <c r="F37" s="41">
        <v>18.2</v>
      </c>
      <c r="G37" s="297"/>
      <c r="H37" s="297"/>
      <c r="I37" s="95">
        <f t="shared" ref="I37:I40" si="1">D37*F37</f>
        <v>728</v>
      </c>
    </row>
    <row r="38" spans="1:13" ht="51" x14ac:dyDescent="0.2">
      <c r="A38" s="43">
        <v>20</v>
      </c>
      <c r="B38" s="33" t="s">
        <v>414</v>
      </c>
      <c r="C38" s="40" t="s">
        <v>412</v>
      </c>
      <c r="D38" s="40">
        <v>40</v>
      </c>
      <c r="E38" s="214" t="s">
        <v>415</v>
      </c>
      <c r="F38" s="41">
        <v>19.600000000000001</v>
      </c>
      <c r="G38" s="297"/>
      <c r="H38" s="297"/>
      <c r="I38" s="95">
        <f t="shared" si="1"/>
        <v>784</v>
      </c>
    </row>
    <row r="39" spans="1:13" ht="25.5" x14ac:dyDescent="0.2">
      <c r="A39" s="43">
        <v>21</v>
      </c>
      <c r="B39" s="33" t="s">
        <v>416</v>
      </c>
      <c r="C39" s="40" t="s">
        <v>412</v>
      </c>
      <c r="D39" s="40">
        <v>30</v>
      </c>
      <c r="E39" s="214" t="s">
        <v>417</v>
      </c>
      <c r="F39" s="215">
        <v>13.3</v>
      </c>
      <c r="G39" s="214"/>
      <c r="H39" s="214"/>
      <c r="I39" s="95">
        <f t="shared" si="1"/>
        <v>399</v>
      </c>
    </row>
    <row r="40" spans="1:13" ht="25.5" x14ac:dyDescent="0.2">
      <c r="A40" s="43">
        <v>22</v>
      </c>
      <c r="B40" s="33" t="s">
        <v>418</v>
      </c>
      <c r="C40" s="40" t="s">
        <v>412</v>
      </c>
      <c r="D40" s="40">
        <v>30</v>
      </c>
      <c r="E40" s="214" t="s">
        <v>419</v>
      </c>
      <c r="F40" s="215">
        <v>11.3</v>
      </c>
      <c r="G40" s="214"/>
      <c r="H40" s="214"/>
      <c r="I40" s="95">
        <f t="shared" si="1"/>
        <v>339</v>
      </c>
    </row>
    <row r="41" spans="1:13" x14ac:dyDescent="0.2">
      <c r="A41" s="43">
        <v>23</v>
      </c>
      <c r="B41" s="33" t="s">
        <v>420</v>
      </c>
      <c r="C41" s="40" t="s">
        <v>412</v>
      </c>
      <c r="D41" s="40">
        <v>18</v>
      </c>
      <c r="E41" s="33" t="s">
        <v>421</v>
      </c>
      <c r="F41" s="215">
        <v>3.8</v>
      </c>
      <c r="G41" s="214"/>
      <c r="H41" s="214"/>
      <c r="I41" s="95">
        <f>D41*F41</f>
        <v>68.400000000000006</v>
      </c>
    </row>
    <row r="42" spans="1:13" x14ac:dyDescent="0.2">
      <c r="A42" s="43">
        <v>24</v>
      </c>
      <c r="B42" s="33" t="s">
        <v>422</v>
      </c>
      <c r="C42" s="40" t="s">
        <v>423</v>
      </c>
      <c r="D42" s="40">
        <v>18</v>
      </c>
      <c r="E42" s="33" t="s">
        <v>424</v>
      </c>
      <c r="F42" s="215">
        <v>19.100000000000001</v>
      </c>
      <c r="G42" s="297"/>
      <c r="H42" s="297"/>
      <c r="I42" s="95">
        <f>D42*F42</f>
        <v>343.8</v>
      </c>
    </row>
    <row r="43" spans="1:13" ht="25.5" x14ac:dyDescent="0.2">
      <c r="A43" s="43">
        <v>25</v>
      </c>
      <c r="B43" s="33" t="s">
        <v>425</v>
      </c>
      <c r="C43" s="40" t="s">
        <v>85</v>
      </c>
      <c r="D43" s="40">
        <v>18</v>
      </c>
      <c r="E43" s="214" t="s">
        <v>426</v>
      </c>
      <c r="F43" s="215">
        <v>18.2</v>
      </c>
      <c r="G43" s="297"/>
      <c r="H43" s="297"/>
      <c r="I43" s="95">
        <f>D43*F43</f>
        <v>327.60000000000002</v>
      </c>
    </row>
    <row r="44" spans="1:13" ht="25.5" x14ac:dyDescent="0.2">
      <c r="A44" s="43">
        <v>26</v>
      </c>
      <c r="B44" s="33" t="s">
        <v>427</v>
      </c>
      <c r="C44" s="40" t="s">
        <v>85</v>
      </c>
      <c r="D44" s="40">
        <v>18</v>
      </c>
      <c r="E44" s="214" t="s">
        <v>428</v>
      </c>
      <c r="F44" s="215">
        <v>25.4</v>
      </c>
      <c r="G44" s="297"/>
      <c r="H44" s="297"/>
      <c r="I44" s="95">
        <f>D44*F44</f>
        <v>457.2</v>
      </c>
    </row>
    <row r="45" spans="1:13" x14ac:dyDescent="0.2">
      <c r="A45" s="43">
        <v>27</v>
      </c>
      <c r="B45" s="33" t="s">
        <v>429</v>
      </c>
      <c r="C45" s="40" t="s">
        <v>430</v>
      </c>
      <c r="D45" s="40">
        <v>3</v>
      </c>
      <c r="E45" s="214" t="s">
        <v>431</v>
      </c>
      <c r="F45" s="215">
        <v>67.3</v>
      </c>
      <c r="G45" s="297"/>
      <c r="H45" s="297"/>
      <c r="I45" s="95">
        <f>D45*F45</f>
        <v>201.9</v>
      </c>
    </row>
    <row r="46" spans="1:13" x14ac:dyDescent="0.2">
      <c r="A46" s="216"/>
      <c r="B46" s="203" t="s">
        <v>432</v>
      </c>
      <c r="C46" s="203"/>
      <c r="D46" s="204"/>
      <c r="E46" s="188"/>
      <c r="F46" s="188"/>
      <c r="G46" s="188"/>
      <c r="H46" s="188"/>
      <c r="I46" s="206">
        <f>SUM(I37:I45)</f>
        <v>3648.9</v>
      </c>
      <c r="J46" s="217"/>
      <c r="K46" s="218"/>
      <c r="M46" s="218"/>
    </row>
    <row r="47" spans="1:13" ht="15.75" x14ac:dyDescent="0.25">
      <c r="A47" s="357" t="s">
        <v>48</v>
      </c>
      <c r="B47" s="358"/>
      <c r="C47" s="358"/>
      <c r="D47" s="358"/>
      <c r="E47" s="358"/>
      <c r="F47" s="358"/>
      <c r="G47" s="358"/>
      <c r="H47" s="358"/>
      <c r="I47" s="359"/>
      <c r="K47" s="218"/>
      <c r="M47" s="218"/>
    </row>
    <row r="48" spans="1:13" ht="38.25" x14ac:dyDescent="0.2">
      <c r="A48" s="43">
        <v>28</v>
      </c>
      <c r="B48" s="47" t="s">
        <v>369</v>
      </c>
      <c r="C48" s="297" t="s">
        <v>166</v>
      </c>
      <c r="D48" s="297">
        <f>D13</f>
        <v>3</v>
      </c>
      <c r="E48" s="33" t="s">
        <v>370</v>
      </c>
      <c r="F48" s="95">
        <v>23.4</v>
      </c>
      <c r="G48" s="40"/>
      <c r="H48" s="82"/>
      <c r="I48" s="95">
        <f>D48*F48</f>
        <v>70.2</v>
      </c>
      <c r="K48" s="218"/>
      <c r="M48" s="218"/>
    </row>
    <row r="49" spans="1:13" ht="89.25" x14ac:dyDescent="0.2">
      <c r="A49" s="43">
        <v>29</v>
      </c>
      <c r="B49" s="47" t="s">
        <v>556</v>
      </c>
      <c r="C49" s="297" t="s">
        <v>166</v>
      </c>
      <c r="D49" s="297">
        <v>1</v>
      </c>
      <c r="E49" s="33" t="s">
        <v>371</v>
      </c>
      <c r="F49" s="95">
        <v>2.1</v>
      </c>
      <c r="G49" s="40"/>
      <c r="H49" s="82"/>
      <c r="I49" s="95">
        <f>D49*F49</f>
        <v>2.1</v>
      </c>
      <c r="K49" s="218"/>
      <c r="M49" s="218"/>
    </row>
    <row r="50" spans="1:13" ht="25.5" x14ac:dyDescent="0.2">
      <c r="A50" s="43">
        <v>30</v>
      </c>
      <c r="B50" s="47" t="s">
        <v>372</v>
      </c>
      <c r="C50" s="297" t="s">
        <v>373</v>
      </c>
      <c r="D50" s="297">
        <v>75</v>
      </c>
      <c r="E50" s="33" t="s">
        <v>557</v>
      </c>
      <c r="F50" s="95">
        <v>10.199999999999999</v>
      </c>
      <c r="G50" s="40">
        <v>1.5</v>
      </c>
      <c r="H50" s="82"/>
      <c r="I50" s="95">
        <f>D50*F50*G50</f>
        <v>1147.5</v>
      </c>
      <c r="K50" s="218"/>
      <c r="M50" s="218"/>
    </row>
    <row r="51" spans="1:13" ht="51" x14ac:dyDescent="0.2">
      <c r="A51" s="43">
        <v>31</v>
      </c>
      <c r="B51" s="33" t="s">
        <v>433</v>
      </c>
      <c r="C51" s="297" t="s">
        <v>434</v>
      </c>
      <c r="D51" s="295">
        <f>D23</f>
        <v>50</v>
      </c>
      <c r="E51" s="214" t="s">
        <v>435</v>
      </c>
      <c r="F51" s="215">
        <v>10.7</v>
      </c>
      <c r="G51" s="33"/>
      <c r="H51" s="33"/>
      <c r="I51" s="34">
        <f t="shared" ref="I51:I59" si="2">D51*F51</f>
        <v>535</v>
      </c>
      <c r="J51" s="366"/>
      <c r="K51" s="218"/>
      <c r="M51" s="218"/>
    </row>
    <row r="52" spans="1:13" ht="51" x14ac:dyDescent="0.2">
      <c r="A52" s="43">
        <v>32</v>
      </c>
      <c r="B52" s="33" t="s">
        <v>436</v>
      </c>
      <c r="C52" s="297" t="s">
        <v>434</v>
      </c>
      <c r="D52" s="295">
        <v>101</v>
      </c>
      <c r="E52" s="214" t="s">
        <v>435</v>
      </c>
      <c r="F52" s="215">
        <v>9.4</v>
      </c>
      <c r="G52" s="33"/>
      <c r="H52" s="33"/>
      <c r="I52" s="34">
        <f>D52*F52</f>
        <v>949.4</v>
      </c>
      <c r="J52" s="366"/>
      <c r="K52" s="218"/>
      <c r="M52" s="218"/>
    </row>
    <row r="53" spans="1:13" ht="38.25" x14ac:dyDescent="0.2">
      <c r="A53" s="43">
        <v>33</v>
      </c>
      <c r="B53" s="199" t="s">
        <v>576</v>
      </c>
      <c r="C53" s="297" t="s">
        <v>577</v>
      </c>
      <c r="D53" s="295">
        <v>3</v>
      </c>
      <c r="E53" s="214" t="s">
        <v>578</v>
      </c>
      <c r="F53" s="215">
        <v>94.7</v>
      </c>
      <c r="G53" s="33"/>
      <c r="H53" s="33"/>
      <c r="I53" s="34">
        <f>D53*F53</f>
        <v>284.10000000000002</v>
      </c>
      <c r="J53" s="308"/>
      <c r="K53" s="218"/>
      <c r="M53" s="218"/>
    </row>
    <row r="54" spans="1:13" ht="51" x14ac:dyDescent="0.2">
      <c r="A54" s="43">
        <v>34</v>
      </c>
      <c r="B54" s="33" t="s">
        <v>437</v>
      </c>
      <c r="C54" s="297" t="s">
        <v>86</v>
      </c>
      <c r="D54" s="34">
        <f>I37+I38</f>
        <v>1512</v>
      </c>
      <c r="E54" s="214" t="s">
        <v>438</v>
      </c>
      <c r="F54" s="44">
        <v>0.2</v>
      </c>
      <c r="G54" s="219"/>
      <c r="H54" s="219"/>
      <c r="I54" s="34">
        <f t="shared" si="2"/>
        <v>302.39999999999998</v>
      </c>
      <c r="J54" s="220"/>
    </row>
    <row r="55" spans="1:13" ht="51" x14ac:dyDescent="0.2">
      <c r="A55" s="43">
        <v>35</v>
      </c>
      <c r="B55" s="33" t="s">
        <v>439</v>
      </c>
      <c r="C55" s="297" t="s">
        <v>86</v>
      </c>
      <c r="D55" s="34">
        <f>I43+I44</f>
        <v>784.8</v>
      </c>
      <c r="E55" s="214" t="s">
        <v>440</v>
      </c>
      <c r="F55" s="44">
        <v>0.15</v>
      </c>
      <c r="G55" s="219"/>
      <c r="H55" s="219"/>
      <c r="I55" s="34">
        <f>D55*F55</f>
        <v>117.72</v>
      </c>
      <c r="J55" s="220"/>
    </row>
    <row r="56" spans="1:13" ht="51" x14ac:dyDescent="0.2">
      <c r="A56" s="43">
        <v>36</v>
      </c>
      <c r="B56" s="33" t="s">
        <v>441</v>
      </c>
      <c r="C56" s="297" t="s">
        <v>86</v>
      </c>
      <c r="D56" s="295">
        <f>I40+I42</f>
        <v>682.8</v>
      </c>
      <c r="E56" s="214" t="s">
        <v>442</v>
      </c>
      <c r="F56" s="44">
        <v>0.12</v>
      </c>
      <c r="G56" s="219"/>
      <c r="H56" s="219"/>
      <c r="I56" s="34">
        <f t="shared" si="2"/>
        <v>81.94</v>
      </c>
      <c r="J56" s="220"/>
    </row>
    <row r="57" spans="1:13" hidden="1" x14ac:dyDescent="0.2">
      <c r="A57" s="43">
        <v>49</v>
      </c>
      <c r="B57" s="33" t="s">
        <v>443</v>
      </c>
      <c r="C57" s="297" t="s">
        <v>396</v>
      </c>
      <c r="D57" s="228">
        <v>0</v>
      </c>
      <c r="E57" s="33" t="s">
        <v>444</v>
      </c>
      <c r="F57" s="221">
        <v>336</v>
      </c>
      <c r="G57" s="219"/>
      <c r="H57" s="219"/>
      <c r="I57" s="34">
        <f>F57*D57</f>
        <v>0</v>
      </c>
      <c r="J57" s="220"/>
    </row>
    <row r="58" spans="1:13" ht="51" x14ac:dyDescent="0.2">
      <c r="A58" s="43">
        <v>37</v>
      </c>
      <c r="B58" s="33" t="s">
        <v>445</v>
      </c>
      <c r="C58" s="297" t="s">
        <v>86</v>
      </c>
      <c r="D58" s="34">
        <f>I45</f>
        <v>201.9</v>
      </c>
      <c r="E58" s="33" t="s">
        <v>446</v>
      </c>
      <c r="F58" s="221">
        <v>0.15</v>
      </c>
      <c r="G58" s="219"/>
      <c r="H58" s="219"/>
      <c r="I58" s="34">
        <f>D58*F58</f>
        <v>30.29</v>
      </c>
      <c r="J58" s="220"/>
    </row>
    <row r="59" spans="1:13" ht="38.25" x14ac:dyDescent="0.25">
      <c r="A59" s="43">
        <v>38</v>
      </c>
      <c r="B59" s="222" t="s">
        <v>447</v>
      </c>
      <c r="C59" s="223" t="s">
        <v>448</v>
      </c>
      <c r="D59" s="224">
        <v>50</v>
      </c>
      <c r="E59" s="225" t="s">
        <v>449</v>
      </c>
      <c r="F59" s="221">
        <v>10.8</v>
      </c>
      <c r="G59" s="226"/>
      <c r="H59" s="227"/>
      <c r="I59" s="221">
        <f t="shared" si="2"/>
        <v>540</v>
      </c>
      <c r="J59" s="367"/>
    </row>
    <row r="60" spans="1:13" ht="38.25" x14ac:dyDescent="0.25">
      <c r="A60" s="43">
        <v>39</v>
      </c>
      <c r="B60" s="222" t="s">
        <v>450</v>
      </c>
      <c r="C60" s="223" t="s">
        <v>451</v>
      </c>
      <c r="D60" s="224">
        <v>50</v>
      </c>
      <c r="E60" s="225" t="s">
        <v>452</v>
      </c>
      <c r="F60" s="221">
        <v>4.3</v>
      </c>
      <c r="G60" s="226"/>
      <c r="H60" s="227"/>
      <c r="I60" s="221">
        <f>D60*F60</f>
        <v>215</v>
      </c>
      <c r="J60" s="367"/>
    </row>
    <row r="61" spans="1:13" ht="51" x14ac:dyDescent="0.2">
      <c r="A61" s="43">
        <v>40</v>
      </c>
      <c r="B61" s="33" t="s">
        <v>579</v>
      </c>
      <c r="C61" s="297" t="s">
        <v>453</v>
      </c>
      <c r="D61" s="228">
        <v>1</v>
      </c>
      <c r="E61" s="33" t="s">
        <v>580</v>
      </c>
      <c r="F61" s="92">
        <v>200</v>
      </c>
      <c r="G61" s="215">
        <v>1.4</v>
      </c>
      <c r="H61" s="219"/>
      <c r="I61" s="34">
        <f>D61*F61*G61</f>
        <v>280</v>
      </c>
      <c r="J61" s="220"/>
    </row>
    <row r="62" spans="1:13" ht="51" x14ac:dyDescent="0.2">
      <c r="A62" s="43">
        <v>41</v>
      </c>
      <c r="B62" s="33" t="s">
        <v>581</v>
      </c>
      <c r="C62" s="297" t="s">
        <v>50</v>
      </c>
      <c r="D62" s="34">
        <f>I48+I49+I50+I51+I52+I53+I54+I55+I56+I58+I59+I60</f>
        <v>4275.6499999999996</v>
      </c>
      <c r="E62" s="33" t="s">
        <v>582</v>
      </c>
      <c r="F62" s="44">
        <v>0.25</v>
      </c>
      <c r="G62" s="215">
        <v>1.5</v>
      </c>
      <c r="H62" s="215"/>
      <c r="I62" s="34">
        <f>D62*F62*G62</f>
        <v>1603.37</v>
      </c>
      <c r="J62" s="220"/>
    </row>
    <row r="63" spans="1:13" x14ac:dyDescent="0.2">
      <c r="A63" s="229"/>
      <c r="B63" s="203" t="s">
        <v>196</v>
      </c>
      <c r="C63" s="297"/>
      <c r="D63" s="36"/>
      <c r="E63" s="95"/>
      <c r="F63" s="91"/>
      <c r="G63" s="219"/>
      <c r="H63" s="219"/>
      <c r="I63" s="230">
        <f>D62+I61+I62</f>
        <v>6159.02</v>
      </c>
      <c r="J63" s="220"/>
    </row>
    <row r="64" spans="1:13" ht="15.75" x14ac:dyDescent="0.25">
      <c r="A64" s="357" t="s">
        <v>51</v>
      </c>
      <c r="B64" s="358"/>
      <c r="C64" s="358"/>
      <c r="D64" s="358"/>
      <c r="E64" s="358"/>
      <c r="F64" s="358"/>
      <c r="G64" s="358"/>
      <c r="H64" s="358"/>
      <c r="I64" s="359"/>
      <c r="J64" s="220"/>
    </row>
    <row r="65" spans="1:10" ht="25.5" hidden="1" x14ac:dyDescent="0.2">
      <c r="A65" s="43">
        <v>62</v>
      </c>
      <c r="B65" s="33" t="s">
        <v>454</v>
      </c>
      <c r="C65" s="297"/>
      <c r="D65" s="45">
        <f>I35+I46+I63</f>
        <v>30100.33</v>
      </c>
      <c r="E65" s="94" t="s">
        <v>455</v>
      </c>
      <c r="F65" s="44">
        <v>0</v>
      </c>
      <c r="G65" s="215"/>
      <c r="H65" s="231"/>
      <c r="I65" s="34">
        <f t="shared" ref="I65:I71" si="3">D65*F65</f>
        <v>0</v>
      </c>
      <c r="J65" s="220"/>
    </row>
    <row r="66" spans="1:10" ht="51" x14ac:dyDescent="0.2">
      <c r="A66" s="43">
        <v>42</v>
      </c>
      <c r="B66" s="33" t="s">
        <v>558</v>
      </c>
      <c r="C66" s="297"/>
      <c r="D66" s="34">
        <f>I35</f>
        <v>20292.41</v>
      </c>
      <c r="E66" s="94" t="s">
        <v>456</v>
      </c>
      <c r="F66" s="296">
        <v>0.1</v>
      </c>
      <c r="G66" s="215"/>
      <c r="H66" s="231"/>
      <c r="I66" s="34">
        <f t="shared" si="3"/>
        <v>2029.24</v>
      </c>
    </row>
    <row r="67" spans="1:10" ht="25.5" x14ac:dyDescent="0.2">
      <c r="A67" s="43">
        <v>43</v>
      </c>
      <c r="B67" s="54" t="s">
        <v>583</v>
      </c>
      <c r="C67" s="297"/>
      <c r="D67" s="34">
        <f>D66+I66</f>
        <v>22321.65</v>
      </c>
      <c r="E67" s="94" t="s">
        <v>457</v>
      </c>
      <c r="F67" s="296">
        <v>0.36399999999999999</v>
      </c>
      <c r="G67" s="215"/>
      <c r="H67" s="231"/>
      <c r="I67" s="34">
        <f>D67*F67</f>
        <v>8125.08</v>
      </c>
    </row>
    <row r="68" spans="1:10" ht="25.5" x14ac:dyDescent="0.2">
      <c r="A68" s="43">
        <v>44</v>
      </c>
      <c r="B68" s="33" t="s">
        <v>559</v>
      </c>
      <c r="C68" s="297"/>
      <c r="D68" s="34">
        <f>D66+I66</f>
        <v>22321.65</v>
      </c>
      <c r="E68" s="232" t="s">
        <v>560</v>
      </c>
      <c r="F68" s="44">
        <v>0.06</v>
      </c>
      <c r="G68" s="215"/>
      <c r="H68" s="231"/>
      <c r="I68" s="34">
        <f>D68*F68</f>
        <v>1339.3</v>
      </c>
    </row>
    <row r="69" spans="1:10" ht="25.5" hidden="1" x14ac:dyDescent="0.2">
      <c r="A69" s="43">
        <v>64</v>
      </c>
      <c r="B69" s="33" t="s">
        <v>458</v>
      </c>
      <c r="C69" s="297"/>
      <c r="D69" s="45">
        <f>I31+I46+I63+I65</f>
        <v>23519.01</v>
      </c>
      <c r="E69" s="94" t="s">
        <v>459</v>
      </c>
      <c r="F69" s="44">
        <v>0</v>
      </c>
      <c r="G69" s="215"/>
      <c r="H69" s="231"/>
      <c r="I69" s="34">
        <f t="shared" si="3"/>
        <v>0</v>
      </c>
    </row>
    <row r="70" spans="1:10" hidden="1" x14ac:dyDescent="0.2">
      <c r="A70" s="43">
        <v>73</v>
      </c>
      <c r="B70" s="33" t="s">
        <v>460</v>
      </c>
      <c r="C70" s="297"/>
      <c r="D70" s="45">
        <f>I35+I46+I63+I65+I66+I67+I68+I69</f>
        <v>41593.949999999997</v>
      </c>
      <c r="E70" s="94" t="s">
        <v>461</v>
      </c>
      <c r="F70" s="44">
        <v>0</v>
      </c>
      <c r="G70" s="215"/>
      <c r="H70" s="231"/>
      <c r="I70" s="34">
        <f t="shared" si="3"/>
        <v>0</v>
      </c>
    </row>
    <row r="71" spans="1:10" s="233" customFormat="1" hidden="1" x14ac:dyDescent="0.2">
      <c r="A71" s="43">
        <v>74</v>
      </c>
      <c r="B71" s="33" t="s">
        <v>462</v>
      </c>
      <c r="C71" s="297"/>
      <c r="D71" s="45">
        <f>I35+I46+I63+I66+I67+I68+I69+I70+I65</f>
        <v>41593.949999999997</v>
      </c>
      <c r="E71" s="94" t="s">
        <v>463</v>
      </c>
      <c r="F71" s="44">
        <v>0</v>
      </c>
      <c r="G71" s="215"/>
      <c r="H71" s="231"/>
      <c r="I71" s="34">
        <f t="shared" si="3"/>
        <v>0</v>
      </c>
      <c r="J71" s="220"/>
    </row>
    <row r="72" spans="1:10" x14ac:dyDescent="0.2">
      <c r="A72" s="216"/>
      <c r="B72" s="35" t="s">
        <v>464</v>
      </c>
      <c r="C72" s="43"/>
      <c r="D72" s="234"/>
      <c r="E72" s="235"/>
      <c r="F72" s="236"/>
      <c r="G72" s="237"/>
      <c r="H72" s="238"/>
      <c r="I72" s="230">
        <f>I66+I67+I68</f>
        <v>11493.62</v>
      </c>
      <c r="J72" s="239"/>
    </row>
    <row r="73" spans="1:10" x14ac:dyDescent="0.2">
      <c r="A73" s="240"/>
      <c r="B73" s="241" t="s">
        <v>465</v>
      </c>
      <c r="C73" s="241"/>
      <c r="D73" s="299"/>
      <c r="E73" s="242"/>
      <c r="F73" s="242"/>
      <c r="G73" s="242"/>
      <c r="H73" s="242"/>
      <c r="I73" s="230">
        <f>I35+I46+I63+I72</f>
        <v>41593.949999999997</v>
      </c>
    </row>
    <row r="74" spans="1:10" ht="25.5" x14ac:dyDescent="0.2">
      <c r="A74" s="240"/>
      <c r="B74" s="241" t="s">
        <v>466</v>
      </c>
      <c r="C74" s="241"/>
      <c r="D74" s="243">
        <f>I73</f>
        <v>41593.949999999997</v>
      </c>
      <c r="E74" s="242" t="s">
        <v>463</v>
      </c>
      <c r="F74" s="244">
        <v>0.1</v>
      </c>
      <c r="G74" s="242">
        <v>1.1000000000000001</v>
      </c>
      <c r="H74" s="242"/>
      <c r="I74" s="230">
        <f>D74*G74</f>
        <v>45753.35</v>
      </c>
    </row>
    <row r="75" spans="1:10" ht="13.15" customHeight="1" x14ac:dyDescent="0.2">
      <c r="A75" s="202"/>
      <c r="B75" s="348" t="s">
        <v>586</v>
      </c>
      <c r="C75" s="355"/>
      <c r="D75" s="355"/>
      <c r="E75" s="355"/>
      <c r="F75" s="356"/>
      <c r="G75" s="245">
        <v>51.69</v>
      </c>
      <c r="H75" s="246"/>
      <c r="I75" s="247">
        <f>I74*G75</f>
        <v>2364990.66</v>
      </c>
    </row>
    <row r="76" spans="1:10" hidden="1" x14ac:dyDescent="0.2">
      <c r="A76" s="202"/>
      <c r="B76" s="360"/>
      <c r="C76" s="361"/>
      <c r="D76" s="361"/>
      <c r="E76" s="361"/>
      <c r="F76" s="361"/>
      <c r="G76" s="361"/>
      <c r="H76" s="361"/>
      <c r="I76" s="247"/>
      <c r="J76" s="176"/>
    </row>
    <row r="77" spans="1:10" x14ac:dyDescent="0.2">
      <c r="A77" s="202"/>
      <c r="B77" s="362" t="s">
        <v>467</v>
      </c>
      <c r="C77" s="363"/>
      <c r="D77" s="363"/>
      <c r="E77" s="363"/>
      <c r="F77" s="363"/>
      <c r="G77" s="363"/>
      <c r="H77" s="363"/>
      <c r="I77" s="247">
        <f>I75/5</f>
        <v>472998.13</v>
      </c>
      <c r="J77" s="176"/>
    </row>
    <row r="78" spans="1:10" x14ac:dyDescent="0.2">
      <c r="A78" s="229"/>
      <c r="B78" s="248" t="s">
        <v>468</v>
      </c>
      <c r="C78" s="249"/>
      <c r="D78" s="250"/>
      <c r="E78" s="251"/>
      <c r="F78" s="251"/>
      <c r="G78" s="251"/>
      <c r="H78" s="251"/>
      <c r="I78" s="247">
        <f>I75+I77</f>
        <v>2837988.79</v>
      </c>
      <c r="J78" s="176"/>
    </row>
    <row r="79" spans="1:10" x14ac:dyDescent="0.2">
      <c r="A79" s="252"/>
      <c r="B79" s="253"/>
      <c r="C79" s="254"/>
      <c r="D79" s="255"/>
      <c r="E79" s="253"/>
      <c r="F79" s="253"/>
      <c r="G79" s="253"/>
      <c r="H79" s="253"/>
      <c r="I79" s="256"/>
      <c r="J79" s="176"/>
    </row>
    <row r="80" spans="1:10" x14ac:dyDescent="0.2">
      <c r="B80" s="258" t="s">
        <v>469</v>
      </c>
      <c r="E80" s="259"/>
      <c r="F80" s="259"/>
      <c r="G80" s="259"/>
      <c r="H80" s="259"/>
      <c r="I80" s="259"/>
      <c r="J80" s="176"/>
    </row>
    <row r="81" spans="1:10" x14ac:dyDescent="0.2">
      <c r="A81" s="260"/>
      <c r="B81" s="261"/>
      <c r="C81" s="261"/>
      <c r="D81" s="261"/>
      <c r="E81" s="261"/>
      <c r="F81" s="261"/>
      <c r="G81" s="261"/>
      <c r="H81" s="261"/>
      <c r="I81" s="262"/>
      <c r="J81" s="176"/>
    </row>
    <row r="82" spans="1:10" x14ac:dyDescent="0.2">
      <c r="A82" s="260"/>
      <c r="B82" s="261"/>
      <c r="C82" s="261"/>
      <c r="D82" s="260"/>
      <c r="E82" s="261"/>
      <c r="F82" s="261"/>
      <c r="G82" s="261"/>
      <c r="H82" s="261"/>
      <c r="I82" s="262"/>
      <c r="J82" s="176"/>
    </row>
    <row r="83" spans="1:10" x14ac:dyDescent="0.2">
      <c r="A83" s="260"/>
      <c r="B83" s="261"/>
      <c r="C83" s="261"/>
      <c r="D83" s="260"/>
      <c r="E83" s="261"/>
      <c r="F83" s="261"/>
      <c r="G83" s="261"/>
      <c r="H83" s="261"/>
      <c r="I83" s="261"/>
      <c r="J83" s="263"/>
    </row>
    <row r="84" spans="1:10" x14ac:dyDescent="0.2">
      <c r="J84" s="176"/>
    </row>
    <row r="85" spans="1:10" x14ac:dyDescent="0.2">
      <c r="I85" s="263"/>
      <c r="J85" s="176"/>
    </row>
    <row r="86" spans="1:10" x14ac:dyDescent="0.2">
      <c r="I86" s="263"/>
      <c r="J86" s="176"/>
    </row>
  </sheetData>
  <mergeCells count="22">
    <mergeCell ref="A7:H7"/>
    <mergeCell ref="A1:I1"/>
    <mergeCell ref="A2:I2"/>
    <mergeCell ref="A3:I3"/>
    <mergeCell ref="A5:I5"/>
    <mergeCell ref="A6:H6"/>
    <mergeCell ref="J51:J52"/>
    <mergeCell ref="J59:J60"/>
    <mergeCell ref="A9:A10"/>
    <mergeCell ref="B9:B10"/>
    <mergeCell ref="C9:C10"/>
    <mergeCell ref="D9:D10"/>
    <mergeCell ref="E9:E10"/>
    <mergeCell ref="F9:H9"/>
    <mergeCell ref="A64:I64"/>
    <mergeCell ref="B75:F75"/>
    <mergeCell ref="B76:H76"/>
    <mergeCell ref="B77:H77"/>
    <mergeCell ref="I9:I10"/>
    <mergeCell ref="A12:I12"/>
    <mergeCell ref="A36:I36"/>
    <mergeCell ref="A47:I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8" workbookViewId="0">
      <selection activeCell="E45" sqref="E45"/>
    </sheetView>
  </sheetViews>
  <sheetFormatPr defaultColWidth="9.140625" defaultRowHeight="15" x14ac:dyDescent="0.25"/>
  <cols>
    <col min="1" max="1" width="4.5703125" customWidth="1"/>
    <col min="2" max="2" width="37.28515625" customWidth="1"/>
    <col min="3" max="3" width="10.42578125" customWidth="1"/>
    <col min="4" max="4" width="8.85546875" customWidth="1"/>
    <col min="5" max="5" width="24.85546875" customWidth="1"/>
    <col min="6" max="6" width="13.140625" customWidth="1"/>
    <col min="7" max="7" width="10" customWidth="1"/>
    <col min="8" max="11" width="8.7109375" customWidth="1"/>
    <col min="12" max="12" width="15.7109375" customWidth="1"/>
    <col min="13" max="13" width="33.7109375" customWidth="1"/>
    <col min="14" max="14" width="11.140625" customWidth="1"/>
    <col min="257" max="257" width="4.5703125" customWidth="1"/>
    <col min="258" max="258" width="37.28515625" customWidth="1"/>
    <col min="259" max="259" width="10.42578125" customWidth="1"/>
    <col min="260" max="260" width="13.7109375" customWidth="1"/>
    <col min="261" max="261" width="24.5703125" customWidth="1"/>
    <col min="262" max="262" width="10" customWidth="1"/>
    <col min="263" max="267" width="8.7109375" customWidth="1"/>
    <col min="268" max="268" width="15.7109375" customWidth="1"/>
    <col min="269" max="269" width="33.7109375" customWidth="1"/>
    <col min="270" max="270" width="11.140625" customWidth="1"/>
    <col min="513" max="513" width="4.5703125" customWidth="1"/>
    <col min="514" max="514" width="37.28515625" customWidth="1"/>
    <col min="515" max="515" width="10.42578125" customWidth="1"/>
    <col min="516" max="516" width="13.7109375" customWidth="1"/>
    <col min="517" max="517" width="24.5703125" customWidth="1"/>
    <col min="518" max="518" width="10" customWidth="1"/>
    <col min="519" max="523" width="8.7109375" customWidth="1"/>
    <col min="524" max="524" width="15.7109375" customWidth="1"/>
    <col min="525" max="525" width="33.7109375" customWidth="1"/>
    <col min="526" max="526" width="11.140625" customWidth="1"/>
    <col min="769" max="769" width="4.5703125" customWidth="1"/>
    <col min="770" max="770" width="37.28515625" customWidth="1"/>
    <col min="771" max="771" width="10.42578125" customWidth="1"/>
    <col min="772" max="772" width="13.7109375" customWidth="1"/>
    <col min="773" max="773" width="24.5703125" customWidth="1"/>
    <col min="774" max="774" width="10" customWidth="1"/>
    <col min="775" max="779" width="8.7109375" customWidth="1"/>
    <col min="780" max="780" width="15.7109375" customWidth="1"/>
    <col min="781" max="781" width="33.7109375" customWidth="1"/>
    <col min="782" max="782" width="11.140625" customWidth="1"/>
    <col min="1025" max="1025" width="4.5703125" customWidth="1"/>
    <col min="1026" max="1026" width="37.28515625" customWidth="1"/>
    <col min="1027" max="1027" width="10.42578125" customWidth="1"/>
    <col min="1028" max="1028" width="13.7109375" customWidth="1"/>
    <col min="1029" max="1029" width="24.5703125" customWidth="1"/>
    <col min="1030" max="1030" width="10" customWidth="1"/>
    <col min="1031" max="1035" width="8.7109375" customWidth="1"/>
    <col min="1036" max="1036" width="15.7109375" customWidth="1"/>
    <col min="1037" max="1037" width="33.7109375" customWidth="1"/>
    <col min="1038" max="1038" width="11.140625" customWidth="1"/>
    <col min="1281" max="1281" width="4.5703125" customWidth="1"/>
    <col min="1282" max="1282" width="37.28515625" customWidth="1"/>
    <col min="1283" max="1283" width="10.42578125" customWidth="1"/>
    <col min="1284" max="1284" width="13.7109375" customWidth="1"/>
    <col min="1285" max="1285" width="24.5703125" customWidth="1"/>
    <col min="1286" max="1286" width="10" customWidth="1"/>
    <col min="1287" max="1291" width="8.7109375" customWidth="1"/>
    <col min="1292" max="1292" width="15.7109375" customWidth="1"/>
    <col min="1293" max="1293" width="33.7109375" customWidth="1"/>
    <col min="1294" max="1294" width="11.140625" customWidth="1"/>
    <col min="1537" max="1537" width="4.5703125" customWidth="1"/>
    <col min="1538" max="1538" width="37.28515625" customWidth="1"/>
    <col min="1539" max="1539" width="10.42578125" customWidth="1"/>
    <col min="1540" max="1540" width="13.7109375" customWidth="1"/>
    <col min="1541" max="1541" width="24.5703125" customWidth="1"/>
    <col min="1542" max="1542" width="10" customWidth="1"/>
    <col min="1543" max="1547" width="8.7109375" customWidth="1"/>
    <col min="1548" max="1548" width="15.7109375" customWidth="1"/>
    <col min="1549" max="1549" width="33.7109375" customWidth="1"/>
    <col min="1550" max="1550" width="11.140625" customWidth="1"/>
    <col min="1793" max="1793" width="4.5703125" customWidth="1"/>
    <col min="1794" max="1794" width="37.28515625" customWidth="1"/>
    <col min="1795" max="1795" width="10.42578125" customWidth="1"/>
    <col min="1796" max="1796" width="13.7109375" customWidth="1"/>
    <col min="1797" max="1797" width="24.5703125" customWidth="1"/>
    <col min="1798" max="1798" width="10" customWidth="1"/>
    <col min="1799" max="1803" width="8.7109375" customWidth="1"/>
    <col min="1804" max="1804" width="15.7109375" customWidth="1"/>
    <col min="1805" max="1805" width="33.7109375" customWidth="1"/>
    <col min="1806" max="1806" width="11.140625" customWidth="1"/>
    <col min="2049" max="2049" width="4.5703125" customWidth="1"/>
    <col min="2050" max="2050" width="37.28515625" customWidth="1"/>
    <col min="2051" max="2051" width="10.42578125" customWidth="1"/>
    <col min="2052" max="2052" width="13.7109375" customWidth="1"/>
    <col min="2053" max="2053" width="24.5703125" customWidth="1"/>
    <col min="2054" max="2054" width="10" customWidth="1"/>
    <col min="2055" max="2059" width="8.7109375" customWidth="1"/>
    <col min="2060" max="2060" width="15.7109375" customWidth="1"/>
    <col min="2061" max="2061" width="33.7109375" customWidth="1"/>
    <col min="2062" max="2062" width="11.140625" customWidth="1"/>
    <col min="2305" max="2305" width="4.5703125" customWidth="1"/>
    <col min="2306" max="2306" width="37.28515625" customWidth="1"/>
    <col min="2307" max="2307" width="10.42578125" customWidth="1"/>
    <col min="2308" max="2308" width="13.7109375" customWidth="1"/>
    <col min="2309" max="2309" width="24.5703125" customWidth="1"/>
    <col min="2310" max="2310" width="10" customWidth="1"/>
    <col min="2311" max="2315" width="8.7109375" customWidth="1"/>
    <col min="2316" max="2316" width="15.7109375" customWidth="1"/>
    <col min="2317" max="2317" width="33.7109375" customWidth="1"/>
    <col min="2318" max="2318" width="11.140625" customWidth="1"/>
    <col min="2561" max="2561" width="4.5703125" customWidth="1"/>
    <col min="2562" max="2562" width="37.28515625" customWidth="1"/>
    <col min="2563" max="2563" width="10.42578125" customWidth="1"/>
    <col min="2564" max="2564" width="13.7109375" customWidth="1"/>
    <col min="2565" max="2565" width="24.5703125" customWidth="1"/>
    <col min="2566" max="2566" width="10" customWidth="1"/>
    <col min="2567" max="2571" width="8.7109375" customWidth="1"/>
    <col min="2572" max="2572" width="15.7109375" customWidth="1"/>
    <col min="2573" max="2573" width="33.7109375" customWidth="1"/>
    <col min="2574" max="2574" width="11.140625" customWidth="1"/>
    <col min="2817" max="2817" width="4.5703125" customWidth="1"/>
    <col min="2818" max="2818" width="37.28515625" customWidth="1"/>
    <col min="2819" max="2819" width="10.42578125" customWidth="1"/>
    <col min="2820" max="2820" width="13.7109375" customWidth="1"/>
    <col min="2821" max="2821" width="24.5703125" customWidth="1"/>
    <col min="2822" max="2822" width="10" customWidth="1"/>
    <col min="2823" max="2827" width="8.7109375" customWidth="1"/>
    <col min="2828" max="2828" width="15.7109375" customWidth="1"/>
    <col min="2829" max="2829" width="33.7109375" customWidth="1"/>
    <col min="2830" max="2830" width="11.140625" customWidth="1"/>
    <col min="3073" max="3073" width="4.5703125" customWidth="1"/>
    <col min="3074" max="3074" width="37.28515625" customWidth="1"/>
    <col min="3075" max="3075" width="10.42578125" customWidth="1"/>
    <col min="3076" max="3076" width="13.7109375" customWidth="1"/>
    <col min="3077" max="3077" width="24.5703125" customWidth="1"/>
    <col min="3078" max="3078" width="10" customWidth="1"/>
    <col min="3079" max="3083" width="8.7109375" customWidth="1"/>
    <col min="3084" max="3084" width="15.7109375" customWidth="1"/>
    <col min="3085" max="3085" width="33.7109375" customWidth="1"/>
    <col min="3086" max="3086" width="11.140625" customWidth="1"/>
    <col min="3329" max="3329" width="4.5703125" customWidth="1"/>
    <col min="3330" max="3330" width="37.28515625" customWidth="1"/>
    <col min="3331" max="3331" width="10.42578125" customWidth="1"/>
    <col min="3332" max="3332" width="13.7109375" customWidth="1"/>
    <col min="3333" max="3333" width="24.5703125" customWidth="1"/>
    <col min="3334" max="3334" width="10" customWidth="1"/>
    <col min="3335" max="3339" width="8.7109375" customWidth="1"/>
    <col min="3340" max="3340" width="15.7109375" customWidth="1"/>
    <col min="3341" max="3341" width="33.7109375" customWidth="1"/>
    <col min="3342" max="3342" width="11.140625" customWidth="1"/>
    <col min="3585" max="3585" width="4.5703125" customWidth="1"/>
    <col min="3586" max="3586" width="37.28515625" customWidth="1"/>
    <col min="3587" max="3587" width="10.42578125" customWidth="1"/>
    <col min="3588" max="3588" width="13.7109375" customWidth="1"/>
    <col min="3589" max="3589" width="24.5703125" customWidth="1"/>
    <col min="3590" max="3590" width="10" customWidth="1"/>
    <col min="3591" max="3595" width="8.7109375" customWidth="1"/>
    <col min="3596" max="3596" width="15.7109375" customWidth="1"/>
    <col min="3597" max="3597" width="33.7109375" customWidth="1"/>
    <col min="3598" max="3598" width="11.140625" customWidth="1"/>
    <col min="3841" max="3841" width="4.5703125" customWidth="1"/>
    <col min="3842" max="3842" width="37.28515625" customWidth="1"/>
    <col min="3843" max="3843" width="10.42578125" customWidth="1"/>
    <col min="3844" max="3844" width="13.7109375" customWidth="1"/>
    <col min="3845" max="3845" width="24.5703125" customWidth="1"/>
    <col min="3846" max="3846" width="10" customWidth="1"/>
    <col min="3847" max="3851" width="8.7109375" customWidth="1"/>
    <col min="3852" max="3852" width="15.7109375" customWidth="1"/>
    <col min="3853" max="3853" width="33.7109375" customWidth="1"/>
    <col min="3854" max="3854" width="11.140625" customWidth="1"/>
    <col min="4097" max="4097" width="4.5703125" customWidth="1"/>
    <col min="4098" max="4098" width="37.28515625" customWidth="1"/>
    <col min="4099" max="4099" width="10.42578125" customWidth="1"/>
    <col min="4100" max="4100" width="13.7109375" customWidth="1"/>
    <col min="4101" max="4101" width="24.5703125" customWidth="1"/>
    <col min="4102" max="4102" width="10" customWidth="1"/>
    <col min="4103" max="4107" width="8.7109375" customWidth="1"/>
    <col min="4108" max="4108" width="15.7109375" customWidth="1"/>
    <col min="4109" max="4109" width="33.7109375" customWidth="1"/>
    <col min="4110" max="4110" width="11.140625" customWidth="1"/>
    <col min="4353" max="4353" width="4.5703125" customWidth="1"/>
    <col min="4354" max="4354" width="37.28515625" customWidth="1"/>
    <col min="4355" max="4355" width="10.42578125" customWidth="1"/>
    <col min="4356" max="4356" width="13.7109375" customWidth="1"/>
    <col min="4357" max="4357" width="24.5703125" customWidth="1"/>
    <col min="4358" max="4358" width="10" customWidth="1"/>
    <col min="4359" max="4363" width="8.7109375" customWidth="1"/>
    <col min="4364" max="4364" width="15.7109375" customWidth="1"/>
    <col min="4365" max="4365" width="33.7109375" customWidth="1"/>
    <col min="4366" max="4366" width="11.140625" customWidth="1"/>
    <col min="4609" max="4609" width="4.5703125" customWidth="1"/>
    <col min="4610" max="4610" width="37.28515625" customWidth="1"/>
    <col min="4611" max="4611" width="10.42578125" customWidth="1"/>
    <col min="4612" max="4612" width="13.7109375" customWidth="1"/>
    <col min="4613" max="4613" width="24.5703125" customWidth="1"/>
    <col min="4614" max="4614" width="10" customWidth="1"/>
    <col min="4615" max="4619" width="8.7109375" customWidth="1"/>
    <col min="4620" max="4620" width="15.7109375" customWidth="1"/>
    <col min="4621" max="4621" width="33.7109375" customWidth="1"/>
    <col min="4622" max="4622" width="11.140625" customWidth="1"/>
    <col min="4865" max="4865" width="4.5703125" customWidth="1"/>
    <col min="4866" max="4866" width="37.28515625" customWidth="1"/>
    <col min="4867" max="4867" width="10.42578125" customWidth="1"/>
    <col min="4868" max="4868" width="13.7109375" customWidth="1"/>
    <col min="4869" max="4869" width="24.5703125" customWidth="1"/>
    <col min="4870" max="4870" width="10" customWidth="1"/>
    <col min="4871" max="4875" width="8.7109375" customWidth="1"/>
    <col min="4876" max="4876" width="15.7109375" customWidth="1"/>
    <col min="4877" max="4877" width="33.7109375" customWidth="1"/>
    <col min="4878" max="4878" width="11.140625" customWidth="1"/>
    <col min="5121" max="5121" width="4.5703125" customWidth="1"/>
    <col min="5122" max="5122" width="37.28515625" customWidth="1"/>
    <col min="5123" max="5123" width="10.42578125" customWidth="1"/>
    <col min="5124" max="5124" width="13.7109375" customWidth="1"/>
    <col min="5125" max="5125" width="24.5703125" customWidth="1"/>
    <col min="5126" max="5126" width="10" customWidth="1"/>
    <col min="5127" max="5131" width="8.7109375" customWidth="1"/>
    <col min="5132" max="5132" width="15.7109375" customWidth="1"/>
    <col min="5133" max="5133" width="33.7109375" customWidth="1"/>
    <col min="5134" max="5134" width="11.140625" customWidth="1"/>
    <col min="5377" max="5377" width="4.5703125" customWidth="1"/>
    <col min="5378" max="5378" width="37.28515625" customWidth="1"/>
    <col min="5379" max="5379" width="10.42578125" customWidth="1"/>
    <col min="5380" max="5380" width="13.7109375" customWidth="1"/>
    <col min="5381" max="5381" width="24.5703125" customWidth="1"/>
    <col min="5382" max="5382" width="10" customWidth="1"/>
    <col min="5383" max="5387" width="8.7109375" customWidth="1"/>
    <col min="5388" max="5388" width="15.7109375" customWidth="1"/>
    <col min="5389" max="5389" width="33.7109375" customWidth="1"/>
    <col min="5390" max="5390" width="11.140625" customWidth="1"/>
    <col min="5633" max="5633" width="4.5703125" customWidth="1"/>
    <col min="5634" max="5634" width="37.28515625" customWidth="1"/>
    <col min="5635" max="5635" width="10.42578125" customWidth="1"/>
    <col min="5636" max="5636" width="13.7109375" customWidth="1"/>
    <col min="5637" max="5637" width="24.5703125" customWidth="1"/>
    <col min="5638" max="5638" width="10" customWidth="1"/>
    <col min="5639" max="5643" width="8.7109375" customWidth="1"/>
    <col min="5644" max="5644" width="15.7109375" customWidth="1"/>
    <col min="5645" max="5645" width="33.7109375" customWidth="1"/>
    <col min="5646" max="5646" width="11.140625" customWidth="1"/>
    <col min="5889" max="5889" width="4.5703125" customWidth="1"/>
    <col min="5890" max="5890" width="37.28515625" customWidth="1"/>
    <col min="5891" max="5891" width="10.42578125" customWidth="1"/>
    <col min="5892" max="5892" width="13.7109375" customWidth="1"/>
    <col min="5893" max="5893" width="24.5703125" customWidth="1"/>
    <col min="5894" max="5894" width="10" customWidth="1"/>
    <col min="5895" max="5899" width="8.7109375" customWidth="1"/>
    <col min="5900" max="5900" width="15.7109375" customWidth="1"/>
    <col min="5901" max="5901" width="33.7109375" customWidth="1"/>
    <col min="5902" max="5902" width="11.140625" customWidth="1"/>
    <col min="6145" max="6145" width="4.5703125" customWidth="1"/>
    <col min="6146" max="6146" width="37.28515625" customWidth="1"/>
    <col min="6147" max="6147" width="10.42578125" customWidth="1"/>
    <col min="6148" max="6148" width="13.7109375" customWidth="1"/>
    <col min="6149" max="6149" width="24.5703125" customWidth="1"/>
    <col min="6150" max="6150" width="10" customWidth="1"/>
    <col min="6151" max="6155" width="8.7109375" customWidth="1"/>
    <col min="6156" max="6156" width="15.7109375" customWidth="1"/>
    <col min="6157" max="6157" width="33.7109375" customWidth="1"/>
    <col min="6158" max="6158" width="11.140625" customWidth="1"/>
    <col min="6401" max="6401" width="4.5703125" customWidth="1"/>
    <col min="6402" max="6402" width="37.28515625" customWidth="1"/>
    <col min="6403" max="6403" width="10.42578125" customWidth="1"/>
    <col min="6404" max="6404" width="13.7109375" customWidth="1"/>
    <col min="6405" max="6405" width="24.5703125" customWidth="1"/>
    <col min="6406" max="6406" width="10" customWidth="1"/>
    <col min="6407" max="6411" width="8.7109375" customWidth="1"/>
    <col min="6412" max="6412" width="15.7109375" customWidth="1"/>
    <col min="6413" max="6413" width="33.7109375" customWidth="1"/>
    <col min="6414" max="6414" width="11.140625" customWidth="1"/>
    <col min="6657" max="6657" width="4.5703125" customWidth="1"/>
    <col min="6658" max="6658" width="37.28515625" customWidth="1"/>
    <col min="6659" max="6659" width="10.42578125" customWidth="1"/>
    <col min="6660" max="6660" width="13.7109375" customWidth="1"/>
    <col min="6661" max="6661" width="24.5703125" customWidth="1"/>
    <col min="6662" max="6662" width="10" customWidth="1"/>
    <col min="6663" max="6667" width="8.7109375" customWidth="1"/>
    <col min="6668" max="6668" width="15.7109375" customWidth="1"/>
    <col min="6669" max="6669" width="33.7109375" customWidth="1"/>
    <col min="6670" max="6670" width="11.140625" customWidth="1"/>
    <col min="6913" max="6913" width="4.5703125" customWidth="1"/>
    <col min="6914" max="6914" width="37.28515625" customWidth="1"/>
    <col min="6915" max="6915" width="10.42578125" customWidth="1"/>
    <col min="6916" max="6916" width="13.7109375" customWidth="1"/>
    <col min="6917" max="6917" width="24.5703125" customWidth="1"/>
    <col min="6918" max="6918" width="10" customWidth="1"/>
    <col min="6919" max="6923" width="8.7109375" customWidth="1"/>
    <col min="6924" max="6924" width="15.7109375" customWidth="1"/>
    <col min="6925" max="6925" width="33.7109375" customWidth="1"/>
    <col min="6926" max="6926" width="11.140625" customWidth="1"/>
    <col min="7169" max="7169" width="4.5703125" customWidth="1"/>
    <col min="7170" max="7170" width="37.28515625" customWidth="1"/>
    <col min="7171" max="7171" width="10.42578125" customWidth="1"/>
    <col min="7172" max="7172" width="13.7109375" customWidth="1"/>
    <col min="7173" max="7173" width="24.5703125" customWidth="1"/>
    <col min="7174" max="7174" width="10" customWidth="1"/>
    <col min="7175" max="7179" width="8.7109375" customWidth="1"/>
    <col min="7180" max="7180" width="15.7109375" customWidth="1"/>
    <col min="7181" max="7181" width="33.7109375" customWidth="1"/>
    <col min="7182" max="7182" width="11.140625" customWidth="1"/>
    <col min="7425" max="7425" width="4.5703125" customWidth="1"/>
    <col min="7426" max="7426" width="37.28515625" customWidth="1"/>
    <col min="7427" max="7427" width="10.42578125" customWidth="1"/>
    <col min="7428" max="7428" width="13.7109375" customWidth="1"/>
    <col min="7429" max="7429" width="24.5703125" customWidth="1"/>
    <col min="7430" max="7430" width="10" customWidth="1"/>
    <col min="7431" max="7435" width="8.7109375" customWidth="1"/>
    <col min="7436" max="7436" width="15.7109375" customWidth="1"/>
    <col min="7437" max="7437" width="33.7109375" customWidth="1"/>
    <col min="7438" max="7438" width="11.140625" customWidth="1"/>
    <col min="7681" max="7681" width="4.5703125" customWidth="1"/>
    <col min="7682" max="7682" width="37.28515625" customWidth="1"/>
    <col min="7683" max="7683" width="10.42578125" customWidth="1"/>
    <col min="7684" max="7684" width="13.7109375" customWidth="1"/>
    <col min="7685" max="7685" width="24.5703125" customWidth="1"/>
    <col min="7686" max="7686" width="10" customWidth="1"/>
    <col min="7687" max="7691" width="8.7109375" customWidth="1"/>
    <col min="7692" max="7692" width="15.7109375" customWidth="1"/>
    <col min="7693" max="7693" width="33.7109375" customWidth="1"/>
    <col min="7694" max="7694" width="11.140625" customWidth="1"/>
    <col min="7937" max="7937" width="4.5703125" customWidth="1"/>
    <col min="7938" max="7938" width="37.28515625" customWidth="1"/>
    <col min="7939" max="7939" width="10.42578125" customWidth="1"/>
    <col min="7940" max="7940" width="13.7109375" customWidth="1"/>
    <col min="7941" max="7941" width="24.5703125" customWidth="1"/>
    <col min="7942" max="7942" width="10" customWidth="1"/>
    <col min="7943" max="7947" width="8.7109375" customWidth="1"/>
    <col min="7948" max="7948" width="15.7109375" customWidth="1"/>
    <col min="7949" max="7949" width="33.7109375" customWidth="1"/>
    <col min="7950" max="7950" width="11.140625" customWidth="1"/>
    <col min="8193" max="8193" width="4.5703125" customWidth="1"/>
    <col min="8194" max="8194" width="37.28515625" customWidth="1"/>
    <col min="8195" max="8195" width="10.42578125" customWidth="1"/>
    <col min="8196" max="8196" width="13.7109375" customWidth="1"/>
    <col min="8197" max="8197" width="24.5703125" customWidth="1"/>
    <col min="8198" max="8198" width="10" customWidth="1"/>
    <col min="8199" max="8203" width="8.7109375" customWidth="1"/>
    <col min="8204" max="8204" width="15.7109375" customWidth="1"/>
    <col min="8205" max="8205" width="33.7109375" customWidth="1"/>
    <col min="8206" max="8206" width="11.140625" customWidth="1"/>
    <col min="8449" max="8449" width="4.5703125" customWidth="1"/>
    <col min="8450" max="8450" width="37.28515625" customWidth="1"/>
    <col min="8451" max="8451" width="10.42578125" customWidth="1"/>
    <col min="8452" max="8452" width="13.7109375" customWidth="1"/>
    <col min="8453" max="8453" width="24.5703125" customWidth="1"/>
    <col min="8454" max="8454" width="10" customWidth="1"/>
    <col min="8455" max="8459" width="8.7109375" customWidth="1"/>
    <col min="8460" max="8460" width="15.7109375" customWidth="1"/>
    <col min="8461" max="8461" width="33.7109375" customWidth="1"/>
    <col min="8462" max="8462" width="11.140625" customWidth="1"/>
    <col min="8705" max="8705" width="4.5703125" customWidth="1"/>
    <col min="8706" max="8706" width="37.28515625" customWidth="1"/>
    <col min="8707" max="8707" width="10.42578125" customWidth="1"/>
    <col min="8708" max="8708" width="13.7109375" customWidth="1"/>
    <col min="8709" max="8709" width="24.5703125" customWidth="1"/>
    <col min="8710" max="8710" width="10" customWidth="1"/>
    <col min="8711" max="8715" width="8.7109375" customWidth="1"/>
    <col min="8716" max="8716" width="15.7109375" customWidth="1"/>
    <col min="8717" max="8717" width="33.7109375" customWidth="1"/>
    <col min="8718" max="8718" width="11.140625" customWidth="1"/>
    <col min="8961" max="8961" width="4.5703125" customWidth="1"/>
    <col min="8962" max="8962" width="37.28515625" customWidth="1"/>
    <col min="8963" max="8963" width="10.42578125" customWidth="1"/>
    <col min="8964" max="8964" width="13.7109375" customWidth="1"/>
    <col min="8965" max="8965" width="24.5703125" customWidth="1"/>
    <col min="8966" max="8966" width="10" customWidth="1"/>
    <col min="8967" max="8971" width="8.7109375" customWidth="1"/>
    <col min="8972" max="8972" width="15.7109375" customWidth="1"/>
    <col min="8973" max="8973" width="33.7109375" customWidth="1"/>
    <col min="8974" max="8974" width="11.140625" customWidth="1"/>
    <col min="9217" max="9217" width="4.5703125" customWidth="1"/>
    <col min="9218" max="9218" width="37.28515625" customWidth="1"/>
    <col min="9219" max="9219" width="10.42578125" customWidth="1"/>
    <col min="9220" max="9220" width="13.7109375" customWidth="1"/>
    <col min="9221" max="9221" width="24.5703125" customWidth="1"/>
    <col min="9222" max="9222" width="10" customWidth="1"/>
    <col min="9223" max="9227" width="8.7109375" customWidth="1"/>
    <col min="9228" max="9228" width="15.7109375" customWidth="1"/>
    <col min="9229" max="9229" width="33.7109375" customWidth="1"/>
    <col min="9230" max="9230" width="11.140625" customWidth="1"/>
    <col min="9473" max="9473" width="4.5703125" customWidth="1"/>
    <col min="9474" max="9474" width="37.28515625" customWidth="1"/>
    <col min="9475" max="9475" width="10.42578125" customWidth="1"/>
    <col min="9476" max="9476" width="13.7109375" customWidth="1"/>
    <col min="9477" max="9477" width="24.5703125" customWidth="1"/>
    <col min="9478" max="9478" width="10" customWidth="1"/>
    <col min="9479" max="9483" width="8.7109375" customWidth="1"/>
    <col min="9484" max="9484" width="15.7109375" customWidth="1"/>
    <col min="9485" max="9485" width="33.7109375" customWidth="1"/>
    <col min="9486" max="9486" width="11.140625" customWidth="1"/>
    <col min="9729" max="9729" width="4.5703125" customWidth="1"/>
    <col min="9730" max="9730" width="37.28515625" customWidth="1"/>
    <col min="9731" max="9731" width="10.42578125" customWidth="1"/>
    <col min="9732" max="9732" width="13.7109375" customWidth="1"/>
    <col min="9733" max="9733" width="24.5703125" customWidth="1"/>
    <col min="9734" max="9734" width="10" customWidth="1"/>
    <col min="9735" max="9739" width="8.7109375" customWidth="1"/>
    <col min="9740" max="9740" width="15.7109375" customWidth="1"/>
    <col min="9741" max="9741" width="33.7109375" customWidth="1"/>
    <col min="9742" max="9742" width="11.140625" customWidth="1"/>
    <col min="9985" max="9985" width="4.5703125" customWidth="1"/>
    <col min="9986" max="9986" width="37.28515625" customWidth="1"/>
    <col min="9987" max="9987" width="10.42578125" customWidth="1"/>
    <col min="9988" max="9988" width="13.7109375" customWidth="1"/>
    <col min="9989" max="9989" width="24.5703125" customWidth="1"/>
    <col min="9990" max="9990" width="10" customWidth="1"/>
    <col min="9991" max="9995" width="8.7109375" customWidth="1"/>
    <col min="9996" max="9996" width="15.7109375" customWidth="1"/>
    <col min="9997" max="9997" width="33.7109375" customWidth="1"/>
    <col min="9998" max="9998" width="11.140625" customWidth="1"/>
    <col min="10241" max="10241" width="4.5703125" customWidth="1"/>
    <col min="10242" max="10242" width="37.28515625" customWidth="1"/>
    <col min="10243" max="10243" width="10.42578125" customWidth="1"/>
    <col min="10244" max="10244" width="13.7109375" customWidth="1"/>
    <col min="10245" max="10245" width="24.5703125" customWidth="1"/>
    <col min="10246" max="10246" width="10" customWidth="1"/>
    <col min="10247" max="10251" width="8.7109375" customWidth="1"/>
    <col min="10252" max="10252" width="15.7109375" customWidth="1"/>
    <col min="10253" max="10253" width="33.7109375" customWidth="1"/>
    <col min="10254" max="10254" width="11.140625" customWidth="1"/>
    <col min="10497" max="10497" width="4.5703125" customWidth="1"/>
    <col min="10498" max="10498" width="37.28515625" customWidth="1"/>
    <col min="10499" max="10499" width="10.42578125" customWidth="1"/>
    <col min="10500" max="10500" width="13.7109375" customWidth="1"/>
    <col min="10501" max="10501" width="24.5703125" customWidth="1"/>
    <col min="10502" max="10502" width="10" customWidth="1"/>
    <col min="10503" max="10507" width="8.7109375" customWidth="1"/>
    <col min="10508" max="10508" width="15.7109375" customWidth="1"/>
    <col min="10509" max="10509" width="33.7109375" customWidth="1"/>
    <col min="10510" max="10510" width="11.140625" customWidth="1"/>
    <col min="10753" max="10753" width="4.5703125" customWidth="1"/>
    <col min="10754" max="10754" width="37.28515625" customWidth="1"/>
    <col min="10755" max="10755" width="10.42578125" customWidth="1"/>
    <col min="10756" max="10756" width="13.7109375" customWidth="1"/>
    <col min="10757" max="10757" width="24.5703125" customWidth="1"/>
    <col min="10758" max="10758" width="10" customWidth="1"/>
    <col min="10759" max="10763" width="8.7109375" customWidth="1"/>
    <col min="10764" max="10764" width="15.7109375" customWidth="1"/>
    <col min="10765" max="10765" width="33.7109375" customWidth="1"/>
    <col min="10766" max="10766" width="11.140625" customWidth="1"/>
    <col min="11009" max="11009" width="4.5703125" customWidth="1"/>
    <col min="11010" max="11010" width="37.28515625" customWidth="1"/>
    <col min="11011" max="11011" width="10.42578125" customWidth="1"/>
    <col min="11012" max="11012" width="13.7109375" customWidth="1"/>
    <col min="11013" max="11013" width="24.5703125" customWidth="1"/>
    <col min="11014" max="11014" width="10" customWidth="1"/>
    <col min="11015" max="11019" width="8.7109375" customWidth="1"/>
    <col min="11020" max="11020" width="15.7109375" customWidth="1"/>
    <col min="11021" max="11021" width="33.7109375" customWidth="1"/>
    <col min="11022" max="11022" width="11.140625" customWidth="1"/>
    <col min="11265" max="11265" width="4.5703125" customWidth="1"/>
    <col min="11266" max="11266" width="37.28515625" customWidth="1"/>
    <col min="11267" max="11267" width="10.42578125" customWidth="1"/>
    <col min="11268" max="11268" width="13.7109375" customWidth="1"/>
    <col min="11269" max="11269" width="24.5703125" customWidth="1"/>
    <col min="11270" max="11270" width="10" customWidth="1"/>
    <col min="11271" max="11275" width="8.7109375" customWidth="1"/>
    <col min="11276" max="11276" width="15.7109375" customWidth="1"/>
    <col min="11277" max="11277" width="33.7109375" customWidth="1"/>
    <col min="11278" max="11278" width="11.140625" customWidth="1"/>
    <col min="11521" max="11521" width="4.5703125" customWidth="1"/>
    <col min="11522" max="11522" width="37.28515625" customWidth="1"/>
    <col min="11523" max="11523" width="10.42578125" customWidth="1"/>
    <col min="11524" max="11524" width="13.7109375" customWidth="1"/>
    <col min="11525" max="11525" width="24.5703125" customWidth="1"/>
    <col min="11526" max="11526" width="10" customWidth="1"/>
    <col min="11527" max="11531" width="8.7109375" customWidth="1"/>
    <col min="11532" max="11532" width="15.7109375" customWidth="1"/>
    <col min="11533" max="11533" width="33.7109375" customWidth="1"/>
    <col min="11534" max="11534" width="11.140625" customWidth="1"/>
    <col min="11777" max="11777" width="4.5703125" customWidth="1"/>
    <col min="11778" max="11778" width="37.28515625" customWidth="1"/>
    <col min="11779" max="11779" width="10.42578125" customWidth="1"/>
    <col min="11780" max="11780" width="13.7109375" customWidth="1"/>
    <col min="11781" max="11781" width="24.5703125" customWidth="1"/>
    <col min="11782" max="11782" width="10" customWidth="1"/>
    <col min="11783" max="11787" width="8.7109375" customWidth="1"/>
    <col min="11788" max="11788" width="15.7109375" customWidth="1"/>
    <col min="11789" max="11789" width="33.7109375" customWidth="1"/>
    <col min="11790" max="11790" width="11.140625" customWidth="1"/>
    <col min="12033" max="12033" width="4.5703125" customWidth="1"/>
    <col min="12034" max="12034" width="37.28515625" customWidth="1"/>
    <col min="12035" max="12035" width="10.42578125" customWidth="1"/>
    <col min="12036" max="12036" width="13.7109375" customWidth="1"/>
    <col min="12037" max="12037" width="24.5703125" customWidth="1"/>
    <col min="12038" max="12038" width="10" customWidth="1"/>
    <col min="12039" max="12043" width="8.7109375" customWidth="1"/>
    <col min="12044" max="12044" width="15.7109375" customWidth="1"/>
    <col min="12045" max="12045" width="33.7109375" customWidth="1"/>
    <col min="12046" max="12046" width="11.140625" customWidth="1"/>
    <col min="12289" max="12289" width="4.5703125" customWidth="1"/>
    <col min="12290" max="12290" width="37.28515625" customWidth="1"/>
    <col min="12291" max="12291" width="10.42578125" customWidth="1"/>
    <col min="12292" max="12292" width="13.7109375" customWidth="1"/>
    <col min="12293" max="12293" width="24.5703125" customWidth="1"/>
    <col min="12294" max="12294" width="10" customWidth="1"/>
    <col min="12295" max="12299" width="8.7109375" customWidth="1"/>
    <col min="12300" max="12300" width="15.7109375" customWidth="1"/>
    <col min="12301" max="12301" width="33.7109375" customWidth="1"/>
    <col min="12302" max="12302" width="11.140625" customWidth="1"/>
    <col min="12545" max="12545" width="4.5703125" customWidth="1"/>
    <col min="12546" max="12546" width="37.28515625" customWidth="1"/>
    <col min="12547" max="12547" width="10.42578125" customWidth="1"/>
    <col min="12548" max="12548" width="13.7109375" customWidth="1"/>
    <col min="12549" max="12549" width="24.5703125" customWidth="1"/>
    <col min="12550" max="12550" width="10" customWidth="1"/>
    <col min="12551" max="12555" width="8.7109375" customWidth="1"/>
    <col min="12556" max="12556" width="15.7109375" customWidth="1"/>
    <col min="12557" max="12557" width="33.7109375" customWidth="1"/>
    <col min="12558" max="12558" width="11.140625" customWidth="1"/>
    <col min="12801" max="12801" width="4.5703125" customWidth="1"/>
    <col min="12802" max="12802" width="37.28515625" customWidth="1"/>
    <col min="12803" max="12803" width="10.42578125" customWidth="1"/>
    <col min="12804" max="12804" width="13.7109375" customWidth="1"/>
    <col min="12805" max="12805" width="24.5703125" customWidth="1"/>
    <col min="12806" max="12806" width="10" customWidth="1"/>
    <col min="12807" max="12811" width="8.7109375" customWidth="1"/>
    <col min="12812" max="12812" width="15.7109375" customWidth="1"/>
    <col min="12813" max="12813" width="33.7109375" customWidth="1"/>
    <col min="12814" max="12814" width="11.140625" customWidth="1"/>
    <col min="13057" max="13057" width="4.5703125" customWidth="1"/>
    <col min="13058" max="13058" width="37.28515625" customWidth="1"/>
    <col min="13059" max="13059" width="10.42578125" customWidth="1"/>
    <col min="13060" max="13060" width="13.7109375" customWidth="1"/>
    <col min="13061" max="13061" width="24.5703125" customWidth="1"/>
    <col min="13062" max="13062" width="10" customWidth="1"/>
    <col min="13063" max="13067" width="8.7109375" customWidth="1"/>
    <col min="13068" max="13068" width="15.7109375" customWidth="1"/>
    <col min="13069" max="13069" width="33.7109375" customWidth="1"/>
    <col min="13070" max="13070" width="11.140625" customWidth="1"/>
    <col min="13313" max="13313" width="4.5703125" customWidth="1"/>
    <col min="13314" max="13314" width="37.28515625" customWidth="1"/>
    <col min="13315" max="13315" width="10.42578125" customWidth="1"/>
    <col min="13316" max="13316" width="13.7109375" customWidth="1"/>
    <col min="13317" max="13317" width="24.5703125" customWidth="1"/>
    <col min="13318" max="13318" width="10" customWidth="1"/>
    <col min="13319" max="13323" width="8.7109375" customWidth="1"/>
    <col min="13324" max="13324" width="15.7109375" customWidth="1"/>
    <col min="13325" max="13325" width="33.7109375" customWidth="1"/>
    <col min="13326" max="13326" width="11.140625" customWidth="1"/>
    <col min="13569" max="13569" width="4.5703125" customWidth="1"/>
    <col min="13570" max="13570" width="37.28515625" customWidth="1"/>
    <col min="13571" max="13571" width="10.42578125" customWidth="1"/>
    <col min="13572" max="13572" width="13.7109375" customWidth="1"/>
    <col min="13573" max="13573" width="24.5703125" customWidth="1"/>
    <col min="13574" max="13574" width="10" customWidth="1"/>
    <col min="13575" max="13579" width="8.7109375" customWidth="1"/>
    <col min="13580" max="13580" width="15.7109375" customWidth="1"/>
    <col min="13581" max="13581" width="33.7109375" customWidth="1"/>
    <col min="13582" max="13582" width="11.140625" customWidth="1"/>
    <col min="13825" max="13825" width="4.5703125" customWidth="1"/>
    <col min="13826" max="13826" width="37.28515625" customWidth="1"/>
    <col min="13827" max="13827" width="10.42578125" customWidth="1"/>
    <col min="13828" max="13828" width="13.7109375" customWidth="1"/>
    <col min="13829" max="13829" width="24.5703125" customWidth="1"/>
    <col min="13830" max="13830" width="10" customWidth="1"/>
    <col min="13831" max="13835" width="8.7109375" customWidth="1"/>
    <col min="13836" max="13836" width="15.7109375" customWidth="1"/>
    <col min="13837" max="13837" width="33.7109375" customWidth="1"/>
    <col min="13838" max="13838" width="11.140625" customWidth="1"/>
    <col min="14081" max="14081" width="4.5703125" customWidth="1"/>
    <col min="14082" max="14082" width="37.28515625" customWidth="1"/>
    <col min="14083" max="14083" width="10.42578125" customWidth="1"/>
    <col min="14084" max="14084" width="13.7109375" customWidth="1"/>
    <col min="14085" max="14085" width="24.5703125" customWidth="1"/>
    <col min="14086" max="14086" width="10" customWidth="1"/>
    <col min="14087" max="14091" width="8.7109375" customWidth="1"/>
    <col min="14092" max="14092" width="15.7109375" customWidth="1"/>
    <col min="14093" max="14093" width="33.7109375" customWidth="1"/>
    <col min="14094" max="14094" width="11.140625" customWidth="1"/>
    <col min="14337" max="14337" width="4.5703125" customWidth="1"/>
    <col min="14338" max="14338" width="37.28515625" customWidth="1"/>
    <col min="14339" max="14339" width="10.42578125" customWidth="1"/>
    <col min="14340" max="14340" width="13.7109375" customWidth="1"/>
    <col min="14341" max="14341" width="24.5703125" customWidth="1"/>
    <col min="14342" max="14342" width="10" customWidth="1"/>
    <col min="14343" max="14347" width="8.7109375" customWidth="1"/>
    <col min="14348" max="14348" width="15.7109375" customWidth="1"/>
    <col min="14349" max="14349" width="33.7109375" customWidth="1"/>
    <col min="14350" max="14350" width="11.140625" customWidth="1"/>
    <col min="14593" max="14593" width="4.5703125" customWidth="1"/>
    <col min="14594" max="14594" width="37.28515625" customWidth="1"/>
    <col min="14595" max="14595" width="10.42578125" customWidth="1"/>
    <col min="14596" max="14596" width="13.7109375" customWidth="1"/>
    <col min="14597" max="14597" width="24.5703125" customWidth="1"/>
    <col min="14598" max="14598" width="10" customWidth="1"/>
    <col min="14599" max="14603" width="8.7109375" customWidth="1"/>
    <col min="14604" max="14604" width="15.7109375" customWidth="1"/>
    <col min="14605" max="14605" width="33.7109375" customWidth="1"/>
    <col min="14606" max="14606" width="11.140625" customWidth="1"/>
    <col min="14849" max="14849" width="4.5703125" customWidth="1"/>
    <col min="14850" max="14850" width="37.28515625" customWidth="1"/>
    <col min="14851" max="14851" width="10.42578125" customWidth="1"/>
    <col min="14852" max="14852" width="13.7109375" customWidth="1"/>
    <col min="14853" max="14853" width="24.5703125" customWidth="1"/>
    <col min="14854" max="14854" width="10" customWidth="1"/>
    <col min="14855" max="14859" width="8.7109375" customWidth="1"/>
    <col min="14860" max="14860" width="15.7109375" customWidth="1"/>
    <col min="14861" max="14861" width="33.7109375" customWidth="1"/>
    <col min="14862" max="14862" width="11.140625" customWidth="1"/>
    <col min="15105" max="15105" width="4.5703125" customWidth="1"/>
    <col min="15106" max="15106" width="37.28515625" customWidth="1"/>
    <col min="15107" max="15107" width="10.42578125" customWidth="1"/>
    <col min="15108" max="15108" width="13.7109375" customWidth="1"/>
    <col min="15109" max="15109" width="24.5703125" customWidth="1"/>
    <col min="15110" max="15110" width="10" customWidth="1"/>
    <col min="15111" max="15115" width="8.7109375" customWidth="1"/>
    <col min="15116" max="15116" width="15.7109375" customWidth="1"/>
    <col min="15117" max="15117" width="33.7109375" customWidth="1"/>
    <col min="15118" max="15118" width="11.140625" customWidth="1"/>
    <col min="15361" max="15361" width="4.5703125" customWidth="1"/>
    <col min="15362" max="15362" width="37.28515625" customWidth="1"/>
    <col min="15363" max="15363" width="10.42578125" customWidth="1"/>
    <col min="15364" max="15364" width="13.7109375" customWidth="1"/>
    <col min="15365" max="15365" width="24.5703125" customWidth="1"/>
    <col min="15366" max="15366" width="10" customWidth="1"/>
    <col min="15367" max="15371" width="8.7109375" customWidth="1"/>
    <col min="15372" max="15372" width="15.7109375" customWidth="1"/>
    <col min="15373" max="15373" width="33.7109375" customWidth="1"/>
    <col min="15374" max="15374" width="11.140625" customWidth="1"/>
    <col min="15617" max="15617" width="4.5703125" customWidth="1"/>
    <col min="15618" max="15618" width="37.28515625" customWidth="1"/>
    <col min="15619" max="15619" width="10.42578125" customWidth="1"/>
    <col min="15620" max="15620" width="13.7109375" customWidth="1"/>
    <col min="15621" max="15621" width="24.5703125" customWidth="1"/>
    <col min="15622" max="15622" width="10" customWidth="1"/>
    <col min="15623" max="15627" width="8.7109375" customWidth="1"/>
    <col min="15628" max="15628" width="15.7109375" customWidth="1"/>
    <col min="15629" max="15629" width="33.7109375" customWidth="1"/>
    <col min="15630" max="15630" width="11.140625" customWidth="1"/>
    <col min="15873" max="15873" width="4.5703125" customWidth="1"/>
    <col min="15874" max="15874" width="37.28515625" customWidth="1"/>
    <col min="15875" max="15875" width="10.42578125" customWidth="1"/>
    <col min="15876" max="15876" width="13.7109375" customWidth="1"/>
    <col min="15877" max="15877" width="24.5703125" customWidth="1"/>
    <col min="15878" max="15878" width="10" customWidth="1"/>
    <col min="15879" max="15883" width="8.7109375" customWidth="1"/>
    <col min="15884" max="15884" width="15.7109375" customWidth="1"/>
    <col min="15885" max="15885" width="33.7109375" customWidth="1"/>
    <col min="15886" max="15886" width="11.140625" customWidth="1"/>
    <col min="16129" max="16129" width="4.5703125" customWidth="1"/>
    <col min="16130" max="16130" width="37.28515625" customWidth="1"/>
    <col min="16131" max="16131" width="10.42578125" customWidth="1"/>
    <col min="16132" max="16132" width="13.7109375" customWidth="1"/>
    <col min="16133" max="16133" width="24.5703125" customWidth="1"/>
    <col min="16134" max="16134" width="10" customWidth="1"/>
    <col min="16135" max="16139" width="8.7109375" customWidth="1"/>
    <col min="16140" max="16140" width="15.7109375" customWidth="1"/>
    <col min="16141" max="16141" width="33.7109375" customWidth="1"/>
    <col min="16142" max="16142" width="11.140625" customWidth="1"/>
  </cols>
  <sheetData>
    <row r="1" spans="1:13" s="176" customFormat="1" ht="14.25" x14ac:dyDescent="0.2">
      <c r="A1" s="370" t="s">
        <v>358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75"/>
    </row>
    <row r="2" spans="1:13" s="176" customFormat="1" ht="12.75" x14ac:dyDescent="0.2">
      <c r="A2" s="371" t="s">
        <v>470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175"/>
    </row>
    <row r="3" spans="1:13" s="176" customFormat="1" ht="7.9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175"/>
    </row>
    <row r="4" spans="1:13" s="176" customFormat="1" ht="12.75" hidden="1" x14ac:dyDescent="0.2">
      <c r="A4" s="177"/>
      <c r="B4" s="178"/>
      <c r="C4" s="178"/>
      <c r="D4" s="179"/>
      <c r="E4" s="178"/>
      <c r="F4" s="178"/>
      <c r="G4" s="178"/>
      <c r="H4" s="178"/>
      <c r="I4" s="178"/>
      <c r="J4" s="178"/>
      <c r="K4" s="178"/>
      <c r="L4" s="178"/>
      <c r="M4" s="175"/>
    </row>
    <row r="5" spans="1:13" s="176" customFormat="1" ht="32.25" customHeight="1" x14ac:dyDescent="0.2">
      <c r="A5" s="373" t="s">
        <v>360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175"/>
    </row>
    <row r="6" spans="1:13" s="176" customFormat="1" ht="13.15" customHeight="1" x14ac:dyDescent="0.2">
      <c r="A6" s="368" t="s">
        <v>361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178"/>
      <c r="M6" s="180"/>
    </row>
    <row r="7" spans="1:13" s="176" customFormat="1" ht="13.15" customHeight="1" x14ac:dyDescent="0.2">
      <c r="A7" s="368" t="s">
        <v>362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181"/>
      <c r="M7" s="175"/>
    </row>
    <row r="8" spans="1:13" s="265" customFormat="1" ht="32.25" customHeight="1" x14ac:dyDescent="0.2">
      <c r="A8" s="264" t="s">
        <v>167</v>
      </c>
      <c r="B8" s="264" t="s">
        <v>364</v>
      </c>
      <c r="C8" s="264" t="s">
        <v>471</v>
      </c>
      <c r="D8" s="264" t="s">
        <v>472</v>
      </c>
      <c r="E8" s="264" t="s">
        <v>45</v>
      </c>
      <c r="F8" s="264" t="s">
        <v>473</v>
      </c>
      <c r="G8" s="264" t="s">
        <v>474</v>
      </c>
    </row>
    <row r="9" spans="1:13" s="265" customFormat="1" ht="14.45" customHeight="1" x14ac:dyDescent="0.2">
      <c r="A9" s="266"/>
      <c r="B9" s="266"/>
      <c r="C9" s="266"/>
      <c r="D9" s="266"/>
      <c r="E9" s="267" t="s">
        <v>475</v>
      </c>
      <c r="F9" s="266"/>
      <c r="G9" s="266"/>
    </row>
    <row r="10" spans="1:13" s="265" customFormat="1" ht="51" x14ac:dyDescent="0.2">
      <c r="A10" s="268" t="s">
        <v>476</v>
      </c>
      <c r="B10" s="269" t="s">
        <v>477</v>
      </c>
      <c r="C10" s="269" t="s">
        <v>478</v>
      </c>
      <c r="D10" s="269">
        <v>100</v>
      </c>
      <c r="E10" s="269" t="s">
        <v>479</v>
      </c>
      <c r="F10" s="269" t="s">
        <v>480</v>
      </c>
      <c r="G10" s="270">
        <f>ROUND(14  * 100 * 1.1 * 1.2*1.21,2)</f>
        <v>2236.08</v>
      </c>
    </row>
    <row r="11" spans="1:13" s="265" customFormat="1" ht="16.149999999999999" customHeight="1" x14ac:dyDescent="0.2">
      <c r="A11" s="271" t="s">
        <v>481</v>
      </c>
      <c r="B11" s="272" t="s">
        <v>482</v>
      </c>
      <c r="C11" s="272"/>
      <c r="D11" s="272"/>
      <c r="E11" s="272"/>
      <c r="F11" s="272"/>
      <c r="G11" s="273"/>
    </row>
    <row r="12" spans="1:13" s="265" customFormat="1" ht="38.25" x14ac:dyDescent="0.2">
      <c r="A12" s="274" t="s">
        <v>481</v>
      </c>
      <c r="B12" s="275" t="s">
        <v>483</v>
      </c>
      <c r="C12" s="275"/>
      <c r="D12" s="275"/>
      <c r="E12" s="275" t="s">
        <v>484</v>
      </c>
      <c r="F12" s="275"/>
      <c r="G12" s="276"/>
    </row>
    <row r="13" spans="1:13" s="265" customFormat="1" ht="38.25" x14ac:dyDescent="0.2">
      <c r="A13" s="274" t="s">
        <v>481</v>
      </c>
      <c r="B13" s="275" t="s">
        <v>485</v>
      </c>
      <c r="C13" s="275"/>
      <c r="D13" s="275"/>
      <c r="E13" s="275" t="s">
        <v>486</v>
      </c>
      <c r="F13" s="275"/>
      <c r="G13" s="276"/>
    </row>
    <row r="14" spans="1:13" s="265" customFormat="1" ht="51" x14ac:dyDescent="0.2">
      <c r="A14" s="274" t="s">
        <v>481</v>
      </c>
      <c r="B14" s="275" t="s">
        <v>487</v>
      </c>
      <c r="C14" s="275"/>
      <c r="D14" s="275"/>
      <c r="E14" s="275" t="s">
        <v>488</v>
      </c>
      <c r="F14" s="275"/>
      <c r="G14" s="276"/>
    </row>
    <row r="15" spans="1:13" s="265" customFormat="1" ht="51" x14ac:dyDescent="0.2">
      <c r="A15" s="277" t="s">
        <v>489</v>
      </c>
      <c r="B15" s="278" t="s">
        <v>490</v>
      </c>
      <c r="C15" s="278" t="s">
        <v>478</v>
      </c>
      <c r="D15" s="278">
        <v>10</v>
      </c>
      <c r="E15" s="278" t="s">
        <v>491</v>
      </c>
      <c r="F15" s="278" t="s">
        <v>492</v>
      </c>
      <c r="G15" s="279">
        <f>ROUND(40* 3 *1.21 * 1.2,2)</f>
        <v>174.24</v>
      </c>
    </row>
    <row r="16" spans="1:13" s="265" customFormat="1" ht="12.75" x14ac:dyDescent="0.2">
      <c r="A16" s="271" t="s">
        <v>481</v>
      </c>
      <c r="B16" s="272" t="s">
        <v>482</v>
      </c>
      <c r="C16" s="272"/>
      <c r="D16" s="272"/>
      <c r="E16" s="272"/>
      <c r="F16" s="272"/>
      <c r="G16" s="273"/>
    </row>
    <row r="17" spans="1:7" s="265" customFormat="1" ht="38.25" x14ac:dyDescent="0.2">
      <c r="A17" s="274" t="s">
        <v>481</v>
      </c>
      <c r="B17" s="275" t="s">
        <v>485</v>
      </c>
      <c r="C17" s="275"/>
      <c r="D17" s="275"/>
      <c r="E17" s="275" t="s">
        <v>486</v>
      </c>
      <c r="F17" s="275"/>
      <c r="G17" s="276"/>
    </row>
    <row r="18" spans="1:7" s="265" customFormat="1" ht="51" x14ac:dyDescent="0.2">
      <c r="A18" s="280" t="s">
        <v>481</v>
      </c>
      <c r="B18" s="281" t="s">
        <v>487</v>
      </c>
      <c r="C18" s="281"/>
      <c r="D18" s="281"/>
      <c r="E18" s="281" t="s">
        <v>493</v>
      </c>
      <c r="F18" s="281"/>
      <c r="G18" s="282"/>
    </row>
    <row r="19" spans="1:7" s="265" customFormat="1" ht="13.15" customHeight="1" x14ac:dyDescent="0.2">
      <c r="A19" s="283" t="s">
        <v>494</v>
      </c>
      <c r="B19" s="281" t="s">
        <v>495</v>
      </c>
      <c r="C19" s="281"/>
      <c r="D19" s="281"/>
      <c r="E19" s="281"/>
      <c r="F19" s="281"/>
      <c r="G19" s="282">
        <f>G10+G15</f>
        <v>2410.3200000000002</v>
      </c>
    </row>
    <row r="20" spans="1:7" s="265" customFormat="1" ht="63.75" x14ac:dyDescent="0.2">
      <c r="A20" s="284" t="s">
        <v>496</v>
      </c>
      <c r="B20" s="285" t="s">
        <v>497</v>
      </c>
      <c r="C20" s="285"/>
      <c r="D20" s="285"/>
      <c r="E20" s="285" t="s">
        <v>498</v>
      </c>
      <c r="F20" s="285" t="s">
        <v>499</v>
      </c>
      <c r="G20" s="286">
        <f>G19*0.2</f>
        <v>482.06</v>
      </c>
    </row>
    <row r="21" spans="1:7" s="265" customFormat="1" ht="76.5" x14ac:dyDescent="0.2">
      <c r="A21" s="284" t="s">
        <v>500</v>
      </c>
      <c r="B21" s="285" t="s">
        <v>501</v>
      </c>
      <c r="C21" s="285"/>
      <c r="D21" s="285"/>
      <c r="E21" s="285" t="s">
        <v>502</v>
      </c>
      <c r="F21" s="285" t="s">
        <v>503</v>
      </c>
      <c r="G21" s="286">
        <f>(G19+G20)*0.4</f>
        <v>1156.95</v>
      </c>
    </row>
    <row r="22" spans="1:7" s="290" customFormat="1" ht="12.75" x14ac:dyDescent="0.2">
      <c r="A22" s="287" t="s">
        <v>504</v>
      </c>
      <c r="B22" s="288" t="s">
        <v>505</v>
      </c>
      <c r="C22" s="288"/>
      <c r="D22" s="288"/>
      <c r="E22" s="288"/>
      <c r="F22" s="288"/>
      <c r="G22" s="289">
        <f>G19+G20+G21</f>
        <v>4049.33</v>
      </c>
    </row>
    <row r="23" spans="1:7" s="265" customFormat="1" ht="13.15" customHeight="1" x14ac:dyDescent="0.2">
      <c r="A23" s="291"/>
      <c r="B23" s="285"/>
      <c r="C23" s="285"/>
      <c r="D23" s="285"/>
      <c r="E23" s="288" t="s">
        <v>506</v>
      </c>
      <c r="F23" s="285"/>
      <c r="G23" s="286"/>
    </row>
    <row r="24" spans="1:7" s="265" customFormat="1" ht="63.75" x14ac:dyDescent="0.2">
      <c r="A24" s="268" t="s">
        <v>507</v>
      </c>
      <c r="B24" s="269" t="s">
        <v>508</v>
      </c>
      <c r="C24" s="269" t="s">
        <v>509</v>
      </c>
      <c r="D24" s="269">
        <v>200</v>
      </c>
      <c r="E24" s="269" t="s">
        <v>510</v>
      </c>
      <c r="F24" s="269" t="s">
        <v>511</v>
      </c>
      <c r="G24" s="270">
        <f>ROUND(13  * 200 * 1.21,2)</f>
        <v>3146</v>
      </c>
    </row>
    <row r="25" spans="1:7" s="265" customFormat="1" ht="16.149999999999999" customHeight="1" x14ac:dyDescent="0.2">
      <c r="A25" s="271" t="s">
        <v>481</v>
      </c>
      <c r="B25" s="272" t="s">
        <v>482</v>
      </c>
      <c r="C25" s="272"/>
      <c r="D25" s="272"/>
      <c r="E25" s="272"/>
      <c r="F25" s="272"/>
      <c r="G25" s="273"/>
    </row>
    <row r="26" spans="1:7" s="265" customFormat="1" ht="39.6" customHeight="1" x14ac:dyDescent="0.2">
      <c r="A26" s="280" t="s">
        <v>481</v>
      </c>
      <c r="B26" s="281" t="s">
        <v>485</v>
      </c>
      <c r="C26" s="281"/>
      <c r="D26" s="281"/>
      <c r="E26" s="281" t="s">
        <v>512</v>
      </c>
      <c r="F26" s="281"/>
      <c r="G26" s="282"/>
    </row>
    <row r="27" spans="1:7" s="265" customFormat="1" ht="76.5" x14ac:dyDescent="0.2">
      <c r="A27" s="277" t="s">
        <v>513</v>
      </c>
      <c r="B27" s="278" t="s">
        <v>514</v>
      </c>
      <c r="C27" s="278" t="s">
        <v>515</v>
      </c>
      <c r="D27" s="278">
        <v>3</v>
      </c>
      <c r="E27" s="278" t="s">
        <v>516</v>
      </c>
      <c r="F27" s="278" t="s">
        <v>517</v>
      </c>
      <c r="G27" s="279">
        <f>ROUND(43  *10* 1.21,2)</f>
        <v>520.29999999999995</v>
      </c>
    </row>
    <row r="28" spans="1:7" s="265" customFormat="1" ht="16.149999999999999" customHeight="1" x14ac:dyDescent="0.2">
      <c r="A28" s="271" t="s">
        <v>481</v>
      </c>
      <c r="B28" s="272" t="s">
        <v>482</v>
      </c>
      <c r="C28" s="272"/>
      <c r="D28" s="272"/>
      <c r="E28" s="272"/>
      <c r="F28" s="272"/>
      <c r="G28" s="273"/>
    </row>
    <row r="29" spans="1:7" s="265" customFormat="1" ht="39.6" customHeight="1" x14ac:dyDescent="0.2">
      <c r="A29" s="274" t="s">
        <v>481</v>
      </c>
      <c r="B29" s="275" t="s">
        <v>485</v>
      </c>
      <c r="C29" s="275"/>
      <c r="D29" s="275"/>
      <c r="E29" s="275" t="s">
        <v>486</v>
      </c>
      <c r="F29" s="275"/>
      <c r="G29" s="276"/>
    </row>
    <row r="30" spans="1:7" s="265" customFormat="1" ht="12.75" x14ac:dyDescent="0.2">
      <c r="A30" s="284" t="s">
        <v>518</v>
      </c>
      <c r="B30" s="285" t="s">
        <v>519</v>
      </c>
      <c r="C30" s="285"/>
      <c r="D30" s="285"/>
      <c r="E30" s="285"/>
      <c r="F30" s="285"/>
      <c r="G30" s="289">
        <f>G24+G27</f>
        <v>3666.3</v>
      </c>
    </row>
    <row r="31" spans="1:7" s="265" customFormat="1" ht="38.25" x14ac:dyDescent="0.2">
      <c r="A31" s="277" t="s">
        <v>520</v>
      </c>
      <c r="B31" s="278" t="s">
        <v>521</v>
      </c>
      <c r="C31" s="278" t="s">
        <v>59</v>
      </c>
      <c r="D31" s="278">
        <v>1</v>
      </c>
      <c r="E31" s="278" t="s">
        <v>522</v>
      </c>
      <c r="F31" s="278" t="s">
        <v>523</v>
      </c>
      <c r="G31" s="279">
        <f>ROUND(200  * 1 * 1.21,5)</f>
        <v>242</v>
      </c>
    </row>
    <row r="32" spans="1:7" s="265" customFormat="1" ht="16.149999999999999" customHeight="1" x14ac:dyDescent="0.2">
      <c r="A32" s="271" t="s">
        <v>481</v>
      </c>
      <c r="B32" s="272" t="s">
        <v>482</v>
      </c>
      <c r="C32" s="272"/>
      <c r="D32" s="272"/>
      <c r="E32" s="272"/>
      <c r="F32" s="272"/>
      <c r="G32" s="273"/>
    </row>
    <row r="33" spans="1:7" s="265" customFormat="1" ht="39.6" customHeight="1" x14ac:dyDescent="0.2">
      <c r="A33" s="274" t="s">
        <v>481</v>
      </c>
      <c r="B33" s="275" t="s">
        <v>485</v>
      </c>
      <c r="C33" s="275"/>
      <c r="D33" s="275"/>
      <c r="E33" s="275" t="s">
        <v>524</v>
      </c>
      <c r="F33" s="275"/>
      <c r="G33" s="276"/>
    </row>
    <row r="34" spans="1:7" s="265" customFormat="1" ht="89.25" x14ac:dyDescent="0.2">
      <c r="A34" s="283" t="s">
        <v>525</v>
      </c>
      <c r="B34" s="281" t="s">
        <v>526</v>
      </c>
      <c r="C34" s="281"/>
      <c r="D34" s="281"/>
      <c r="E34" s="281" t="s">
        <v>527</v>
      </c>
      <c r="F34" s="281" t="s">
        <v>528</v>
      </c>
      <c r="G34" s="282">
        <f>(1000+(G30)*0.1)*1.21*1.2</f>
        <v>1984.35</v>
      </c>
    </row>
    <row r="35" spans="1:7" s="290" customFormat="1" ht="12.75" x14ac:dyDescent="0.2">
      <c r="A35" s="284" t="s">
        <v>394</v>
      </c>
      <c r="B35" s="288" t="s">
        <v>529</v>
      </c>
      <c r="C35" s="288"/>
      <c r="D35" s="288"/>
      <c r="E35" s="288"/>
      <c r="F35" s="288"/>
      <c r="G35" s="289">
        <f>G30+G31+G34</f>
        <v>5892.65</v>
      </c>
    </row>
    <row r="36" spans="1:7" s="265" customFormat="1" ht="13.15" customHeight="1" x14ac:dyDescent="0.2">
      <c r="A36" s="291"/>
      <c r="B36" s="285"/>
      <c r="C36" s="285"/>
      <c r="D36" s="285"/>
      <c r="E36" s="288" t="s">
        <v>530</v>
      </c>
      <c r="F36" s="285"/>
      <c r="G36" s="286"/>
    </row>
    <row r="37" spans="1:7" s="265" customFormat="1" ht="51" x14ac:dyDescent="0.2">
      <c r="A37" s="284" t="s">
        <v>531</v>
      </c>
      <c r="B37" s="285" t="s">
        <v>532</v>
      </c>
      <c r="C37" s="285"/>
      <c r="D37" s="285"/>
      <c r="E37" s="285" t="s">
        <v>533</v>
      </c>
      <c r="F37" s="285" t="s">
        <v>534</v>
      </c>
      <c r="G37" s="286">
        <f>G22*0.11*1.25</f>
        <v>556.78</v>
      </c>
    </row>
    <row r="38" spans="1:7" s="265" customFormat="1" ht="51" x14ac:dyDescent="0.2">
      <c r="A38" s="284" t="s">
        <v>248</v>
      </c>
      <c r="B38" s="285" t="s">
        <v>535</v>
      </c>
      <c r="C38" s="285"/>
      <c r="D38" s="285"/>
      <c r="E38" s="285" t="s">
        <v>536</v>
      </c>
      <c r="F38" s="285" t="s">
        <v>537</v>
      </c>
      <c r="G38" s="286">
        <f>(G22+G37)*26%*1.4</f>
        <v>1676.62</v>
      </c>
    </row>
    <row r="39" spans="1:7" s="265" customFormat="1" ht="25.5" x14ac:dyDescent="0.2">
      <c r="A39" s="284" t="s">
        <v>401</v>
      </c>
      <c r="B39" s="285" t="s">
        <v>538</v>
      </c>
      <c r="C39" s="285"/>
      <c r="D39" s="285"/>
      <c r="E39" s="285" t="s">
        <v>539</v>
      </c>
      <c r="F39" s="285" t="s">
        <v>540</v>
      </c>
      <c r="G39" s="286">
        <f>(G22+G37)*0.06</f>
        <v>276.37</v>
      </c>
    </row>
    <row r="40" spans="1:7" s="265" customFormat="1" ht="25.5" x14ac:dyDescent="0.2">
      <c r="A40" s="284" t="s">
        <v>541</v>
      </c>
      <c r="B40" s="285" t="s">
        <v>542</v>
      </c>
      <c r="C40" s="285"/>
      <c r="D40" s="285"/>
      <c r="E40" s="285" t="s">
        <v>539</v>
      </c>
      <c r="F40" s="285" t="s">
        <v>543</v>
      </c>
      <c r="G40" s="286">
        <f>(G22+G37)*0.05</f>
        <v>230.31</v>
      </c>
    </row>
    <row r="41" spans="1:7" s="265" customFormat="1" ht="39.6" customHeight="1" x14ac:dyDescent="0.2">
      <c r="A41" s="284" t="s">
        <v>544</v>
      </c>
      <c r="B41" s="285" t="s">
        <v>545</v>
      </c>
      <c r="C41" s="285"/>
      <c r="D41" s="285"/>
      <c r="E41" s="285" t="s">
        <v>546</v>
      </c>
      <c r="F41" s="285" t="s">
        <v>547</v>
      </c>
      <c r="G41" s="286">
        <f>(G22+G35+G37)*0.05</f>
        <v>524.94000000000005</v>
      </c>
    </row>
    <row r="42" spans="1:7" s="290" customFormat="1" ht="12.75" x14ac:dyDescent="0.2">
      <c r="A42" s="284" t="s">
        <v>548</v>
      </c>
      <c r="B42" s="288" t="s">
        <v>549</v>
      </c>
      <c r="C42" s="288"/>
      <c r="D42" s="288"/>
      <c r="E42" s="288"/>
      <c r="F42" s="288"/>
      <c r="G42" s="289">
        <f>G37+G38+G39+G40+G41</f>
        <v>3265.02</v>
      </c>
    </row>
    <row r="43" spans="1:7" s="290" customFormat="1" ht="13.15" customHeight="1" x14ac:dyDescent="0.2">
      <c r="A43" s="284" t="s">
        <v>550</v>
      </c>
      <c r="B43" s="288" t="s">
        <v>551</v>
      </c>
      <c r="C43" s="288"/>
      <c r="D43" s="288"/>
      <c r="E43" s="288"/>
      <c r="F43" s="288"/>
      <c r="G43" s="289">
        <f>G22+G35+G42</f>
        <v>13207</v>
      </c>
    </row>
    <row r="44" spans="1:7" s="265" customFormat="1" ht="39.6" customHeight="1" x14ac:dyDescent="0.2">
      <c r="A44" s="283" t="s">
        <v>552</v>
      </c>
      <c r="B44" s="281" t="s">
        <v>553</v>
      </c>
      <c r="C44" s="281"/>
      <c r="D44" s="281"/>
      <c r="E44" s="281" t="s">
        <v>554</v>
      </c>
      <c r="F44" s="281"/>
      <c r="G44" s="292">
        <f>G43*1.08</f>
        <v>14263.56</v>
      </c>
    </row>
    <row r="45" spans="1:7" s="265" customFormat="1" ht="46.5" customHeight="1" x14ac:dyDescent="0.2">
      <c r="A45" s="284" t="s">
        <v>555</v>
      </c>
      <c r="B45" s="285" t="s">
        <v>587</v>
      </c>
      <c r="C45" s="285"/>
      <c r="D45" s="285"/>
      <c r="E45" s="285"/>
      <c r="F45" s="285">
        <v>51.69</v>
      </c>
      <c r="G45" s="289">
        <f>G44*51.69</f>
        <v>737283.42</v>
      </c>
    </row>
    <row r="46" spans="1:7" s="3" customFormat="1" x14ac:dyDescent="0.25"/>
  </sheetData>
  <mergeCells count="6">
    <mergeCell ref="A7:K7"/>
    <mergeCell ref="A1:L1"/>
    <mergeCell ref="A2:L2"/>
    <mergeCell ref="A3:L3"/>
    <mergeCell ref="A5:L5"/>
    <mergeCell ref="A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6" workbookViewId="0">
      <selection activeCell="J59" sqref="J59"/>
    </sheetView>
  </sheetViews>
  <sheetFormatPr defaultRowHeight="15" x14ac:dyDescent="0.25"/>
  <cols>
    <col min="1" max="1" width="4.5703125" customWidth="1"/>
    <col min="2" max="2" width="38.42578125" customWidth="1"/>
    <col min="3" max="3" width="13.42578125" customWidth="1"/>
    <col min="4" max="4" width="16.7109375" customWidth="1"/>
    <col min="5" max="5" width="22" customWidth="1"/>
    <col min="6" max="6" width="10.5703125" customWidth="1"/>
    <col min="7" max="7" width="7.5703125" customWidth="1"/>
    <col min="8" max="8" width="8.7109375" customWidth="1"/>
    <col min="9" max="9" width="8.28515625" customWidth="1"/>
    <col min="10" max="10" width="19" customWidth="1"/>
  </cols>
  <sheetData>
    <row r="1" spans="1:10" ht="15.75" x14ac:dyDescent="0.25">
      <c r="A1" s="46"/>
      <c r="B1" s="46"/>
      <c r="C1" s="46"/>
      <c r="D1" s="385" t="s">
        <v>62</v>
      </c>
      <c r="E1" s="385"/>
      <c r="F1" s="68"/>
      <c r="G1" s="68"/>
      <c r="H1" s="68"/>
      <c r="I1" s="46"/>
      <c r="J1" s="46"/>
    </row>
    <row r="2" spans="1:10" x14ac:dyDescent="0.25">
      <c r="A2" s="386" t="s">
        <v>63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64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7" t="s">
        <v>65</v>
      </c>
      <c r="B4" s="387"/>
      <c r="C4" s="387"/>
      <c r="D4" s="387"/>
      <c r="E4" s="387"/>
      <c r="F4" s="387"/>
      <c r="G4" s="387"/>
      <c r="H4" s="387"/>
      <c r="I4" s="387"/>
      <c r="J4" s="387"/>
    </row>
    <row r="5" spans="1:10" x14ac:dyDescent="0.25">
      <c r="A5" s="384" t="s">
        <v>61</v>
      </c>
      <c r="B5" s="384"/>
      <c r="C5" s="384" t="s">
        <v>44</v>
      </c>
      <c r="D5" s="384"/>
      <c r="E5" s="384"/>
      <c r="F5" s="384"/>
      <c r="G5" s="384"/>
      <c r="H5" s="384"/>
      <c r="I5" s="384"/>
      <c r="J5" s="384"/>
    </row>
    <row r="6" spans="1:10" x14ac:dyDescent="0.25">
      <c r="A6" s="378" t="s">
        <v>66</v>
      </c>
      <c r="B6" s="379"/>
      <c r="C6" s="379"/>
      <c r="D6" s="379"/>
      <c r="E6" s="379"/>
      <c r="F6" s="379"/>
      <c r="G6" s="379"/>
      <c r="H6" s="379"/>
      <c r="I6" s="379"/>
      <c r="J6" s="380"/>
    </row>
    <row r="7" spans="1:10" x14ac:dyDescent="0.25">
      <c r="A7" s="343" t="s">
        <v>0</v>
      </c>
      <c r="B7" s="343" t="s">
        <v>42</v>
      </c>
      <c r="C7" s="343" t="s">
        <v>52</v>
      </c>
      <c r="D7" s="343" t="s">
        <v>53</v>
      </c>
      <c r="E7" s="343" t="s">
        <v>45</v>
      </c>
      <c r="F7" s="378" t="s">
        <v>54</v>
      </c>
      <c r="G7" s="379"/>
      <c r="H7" s="379"/>
      <c r="I7" s="380"/>
      <c r="J7" s="343" t="s">
        <v>55</v>
      </c>
    </row>
    <row r="8" spans="1:10" x14ac:dyDescent="0.25">
      <c r="A8" s="344"/>
      <c r="B8" s="344"/>
      <c r="C8" s="344"/>
      <c r="D8" s="344"/>
      <c r="E8" s="344"/>
      <c r="F8" s="64" t="s">
        <v>56</v>
      </c>
      <c r="G8" s="64" t="s">
        <v>67</v>
      </c>
      <c r="H8" s="64" t="s">
        <v>67</v>
      </c>
      <c r="I8" s="64" t="s">
        <v>57</v>
      </c>
      <c r="J8" s="344"/>
    </row>
    <row r="9" spans="1:10" x14ac:dyDescent="0.2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378">
        <v>6</v>
      </c>
      <c r="G9" s="379"/>
      <c r="H9" s="379"/>
      <c r="I9" s="380"/>
      <c r="J9" s="64">
        <v>7</v>
      </c>
    </row>
    <row r="10" spans="1:10" x14ac:dyDescent="0.25">
      <c r="A10" s="381" t="s">
        <v>46</v>
      </c>
      <c r="B10" s="382"/>
      <c r="C10" s="382"/>
      <c r="D10" s="382"/>
      <c r="E10" s="382"/>
      <c r="F10" s="382"/>
      <c r="G10" s="382"/>
      <c r="H10" s="382"/>
      <c r="I10" s="382"/>
      <c r="J10" s="383"/>
    </row>
    <row r="11" spans="1:10" ht="25.5" x14ac:dyDescent="0.25">
      <c r="A11" s="43">
        <v>1</v>
      </c>
      <c r="B11" s="47" t="s">
        <v>91</v>
      </c>
      <c r="C11" s="64" t="s">
        <v>92</v>
      </c>
      <c r="D11" s="64">
        <v>0.4</v>
      </c>
      <c r="E11" s="64" t="s">
        <v>93</v>
      </c>
      <c r="F11" s="64">
        <v>42</v>
      </c>
      <c r="G11" s="64"/>
      <c r="H11" s="64"/>
      <c r="I11" s="64">
        <f t="shared" ref="I11:I21" si="0">D11</f>
        <v>0.4</v>
      </c>
      <c r="J11" s="48">
        <f>I11*F11</f>
        <v>16.8</v>
      </c>
    </row>
    <row r="12" spans="1:10" ht="51" x14ac:dyDescent="0.25">
      <c r="A12" s="43">
        <v>2</v>
      </c>
      <c r="B12" s="47" t="s">
        <v>94</v>
      </c>
      <c r="C12" s="64" t="s">
        <v>95</v>
      </c>
      <c r="D12" s="64">
        <v>0.4</v>
      </c>
      <c r="E12" s="64" t="s">
        <v>96</v>
      </c>
      <c r="F12" s="64">
        <v>236</v>
      </c>
      <c r="G12" s="64"/>
      <c r="H12" s="64"/>
      <c r="I12" s="64">
        <f t="shared" si="0"/>
        <v>0.4</v>
      </c>
      <c r="J12" s="48">
        <f>I12*F12</f>
        <v>94.4</v>
      </c>
    </row>
    <row r="13" spans="1:10" ht="51" x14ac:dyDescent="0.25">
      <c r="A13" s="43">
        <v>3</v>
      </c>
      <c r="B13" s="47" t="s">
        <v>97</v>
      </c>
      <c r="C13" s="64" t="s">
        <v>98</v>
      </c>
      <c r="D13" s="64">
        <v>1</v>
      </c>
      <c r="E13" s="64" t="s">
        <v>99</v>
      </c>
      <c r="F13" s="64">
        <v>142</v>
      </c>
      <c r="G13" s="64"/>
      <c r="H13" s="64"/>
      <c r="I13" s="64">
        <f t="shared" si="0"/>
        <v>1</v>
      </c>
      <c r="J13" s="48">
        <f>I13*F13</f>
        <v>142</v>
      </c>
    </row>
    <row r="14" spans="1:10" ht="38.25" x14ac:dyDescent="0.25">
      <c r="A14" s="43">
        <v>4</v>
      </c>
      <c r="B14" s="47" t="s">
        <v>100</v>
      </c>
      <c r="C14" s="64" t="s">
        <v>101</v>
      </c>
      <c r="D14" s="64">
        <v>0.5</v>
      </c>
      <c r="E14" s="66" t="s">
        <v>102</v>
      </c>
      <c r="F14" s="64">
        <v>264</v>
      </c>
      <c r="G14" s="64"/>
      <c r="H14" s="64"/>
      <c r="I14" s="64">
        <f t="shared" si="0"/>
        <v>0.5</v>
      </c>
      <c r="J14" s="48">
        <f t="shared" ref="J14:J21" si="1">I14*F14</f>
        <v>132</v>
      </c>
    </row>
    <row r="15" spans="1:10" ht="25.5" x14ac:dyDescent="0.25">
      <c r="A15" s="43">
        <v>5</v>
      </c>
      <c r="B15" s="47" t="s">
        <v>103</v>
      </c>
      <c r="C15" s="64" t="s">
        <v>104</v>
      </c>
      <c r="D15" s="64">
        <v>1</v>
      </c>
      <c r="E15" s="64" t="s">
        <v>105</v>
      </c>
      <c r="F15" s="64">
        <v>78</v>
      </c>
      <c r="G15" s="64"/>
      <c r="H15" s="64"/>
      <c r="I15" s="64">
        <f t="shared" si="0"/>
        <v>1</v>
      </c>
      <c r="J15" s="48">
        <f t="shared" si="1"/>
        <v>78</v>
      </c>
    </row>
    <row r="16" spans="1:10" ht="25.5" x14ac:dyDescent="0.25">
      <c r="A16" s="43">
        <v>6</v>
      </c>
      <c r="B16" s="47" t="s">
        <v>106</v>
      </c>
      <c r="C16" s="64" t="s">
        <v>107</v>
      </c>
      <c r="D16" s="64">
        <v>10</v>
      </c>
      <c r="E16" s="64" t="s">
        <v>108</v>
      </c>
      <c r="F16" s="64">
        <v>38</v>
      </c>
      <c r="G16" s="64"/>
      <c r="H16" s="64"/>
      <c r="I16" s="64">
        <f t="shared" si="0"/>
        <v>10</v>
      </c>
      <c r="J16" s="48">
        <f t="shared" si="1"/>
        <v>380</v>
      </c>
    </row>
    <row r="17" spans="1:10" x14ac:dyDescent="0.25">
      <c r="A17" s="43">
        <v>7</v>
      </c>
      <c r="B17" s="47" t="s">
        <v>109</v>
      </c>
      <c r="C17" s="64" t="s">
        <v>110</v>
      </c>
      <c r="D17" s="64">
        <v>10</v>
      </c>
      <c r="E17" s="64" t="s">
        <v>111</v>
      </c>
      <c r="F17" s="64">
        <v>19</v>
      </c>
      <c r="G17" s="64"/>
      <c r="H17" s="64"/>
      <c r="I17" s="64">
        <f t="shared" si="0"/>
        <v>10</v>
      </c>
      <c r="J17" s="48">
        <f t="shared" si="1"/>
        <v>190</v>
      </c>
    </row>
    <row r="18" spans="1:10" ht="25.5" x14ac:dyDescent="0.25">
      <c r="A18" s="43">
        <v>8</v>
      </c>
      <c r="B18" s="47" t="s">
        <v>112</v>
      </c>
      <c r="C18" s="64" t="s">
        <v>104</v>
      </c>
      <c r="D18" s="64">
        <v>1</v>
      </c>
      <c r="E18" s="64" t="s">
        <v>113</v>
      </c>
      <c r="F18" s="64">
        <v>65</v>
      </c>
      <c r="G18" s="64"/>
      <c r="H18" s="64"/>
      <c r="I18" s="64">
        <f t="shared" si="0"/>
        <v>1</v>
      </c>
      <c r="J18" s="48">
        <f t="shared" si="1"/>
        <v>65</v>
      </c>
    </row>
    <row r="19" spans="1:10" ht="25.5" x14ac:dyDescent="0.25">
      <c r="A19" s="43">
        <v>9</v>
      </c>
      <c r="B19" s="47" t="s">
        <v>114</v>
      </c>
      <c r="C19" s="64" t="s">
        <v>115</v>
      </c>
      <c r="D19" s="64">
        <v>5</v>
      </c>
      <c r="E19" s="64" t="s">
        <v>116</v>
      </c>
      <c r="F19" s="64">
        <v>8</v>
      </c>
      <c r="G19" s="64"/>
      <c r="H19" s="64"/>
      <c r="I19" s="64">
        <f>D19</f>
        <v>5</v>
      </c>
      <c r="J19" s="48">
        <f>I19*F19</f>
        <v>40</v>
      </c>
    </row>
    <row r="20" spans="1:10" ht="25.5" x14ac:dyDescent="0.25">
      <c r="A20" s="43">
        <v>10</v>
      </c>
      <c r="B20" s="47" t="s">
        <v>117</v>
      </c>
      <c r="C20" s="64" t="s">
        <v>118</v>
      </c>
      <c r="D20" s="64">
        <v>1</v>
      </c>
      <c r="E20" s="64" t="s">
        <v>119</v>
      </c>
      <c r="F20" s="64">
        <v>505</v>
      </c>
      <c r="G20" s="64"/>
      <c r="H20" s="64"/>
      <c r="I20" s="64">
        <f t="shared" si="0"/>
        <v>1</v>
      </c>
      <c r="J20" s="48">
        <f t="shared" si="1"/>
        <v>505</v>
      </c>
    </row>
    <row r="21" spans="1:10" x14ac:dyDescent="0.25">
      <c r="A21" s="43">
        <v>11</v>
      </c>
      <c r="B21" s="47" t="s">
        <v>43</v>
      </c>
      <c r="C21" s="64" t="s">
        <v>68</v>
      </c>
      <c r="D21" s="64">
        <v>15</v>
      </c>
      <c r="E21" s="49" t="s">
        <v>69</v>
      </c>
      <c r="F21" s="64">
        <v>7</v>
      </c>
      <c r="G21" s="64"/>
      <c r="H21" s="64"/>
      <c r="I21" s="64">
        <f t="shared" si="0"/>
        <v>15</v>
      </c>
      <c r="J21" s="48">
        <f t="shared" si="1"/>
        <v>105</v>
      </c>
    </row>
    <row r="22" spans="1:10" ht="25.5" x14ac:dyDescent="0.25">
      <c r="A22" s="43"/>
      <c r="B22" s="43" t="s">
        <v>161</v>
      </c>
      <c r="C22" s="67"/>
      <c r="D22" s="67"/>
      <c r="E22" s="65"/>
      <c r="F22" s="65"/>
      <c r="G22" s="65">
        <v>1.2</v>
      </c>
      <c r="H22" s="65">
        <v>1.4</v>
      </c>
      <c r="I22" s="65"/>
      <c r="J22" s="50">
        <f>SUM(J11:J21)*G22*H22</f>
        <v>2936.98</v>
      </c>
    </row>
    <row r="23" spans="1:10" x14ac:dyDescent="0.25">
      <c r="A23" s="381" t="s">
        <v>47</v>
      </c>
      <c r="B23" s="382"/>
      <c r="C23" s="382"/>
      <c r="D23" s="382"/>
      <c r="E23" s="382"/>
      <c r="F23" s="382"/>
      <c r="G23" s="382"/>
      <c r="H23" s="382"/>
      <c r="I23" s="382"/>
      <c r="J23" s="383"/>
    </row>
    <row r="24" spans="1:10" ht="25.5" x14ac:dyDescent="0.25">
      <c r="A24" s="43">
        <v>12</v>
      </c>
      <c r="B24" s="47" t="s">
        <v>120</v>
      </c>
      <c r="C24" s="64" t="s">
        <v>85</v>
      </c>
      <c r="D24" s="64">
        <v>5</v>
      </c>
      <c r="E24" s="40" t="s">
        <v>121</v>
      </c>
      <c r="F24" s="41">
        <v>19.600000000000001</v>
      </c>
      <c r="G24" s="64"/>
      <c r="H24" s="64"/>
      <c r="I24" s="64">
        <f t="shared" ref="I24" si="2">D24</f>
        <v>5</v>
      </c>
      <c r="J24" s="48">
        <f t="shared" ref="J24" si="3">I24*F24</f>
        <v>98</v>
      </c>
    </row>
    <row r="25" spans="1:10" x14ac:dyDescent="0.25">
      <c r="A25" s="43"/>
      <c r="B25" s="43" t="s">
        <v>58</v>
      </c>
      <c r="C25" s="64"/>
      <c r="D25" s="64"/>
      <c r="E25" s="66"/>
      <c r="F25" s="64"/>
      <c r="G25" s="64"/>
      <c r="H25" s="64"/>
      <c r="I25" s="64"/>
      <c r="J25" s="50">
        <f>SUM(J24:J24)</f>
        <v>98</v>
      </c>
    </row>
    <row r="26" spans="1:10" x14ac:dyDescent="0.25">
      <c r="A26" s="381" t="s">
        <v>48</v>
      </c>
      <c r="B26" s="382"/>
      <c r="C26" s="382"/>
      <c r="D26" s="382"/>
      <c r="E26" s="382"/>
      <c r="F26" s="382"/>
      <c r="G26" s="382"/>
      <c r="H26" s="382"/>
      <c r="I26" s="382"/>
      <c r="J26" s="383"/>
    </row>
    <row r="27" spans="1:10" ht="25.5" x14ac:dyDescent="0.25">
      <c r="A27" s="43">
        <v>13</v>
      </c>
      <c r="B27" s="47" t="str">
        <f>B11</f>
        <v>Рекогносцировочное обследование реки, категория сложности III</v>
      </c>
      <c r="C27" s="64" t="str">
        <f>C11</f>
        <v>1км реки</v>
      </c>
      <c r="D27" s="64">
        <f>D11</f>
        <v>0.4</v>
      </c>
      <c r="E27" s="64" t="s">
        <v>93</v>
      </c>
      <c r="F27" s="64">
        <v>14</v>
      </c>
      <c r="G27" s="64"/>
      <c r="H27" s="64"/>
      <c r="I27" s="64">
        <f>I11</f>
        <v>0.4</v>
      </c>
      <c r="J27" s="48">
        <f t="shared" ref="J27:J37" si="4">I27*F27</f>
        <v>5.6</v>
      </c>
    </row>
    <row r="28" spans="1:10" ht="38.25" x14ac:dyDescent="0.25">
      <c r="A28" s="43">
        <v>14</v>
      </c>
      <c r="B28" s="47" t="s">
        <v>100</v>
      </c>
      <c r="C28" s="64" t="s">
        <v>101</v>
      </c>
      <c r="D28" s="64">
        <f>D14</f>
        <v>0.5</v>
      </c>
      <c r="E28" s="66" t="s">
        <v>102</v>
      </c>
      <c r="F28" s="64">
        <v>21</v>
      </c>
      <c r="G28" s="64"/>
      <c r="H28" s="64"/>
      <c r="I28" s="64">
        <f t="shared" ref="I28:I46" si="5">D28</f>
        <v>0.5</v>
      </c>
      <c r="J28" s="48">
        <f t="shared" si="4"/>
        <v>10.5</v>
      </c>
    </row>
    <row r="29" spans="1:10" ht="25.5" x14ac:dyDescent="0.25">
      <c r="A29" s="43">
        <v>15</v>
      </c>
      <c r="B29" s="47" t="s">
        <v>122</v>
      </c>
      <c r="C29" s="64" t="s">
        <v>104</v>
      </c>
      <c r="D29" s="64">
        <f>D15</f>
        <v>1</v>
      </c>
      <c r="E29" s="64" t="s">
        <v>105</v>
      </c>
      <c r="F29" s="64">
        <v>17</v>
      </c>
      <c r="G29" s="64"/>
      <c r="H29" s="64"/>
      <c r="I29" s="64">
        <f t="shared" si="5"/>
        <v>1</v>
      </c>
      <c r="J29" s="48">
        <f t="shared" si="4"/>
        <v>17</v>
      </c>
    </row>
    <row r="30" spans="1:10" ht="25.5" x14ac:dyDescent="0.25">
      <c r="A30" s="43">
        <v>16</v>
      </c>
      <c r="B30" s="47" t="s">
        <v>112</v>
      </c>
      <c r="C30" s="64" t="s">
        <v>104</v>
      </c>
      <c r="D30" s="64">
        <v>1</v>
      </c>
      <c r="E30" s="64" t="s">
        <v>113</v>
      </c>
      <c r="F30" s="64">
        <v>14</v>
      </c>
      <c r="G30" s="64"/>
      <c r="H30" s="64"/>
      <c r="I30" s="64">
        <f t="shared" si="5"/>
        <v>1</v>
      </c>
      <c r="J30" s="48">
        <f t="shared" si="4"/>
        <v>14</v>
      </c>
    </row>
    <row r="31" spans="1:10" ht="25.5" x14ac:dyDescent="0.25">
      <c r="A31" s="43">
        <v>17</v>
      </c>
      <c r="B31" s="47" t="s">
        <v>117</v>
      </c>
      <c r="C31" s="64" t="s">
        <v>118</v>
      </c>
      <c r="D31" s="64">
        <v>1</v>
      </c>
      <c r="E31" s="64" t="s">
        <v>119</v>
      </c>
      <c r="F31" s="64">
        <v>146</v>
      </c>
      <c r="G31" s="64"/>
      <c r="H31" s="64"/>
      <c r="I31" s="64">
        <f t="shared" si="5"/>
        <v>1</v>
      </c>
      <c r="J31" s="48">
        <f t="shared" si="4"/>
        <v>146</v>
      </c>
    </row>
    <row r="32" spans="1:10" ht="38.25" x14ac:dyDescent="0.25">
      <c r="A32" s="43">
        <v>18</v>
      </c>
      <c r="B32" s="47" t="s">
        <v>70</v>
      </c>
      <c r="C32" s="64" t="s">
        <v>71</v>
      </c>
      <c r="D32" s="64">
        <v>1</v>
      </c>
      <c r="E32" s="64" t="s">
        <v>72</v>
      </c>
      <c r="F32" s="64">
        <v>105</v>
      </c>
      <c r="G32" s="64"/>
      <c r="H32" s="64"/>
      <c r="I32" s="64">
        <f t="shared" si="5"/>
        <v>1</v>
      </c>
      <c r="J32" s="48">
        <f t="shared" si="4"/>
        <v>105</v>
      </c>
    </row>
    <row r="33" spans="1:10" ht="38.25" x14ac:dyDescent="0.25">
      <c r="A33" s="43">
        <v>19</v>
      </c>
      <c r="B33" s="47" t="s">
        <v>73</v>
      </c>
      <c r="C33" s="64" t="s">
        <v>74</v>
      </c>
      <c r="D33" s="64">
        <v>1</v>
      </c>
      <c r="E33" s="64" t="s">
        <v>75</v>
      </c>
      <c r="F33" s="64">
        <v>61</v>
      </c>
      <c r="G33" s="64"/>
      <c r="H33" s="64"/>
      <c r="I33" s="64">
        <f t="shared" si="5"/>
        <v>1</v>
      </c>
      <c r="J33" s="48">
        <f t="shared" si="4"/>
        <v>61</v>
      </c>
    </row>
    <row r="34" spans="1:10" ht="15.75" x14ac:dyDescent="0.25">
      <c r="A34" s="43">
        <v>20</v>
      </c>
      <c r="B34" s="47" t="s">
        <v>123</v>
      </c>
      <c r="C34" s="64" t="s">
        <v>124</v>
      </c>
      <c r="D34" s="64">
        <v>6</v>
      </c>
      <c r="E34" s="64" t="s">
        <v>125</v>
      </c>
      <c r="F34" s="64">
        <v>6</v>
      </c>
      <c r="G34" s="64"/>
      <c r="H34" s="64"/>
      <c r="I34" s="64">
        <f t="shared" si="5"/>
        <v>6</v>
      </c>
      <c r="J34" s="48">
        <f t="shared" si="4"/>
        <v>36</v>
      </c>
    </row>
    <row r="35" spans="1:10" x14ac:dyDescent="0.25">
      <c r="A35" s="43">
        <v>21</v>
      </c>
      <c r="B35" s="47" t="s">
        <v>126</v>
      </c>
      <c r="C35" s="64" t="s">
        <v>127</v>
      </c>
      <c r="D35" s="64">
        <v>1</v>
      </c>
      <c r="E35" s="64" t="s">
        <v>128</v>
      </c>
      <c r="F35" s="64">
        <v>41</v>
      </c>
      <c r="G35" s="64"/>
      <c r="H35" s="64"/>
      <c r="I35" s="64">
        <f t="shared" si="5"/>
        <v>1</v>
      </c>
      <c r="J35" s="48">
        <f t="shared" si="4"/>
        <v>41</v>
      </c>
    </row>
    <row r="36" spans="1:10" x14ac:dyDescent="0.25">
      <c r="A36" s="43">
        <v>22</v>
      </c>
      <c r="B36" s="47" t="s">
        <v>129</v>
      </c>
      <c r="C36" s="64" t="s">
        <v>127</v>
      </c>
      <c r="D36" s="64">
        <v>1</v>
      </c>
      <c r="E36" s="64" t="s">
        <v>130</v>
      </c>
      <c r="F36" s="64">
        <v>19</v>
      </c>
      <c r="G36" s="64"/>
      <c r="H36" s="64"/>
      <c r="I36" s="64">
        <f t="shared" si="5"/>
        <v>1</v>
      </c>
      <c r="J36" s="48">
        <f t="shared" si="4"/>
        <v>19</v>
      </c>
    </row>
    <row r="37" spans="1:10" ht="38.25" x14ac:dyDescent="0.25">
      <c r="A37" s="43">
        <v>23</v>
      </c>
      <c r="B37" s="47" t="s">
        <v>131</v>
      </c>
      <c r="C37" s="64" t="s">
        <v>132</v>
      </c>
      <c r="D37" s="64">
        <v>1</v>
      </c>
      <c r="E37" s="64" t="s">
        <v>133</v>
      </c>
      <c r="F37" s="64">
        <v>77</v>
      </c>
      <c r="G37" s="64"/>
      <c r="H37" s="64"/>
      <c r="I37" s="64">
        <f t="shared" si="5"/>
        <v>1</v>
      </c>
      <c r="J37" s="48">
        <f t="shared" si="4"/>
        <v>77</v>
      </c>
    </row>
    <row r="38" spans="1:10" ht="38.25" x14ac:dyDescent="0.25">
      <c r="A38" s="43">
        <v>24</v>
      </c>
      <c r="B38" s="47" t="s">
        <v>134</v>
      </c>
      <c r="C38" s="64" t="s">
        <v>132</v>
      </c>
      <c r="D38" s="64">
        <v>1</v>
      </c>
      <c r="E38" s="64" t="s">
        <v>135</v>
      </c>
      <c r="F38" s="64">
        <v>34</v>
      </c>
      <c r="G38" s="64"/>
      <c r="H38" s="64"/>
      <c r="I38" s="64">
        <f t="shared" si="5"/>
        <v>1</v>
      </c>
      <c r="J38" s="48">
        <f>I38*F38</f>
        <v>34</v>
      </c>
    </row>
    <row r="39" spans="1:10" ht="38.25" x14ac:dyDescent="0.25">
      <c r="A39" s="43">
        <v>25</v>
      </c>
      <c r="B39" s="47" t="s">
        <v>136</v>
      </c>
      <c r="C39" s="64" t="s">
        <v>132</v>
      </c>
      <c r="D39" s="64">
        <v>1</v>
      </c>
      <c r="E39" s="64" t="s">
        <v>137</v>
      </c>
      <c r="F39" s="64">
        <v>26</v>
      </c>
      <c r="G39" s="64"/>
      <c r="H39" s="64"/>
      <c r="I39" s="64">
        <f t="shared" si="5"/>
        <v>1</v>
      </c>
      <c r="J39" s="48">
        <f t="shared" ref="J39:J43" si="6">I39*F39</f>
        <v>26</v>
      </c>
    </row>
    <row r="40" spans="1:10" ht="25.5" x14ac:dyDescent="0.25">
      <c r="A40" s="43">
        <v>26</v>
      </c>
      <c r="B40" s="47" t="s">
        <v>138</v>
      </c>
      <c r="C40" s="64" t="s">
        <v>132</v>
      </c>
      <c r="D40" s="64">
        <v>1</v>
      </c>
      <c r="E40" s="64" t="s">
        <v>139</v>
      </c>
      <c r="F40" s="64">
        <v>206</v>
      </c>
      <c r="G40" s="64"/>
      <c r="H40" s="64"/>
      <c r="I40" s="64">
        <f t="shared" si="5"/>
        <v>1</v>
      </c>
      <c r="J40" s="48">
        <f>I40*F40</f>
        <v>206</v>
      </c>
    </row>
    <row r="41" spans="1:10" ht="25.5" x14ac:dyDescent="0.25">
      <c r="A41" s="43">
        <v>27</v>
      </c>
      <c r="B41" s="47" t="s">
        <v>140</v>
      </c>
      <c r="C41" s="64" t="s">
        <v>141</v>
      </c>
      <c r="D41" s="64">
        <v>1</v>
      </c>
      <c r="E41" s="64" t="s">
        <v>142</v>
      </c>
      <c r="F41" s="64">
        <v>11</v>
      </c>
      <c r="G41" s="64"/>
      <c r="H41" s="64"/>
      <c r="I41" s="64">
        <f t="shared" si="5"/>
        <v>1</v>
      </c>
      <c r="J41" s="48">
        <f>I41*F41</f>
        <v>11</v>
      </c>
    </row>
    <row r="42" spans="1:10" ht="25.5" x14ac:dyDescent="0.25">
      <c r="A42" s="43">
        <v>28</v>
      </c>
      <c r="B42" s="47" t="s">
        <v>143</v>
      </c>
      <c r="C42" s="64" t="s">
        <v>144</v>
      </c>
      <c r="D42" s="64">
        <v>10</v>
      </c>
      <c r="E42" s="64" t="s">
        <v>145</v>
      </c>
      <c r="F42" s="64">
        <v>68</v>
      </c>
      <c r="G42" s="64"/>
      <c r="H42" s="64"/>
      <c r="I42" s="64">
        <f t="shared" si="5"/>
        <v>10</v>
      </c>
      <c r="J42" s="48">
        <f t="shared" si="6"/>
        <v>680</v>
      </c>
    </row>
    <row r="43" spans="1:10" ht="38.25" x14ac:dyDescent="0.25">
      <c r="A43" s="43">
        <v>29</v>
      </c>
      <c r="B43" s="47" t="s">
        <v>146</v>
      </c>
      <c r="C43" s="64" t="s">
        <v>147</v>
      </c>
      <c r="D43" s="64">
        <v>1</v>
      </c>
      <c r="E43" s="64" t="s">
        <v>148</v>
      </c>
      <c r="F43" s="64">
        <v>447</v>
      </c>
      <c r="G43" s="64"/>
      <c r="H43" s="64"/>
      <c r="I43" s="64">
        <f t="shared" si="5"/>
        <v>1</v>
      </c>
      <c r="J43" s="48">
        <f t="shared" si="6"/>
        <v>447</v>
      </c>
    </row>
    <row r="44" spans="1:10" ht="38.25" x14ac:dyDescent="0.25">
      <c r="A44" s="43">
        <v>30</v>
      </c>
      <c r="B44" s="47" t="s">
        <v>149</v>
      </c>
      <c r="C44" s="64" t="s">
        <v>147</v>
      </c>
      <c r="D44" s="64">
        <v>1</v>
      </c>
      <c r="E44" s="64" t="s">
        <v>150</v>
      </c>
      <c r="F44" s="64">
        <v>585</v>
      </c>
      <c r="G44" s="64">
        <v>0.85</v>
      </c>
      <c r="H44" s="64"/>
      <c r="I44" s="64">
        <f t="shared" si="5"/>
        <v>1</v>
      </c>
      <c r="J44" s="48">
        <f>I44*F44*G44</f>
        <v>497.25</v>
      </c>
    </row>
    <row r="45" spans="1:10" ht="63.75" x14ac:dyDescent="0.25">
      <c r="A45" s="43">
        <v>31</v>
      </c>
      <c r="B45" s="47" t="s">
        <v>76</v>
      </c>
      <c r="C45" s="64" t="s">
        <v>77</v>
      </c>
      <c r="D45" s="64">
        <v>2</v>
      </c>
      <c r="E45" s="64" t="s">
        <v>78</v>
      </c>
      <c r="F45" s="64">
        <v>90</v>
      </c>
      <c r="G45" s="64"/>
      <c r="H45" s="64"/>
      <c r="I45" s="64">
        <f t="shared" si="5"/>
        <v>2</v>
      </c>
      <c r="J45" s="48">
        <f>I45*F45</f>
        <v>180</v>
      </c>
    </row>
    <row r="46" spans="1:10" ht="38.25" x14ac:dyDescent="0.25">
      <c r="A46" s="43">
        <v>32</v>
      </c>
      <c r="B46" s="47" t="s">
        <v>90</v>
      </c>
      <c r="C46" s="64" t="s">
        <v>79</v>
      </c>
      <c r="D46" s="64">
        <v>1</v>
      </c>
      <c r="E46" s="64" t="s">
        <v>162</v>
      </c>
      <c r="F46" s="64">
        <v>243</v>
      </c>
      <c r="G46" s="64"/>
      <c r="H46" s="64"/>
      <c r="I46" s="64">
        <f t="shared" si="5"/>
        <v>1</v>
      </c>
      <c r="J46" s="48">
        <f>I46*F46</f>
        <v>243</v>
      </c>
    </row>
    <row r="47" spans="1:10" ht="51" x14ac:dyDescent="0.25">
      <c r="A47" s="43">
        <v>33</v>
      </c>
      <c r="B47" s="33" t="s">
        <v>151</v>
      </c>
      <c r="C47" s="64" t="s">
        <v>86</v>
      </c>
      <c r="D47" s="48">
        <f>J24</f>
        <v>98</v>
      </c>
      <c r="E47" s="40" t="s">
        <v>152</v>
      </c>
      <c r="F47" s="44">
        <v>0.15</v>
      </c>
      <c r="G47" s="64"/>
      <c r="H47" s="64"/>
      <c r="I47" s="64">
        <f>D47</f>
        <v>98</v>
      </c>
      <c r="J47" s="48">
        <f>I47*F47</f>
        <v>14.7</v>
      </c>
    </row>
    <row r="48" spans="1:10" ht="25.5" x14ac:dyDescent="0.25">
      <c r="A48" s="43">
        <v>34</v>
      </c>
      <c r="B48" s="47" t="s">
        <v>80</v>
      </c>
      <c r="C48" s="64" t="s">
        <v>59</v>
      </c>
      <c r="D48" s="48">
        <f>SUM(J27:J47)</f>
        <v>2871.05</v>
      </c>
      <c r="E48" s="49" t="s">
        <v>153</v>
      </c>
      <c r="F48" s="64">
        <v>800</v>
      </c>
      <c r="G48" s="64"/>
      <c r="H48" s="64"/>
      <c r="I48" s="64">
        <v>1</v>
      </c>
      <c r="J48" s="48">
        <f>I48*F48</f>
        <v>800</v>
      </c>
    </row>
    <row r="49" spans="1:10" ht="25.5" x14ac:dyDescent="0.25">
      <c r="A49" s="43">
        <v>35</v>
      </c>
      <c r="B49" s="47" t="s">
        <v>81</v>
      </c>
      <c r="C49" s="64" t="s">
        <v>50</v>
      </c>
      <c r="D49" s="48">
        <f>SUM(J27:J48)</f>
        <v>3671.05</v>
      </c>
      <c r="E49" s="49" t="s">
        <v>163</v>
      </c>
      <c r="F49" s="51">
        <v>0.75</v>
      </c>
      <c r="G49" s="64">
        <v>1.25</v>
      </c>
      <c r="H49" s="64"/>
      <c r="I49" s="64">
        <v>1</v>
      </c>
      <c r="J49" s="52">
        <f>SUM(J27:J48)*F49*G49</f>
        <v>3441.61</v>
      </c>
    </row>
    <row r="50" spans="1:10" x14ac:dyDescent="0.25">
      <c r="A50" s="64"/>
      <c r="B50" s="43" t="s">
        <v>60</v>
      </c>
      <c r="C50" s="43"/>
      <c r="D50" s="43"/>
      <c r="E50" s="64"/>
      <c r="F50" s="64"/>
      <c r="G50" s="64"/>
      <c r="H50" s="64"/>
      <c r="I50" s="64"/>
      <c r="J50" s="53">
        <f>SUM(J27:J49)</f>
        <v>7112.66</v>
      </c>
    </row>
    <row r="51" spans="1:10" x14ac:dyDescent="0.25">
      <c r="A51" s="381" t="s">
        <v>51</v>
      </c>
      <c r="B51" s="382"/>
      <c r="C51" s="382"/>
      <c r="D51" s="382"/>
      <c r="E51" s="382"/>
      <c r="F51" s="382"/>
      <c r="G51" s="382"/>
      <c r="H51" s="382"/>
      <c r="I51" s="382"/>
      <c r="J51" s="383"/>
    </row>
    <row r="52" spans="1:10" ht="25.5" x14ac:dyDescent="0.25">
      <c r="A52" s="43">
        <v>36</v>
      </c>
      <c r="B52" s="33" t="s">
        <v>154</v>
      </c>
      <c r="C52" s="64" t="s">
        <v>49</v>
      </c>
      <c r="D52" s="39">
        <v>0.13750000000000001</v>
      </c>
      <c r="E52" s="64" t="s">
        <v>82</v>
      </c>
      <c r="F52" s="34">
        <f>J22</f>
        <v>2936.98</v>
      </c>
      <c r="G52" s="38"/>
      <c r="H52" s="64"/>
      <c r="I52" s="39">
        <f t="shared" ref="I52:I54" si="7">D52</f>
        <v>0.13750000000000001</v>
      </c>
      <c r="J52" s="48">
        <f>F52*I52</f>
        <v>403.83</v>
      </c>
    </row>
    <row r="53" spans="1:10" x14ac:dyDescent="0.25">
      <c r="A53" s="43">
        <v>37</v>
      </c>
      <c r="B53" s="54" t="s">
        <v>155</v>
      </c>
      <c r="C53" s="64" t="s">
        <v>49</v>
      </c>
      <c r="D53" s="37">
        <v>0.36399999999999999</v>
      </c>
      <c r="E53" s="64" t="s">
        <v>83</v>
      </c>
      <c r="F53" s="34">
        <f>F52+J52</f>
        <v>3340.81</v>
      </c>
      <c r="G53" s="38"/>
      <c r="H53" s="64"/>
      <c r="I53" s="37">
        <f t="shared" si="7"/>
        <v>0.36399999999999999</v>
      </c>
      <c r="J53" s="48">
        <f>F53*I53</f>
        <v>1216.05</v>
      </c>
    </row>
    <row r="54" spans="1:10" x14ac:dyDescent="0.25">
      <c r="A54" s="43">
        <v>38</v>
      </c>
      <c r="B54" s="47" t="s">
        <v>84</v>
      </c>
      <c r="C54" s="64" t="s">
        <v>49</v>
      </c>
      <c r="D54" s="36">
        <v>0.06</v>
      </c>
      <c r="E54" s="64" t="s">
        <v>87</v>
      </c>
      <c r="F54" s="34">
        <f>F52+J52</f>
        <v>3340.81</v>
      </c>
      <c r="G54" s="41">
        <v>2.5</v>
      </c>
      <c r="H54" s="64"/>
      <c r="I54" s="36">
        <f t="shared" si="7"/>
        <v>0.06</v>
      </c>
      <c r="J54" s="48">
        <f>F54*I54*G54</f>
        <v>501.12</v>
      </c>
    </row>
    <row r="55" spans="1:10" x14ac:dyDescent="0.25">
      <c r="A55" s="43"/>
      <c r="B55" s="43" t="s">
        <v>156</v>
      </c>
      <c r="C55" s="64"/>
      <c r="D55" s="55"/>
      <c r="E55" s="45"/>
      <c r="F55" s="56"/>
      <c r="G55" s="56"/>
      <c r="H55" s="56"/>
      <c r="I55" s="36"/>
      <c r="J55" s="50">
        <f>SUM(J52:J54)</f>
        <v>2121</v>
      </c>
    </row>
    <row r="56" spans="1:10" ht="25.5" x14ac:dyDescent="0.25">
      <c r="A56" s="64"/>
      <c r="B56" s="35" t="s">
        <v>157</v>
      </c>
      <c r="C56" s="43"/>
      <c r="D56" s="43"/>
      <c r="E56" s="64"/>
      <c r="F56" s="64"/>
      <c r="G56" s="64"/>
      <c r="H56" s="64"/>
      <c r="I56" s="57"/>
      <c r="J56" s="50">
        <f>(J22+J50+J55+J25)*1.1</f>
        <v>13495.5</v>
      </c>
    </row>
    <row r="57" spans="1:10" x14ac:dyDescent="0.25">
      <c r="A57" s="64"/>
      <c r="B57" s="375" t="s">
        <v>588</v>
      </c>
      <c r="C57" s="376"/>
      <c r="D57" s="376"/>
      <c r="E57" s="376"/>
      <c r="F57" s="377"/>
      <c r="G57" s="66"/>
      <c r="H57" s="64"/>
      <c r="I57" s="58">
        <v>51.69</v>
      </c>
      <c r="J57" s="50">
        <f>J56*I57</f>
        <v>697582.4</v>
      </c>
    </row>
    <row r="58" spans="1:10" x14ac:dyDescent="0.25">
      <c r="A58" s="64"/>
      <c r="B58" s="69" t="s">
        <v>4</v>
      </c>
      <c r="C58" s="47"/>
      <c r="D58" s="47"/>
      <c r="E58" s="47"/>
      <c r="F58" s="47"/>
      <c r="G58" s="47"/>
      <c r="H58" s="47"/>
      <c r="I58" s="47"/>
      <c r="J58" s="50">
        <f>J57*0.2</f>
        <v>139516.48000000001</v>
      </c>
    </row>
    <row r="59" spans="1:10" x14ac:dyDescent="0.25">
      <c r="A59" s="64"/>
      <c r="B59" s="69" t="s">
        <v>158</v>
      </c>
      <c r="C59" s="47"/>
      <c r="D59" s="47"/>
      <c r="E59" s="47"/>
      <c r="F59" s="47"/>
      <c r="G59" s="47"/>
      <c r="H59" s="47"/>
      <c r="I59" s="47"/>
      <c r="J59" s="50">
        <f>J58+J57</f>
        <v>837098.88</v>
      </c>
    </row>
    <row r="60" spans="1:10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59"/>
    </row>
    <row r="61" spans="1:10" x14ac:dyDescent="0.25">
      <c r="A61" s="46"/>
      <c r="B61" s="60" t="s">
        <v>159</v>
      </c>
      <c r="C61" s="60"/>
      <c r="D61" s="61"/>
      <c r="E61" s="61"/>
      <c r="F61" s="61"/>
      <c r="G61" s="61"/>
      <c r="H61" s="61"/>
      <c r="I61" s="61"/>
      <c r="J61" s="70"/>
    </row>
  </sheetData>
  <mergeCells count="21">
    <mergeCell ref="A5:B5"/>
    <mergeCell ref="C5:J5"/>
    <mergeCell ref="D1:E1"/>
    <mergeCell ref="A2:J2"/>
    <mergeCell ref="A3:J3"/>
    <mergeCell ref="A4:B4"/>
    <mergeCell ref="C4:J4"/>
    <mergeCell ref="B57:F57"/>
    <mergeCell ref="A6:J6"/>
    <mergeCell ref="A7:A8"/>
    <mergeCell ref="B7:B8"/>
    <mergeCell ref="C7:C8"/>
    <mergeCell ref="D7:D8"/>
    <mergeCell ref="E7:E8"/>
    <mergeCell ref="F7:I7"/>
    <mergeCell ref="J7:J8"/>
    <mergeCell ref="F9:I9"/>
    <mergeCell ref="A10:J10"/>
    <mergeCell ref="A23:J23"/>
    <mergeCell ref="A26:J26"/>
    <mergeCell ref="A51:J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80" zoomScaleSheetLayoutView="100" workbookViewId="0">
      <selection activeCell="G94" sqref="G94"/>
    </sheetView>
  </sheetViews>
  <sheetFormatPr defaultRowHeight="12.75" x14ac:dyDescent="0.2"/>
  <cols>
    <col min="1" max="1" width="6.7109375" style="173" customWidth="1"/>
    <col min="2" max="2" width="55.7109375" style="105" customWidth="1"/>
    <col min="3" max="3" width="12.5703125" style="105" customWidth="1"/>
    <col min="4" max="4" width="25.85546875" style="105" customWidth="1"/>
    <col min="5" max="5" width="9.140625" style="105"/>
    <col min="6" max="6" width="11.5703125" style="105" customWidth="1"/>
    <col min="7" max="7" width="15.28515625" style="105" customWidth="1"/>
    <col min="8" max="16384" width="9.140625" style="105"/>
  </cols>
  <sheetData>
    <row r="1" spans="1:7" x14ac:dyDescent="0.2">
      <c r="A1" s="391" t="s">
        <v>29</v>
      </c>
      <c r="B1" s="391"/>
      <c r="C1" s="391"/>
      <c r="D1" s="391"/>
      <c r="E1" s="391"/>
      <c r="F1" s="391"/>
      <c r="G1" s="391"/>
    </row>
    <row r="2" spans="1:7" x14ac:dyDescent="0.2">
      <c r="A2" s="392" t="s">
        <v>209</v>
      </c>
      <c r="B2" s="392"/>
      <c r="C2" s="392"/>
      <c r="D2" s="392"/>
      <c r="E2" s="392"/>
      <c r="F2" s="392"/>
      <c r="G2" s="392"/>
    </row>
    <row r="3" spans="1:7" x14ac:dyDescent="0.2">
      <c r="A3" s="106"/>
      <c r="B3" s="107"/>
      <c r="C3" s="108"/>
      <c r="D3" s="109"/>
      <c r="E3" s="110"/>
      <c r="F3" s="107"/>
      <c r="G3" s="111"/>
    </row>
    <row r="4" spans="1:7" ht="51.75" customHeight="1" x14ac:dyDescent="0.2">
      <c r="A4" s="393" t="s">
        <v>210</v>
      </c>
      <c r="B4" s="394"/>
      <c r="C4" s="112"/>
      <c r="D4" s="395" t="s">
        <v>211</v>
      </c>
      <c r="E4" s="395"/>
      <c r="F4" s="395"/>
      <c r="G4" s="396"/>
    </row>
    <row r="5" spans="1:7" ht="21.75" customHeight="1" x14ac:dyDescent="0.2">
      <c r="A5" s="113"/>
      <c r="B5" s="113"/>
      <c r="C5" s="113"/>
      <c r="D5" s="397"/>
      <c r="E5" s="397"/>
      <c r="F5" s="397"/>
      <c r="G5" s="397"/>
    </row>
    <row r="6" spans="1:7" x14ac:dyDescent="0.2">
      <c r="A6" s="306" t="s">
        <v>212</v>
      </c>
      <c r="B6" s="112"/>
      <c r="C6" s="307"/>
      <c r="D6" s="398" t="s">
        <v>213</v>
      </c>
      <c r="E6" s="399"/>
      <c r="F6" s="399"/>
      <c r="G6" s="400"/>
    </row>
    <row r="7" spans="1:7" x14ac:dyDescent="0.2">
      <c r="A7" s="106"/>
      <c r="B7" s="107"/>
      <c r="C7" s="107"/>
      <c r="D7" s="114"/>
      <c r="E7" s="114"/>
      <c r="F7" s="114"/>
      <c r="G7" s="114"/>
    </row>
    <row r="8" spans="1:7" ht="12.75" customHeight="1" x14ac:dyDescent="0.2">
      <c r="A8" s="401" t="s">
        <v>214</v>
      </c>
      <c r="B8" s="402"/>
      <c r="C8" s="403"/>
      <c r="D8" s="407"/>
      <c r="E8" s="408"/>
      <c r="F8" s="408"/>
      <c r="G8" s="409"/>
    </row>
    <row r="9" spans="1:7" x14ac:dyDescent="0.2">
      <c r="A9" s="404"/>
      <c r="B9" s="405"/>
      <c r="C9" s="406"/>
      <c r="D9" s="410"/>
      <c r="E9" s="411"/>
      <c r="F9" s="411"/>
      <c r="G9" s="412"/>
    </row>
    <row r="10" spans="1:7" ht="26.25" customHeight="1" x14ac:dyDescent="0.2">
      <c r="A10" s="306" t="s">
        <v>17</v>
      </c>
      <c r="B10" s="112"/>
      <c r="C10" s="115" t="s">
        <v>215</v>
      </c>
      <c r="D10" s="413" t="s">
        <v>44</v>
      </c>
      <c r="E10" s="395"/>
      <c r="F10" s="395"/>
      <c r="G10" s="396"/>
    </row>
    <row r="11" spans="1:7" ht="51.75" customHeight="1" x14ac:dyDescent="0.2">
      <c r="A11" s="116"/>
      <c r="B11" s="414" t="s">
        <v>216</v>
      </c>
      <c r="C11" s="414"/>
      <c r="D11" s="414"/>
      <c r="E11" s="414"/>
      <c r="F11" s="414"/>
      <c r="G11" s="415"/>
    </row>
    <row r="12" spans="1:7" ht="13.5" thickBot="1" x14ac:dyDescent="0.25">
      <c r="A12" s="117" t="s">
        <v>0</v>
      </c>
      <c r="B12" s="118" t="s">
        <v>41</v>
      </c>
      <c r="C12" s="118" t="s">
        <v>164</v>
      </c>
      <c r="D12" s="118" t="s">
        <v>217</v>
      </c>
      <c r="E12" s="118" t="s">
        <v>218</v>
      </c>
      <c r="F12" s="118" t="s">
        <v>219</v>
      </c>
      <c r="G12" s="119" t="s">
        <v>220</v>
      </c>
    </row>
    <row r="13" spans="1:7" x14ac:dyDescent="0.2">
      <c r="A13" s="416" t="s">
        <v>221</v>
      </c>
      <c r="B13" s="417"/>
      <c r="C13" s="417"/>
      <c r="D13" s="417"/>
      <c r="E13" s="417"/>
      <c r="F13" s="417"/>
      <c r="G13" s="418"/>
    </row>
    <row r="14" spans="1:7" ht="36" customHeight="1" x14ac:dyDescent="0.2">
      <c r="A14" s="120">
        <v>1</v>
      </c>
      <c r="B14" s="121" t="s">
        <v>222</v>
      </c>
      <c r="C14" s="121" t="s">
        <v>223</v>
      </c>
      <c r="D14" s="310" t="s">
        <v>224</v>
      </c>
      <c r="E14" s="121">
        <v>3.6</v>
      </c>
      <c r="F14" s="122">
        <v>36</v>
      </c>
      <c r="G14" s="123">
        <f>E14*F14*1.25</f>
        <v>162</v>
      </c>
    </row>
    <row r="15" spans="1:7" ht="30" customHeight="1" x14ac:dyDescent="0.2">
      <c r="A15" s="120">
        <v>2</v>
      </c>
      <c r="B15" s="121" t="s">
        <v>225</v>
      </c>
      <c r="C15" s="163" t="s">
        <v>226</v>
      </c>
      <c r="D15" s="121" t="s">
        <v>227</v>
      </c>
      <c r="E15" s="121">
        <v>6</v>
      </c>
      <c r="F15" s="122">
        <v>21.3</v>
      </c>
      <c r="G15" s="123">
        <f>E15*F15</f>
        <v>127.8</v>
      </c>
    </row>
    <row r="16" spans="1:7" ht="30" customHeight="1" x14ac:dyDescent="0.2">
      <c r="A16" s="120">
        <v>3</v>
      </c>
      <c r="B16" s="305" t="s">
        <v>567</v>
      </c>
      <c r="C16" s="76" t="s">
        <v>568</v>
      </c>
      <c r="D16" s="130" t="s">
        <v>569</v>
      </c>
      <c r="E16" s="121">
        <v>0</v>
      </c>
      <c r="F16" s="131">
        <v>21.3</v>
      </c>
      <c r="G16" s="123">
        <f>E16*F16*1.3</f>
        <v>0</v>
      </c>
    </row>
    <row r="17" spans="1:7" ht="43.5" customHeight="1" x14ac:dyDescent="0.2">
      <c r="A17" s="120">
        <v>4</v>
      </c>
      <c r="B17" s="121" t="s">
        <v>228</v>
      </c>
      <c r="C17" s="124" t="s">
        <v>229</v>
      </c>
      <c r="D17" s="311" t="s">
        <v>230</v>
      </c>
      <c r="E17" s="125">
        <v>6</v>
      </c>
      <c r="F17" s="126">
        <v>6.9</v>
      </c>
      <c r="G17" s="127">
        <f>E17*F17</f>
        <v>41.4</v>
      </c>
    </row>
    <row r="18" spans="1:7" ht="26.25" customHeight="1" x14ac:dyDescent="0.2">
      <c r="A18" s="120">
        <v>5</v>
      </c>
      <c r="B18" s="121" t="s">
        <v>231</v>
      </c>
      <c r="C18" s="124" t="s">
        <v>229</v>
      </c>
      <c r="D18" s="312" t="s">
        <v>232</v>
      </c>
      <c r="E18" s="125">
        <v>6</v>
      </c>
      <c r="F18" s="126">
        <v>37.700000000000003</v>
      </c>
      <c r="G18" s="127">
        <f>E18*F18</f>
        <v>226.2</v>
      </c>
    </row>
    <row r="19" spans="1:7" ht="27" customHeight="1" x14ac:dyDescent="0.2">
      <c r="A19" s="120">
        <v>6</v>
      </c>
      <c r="B19" s="121" t="s">
        <v>233</v>
      </c>
      <c r="C19" s="124" t="s">
        <v>229</v>
      </c>
      <c r="D19" s="311" t="s">
        <v>234</v>
      </c>
      <c r="E19" s="124">
        <v>2</v>
      </c>
      <c r="F19" s="126">
        <v>4.5999999999999996</v>
      </c>
      <c r="G19" s="128">
        <f>E19*F19*0.5</f>
        <v>4.5999999999999996</v>
      </c>
    </row>
    <row r="20" spans="1:7" ht="21.75" customHeight="1" x14ac:dyDescent="0.2">
      <c r="A20" s="120">
        <v>7</v>
      </c>
      <c r="B20" s="121" t="s">
        <v>235</v>
      </c>
      <c r="C20" s="124" t="s">
        <v>229</v>
      </c>
      <c r="D20" s="311" t="s">
        <v>234</v>
      </c>
      <c r="E20" s="124">
        <v>2</v>
      </c>
      <c r="F20" s="126">
        <v>18.8</v>
      </c>
      <c r="G20" s="126">
        <f>E20*F20*0.5</f>
        <v>18.8</v>
      </c>
    </row>
    <row r="21" spans="1:7" ht="23.25" customHeight="1" x14ac:dyDescent="0.2">
      <c r="A21" s="120">
        <v>8</v>
      </c>
      <c r="B21" s="121" t="s">
        <v>236</v>
      </c>
      <c r="C21" s="124" t="s">
        <v>229</v>
      </c>
      <c r="D21" s="311" t="s">
        <v>234</v>
      </c>
      <c r="E21" s="124">
        <v>2</v>
      </c>
      <c r="F21" s="126">
        <v>20.3</v>
      </c>
      <c r="G21" s="129">
        <f>E21*F21*0.5</f>
        <v>20.3</v>
      </c>
    </row>
    <row r="22" spans="1:7" ht="23.25" customHeight="1" x14ac:dyDescent="0.2">
      <c r="A22" s="120">
        <v>9</v>
      </c>
      <c r="B22" s="121" t="s">
        <v>237</v>
      </c>
      <c r="C22" s="130" t="s">
        <v>238</v>
      </c>
      <c r="D22" s="121" t="s">
        <v>239</v>
      </c>
      <c r="E22" s="124">
        <v>2</v>
      </c>
      <c r="F22" s="131">
        <v>535</v>
      </c>
      <c r="G22" s="126">
        <f>E22*F22</f>
        <v>1070</v>
      </c>
    </row>
    <row r="23" spans="1:7" ht="25.5" x14ac:dyDescent="0.2">
      <c r="A23" s="132" t="s">
        <v>520</v>
      </c>
      <c r="B23" s="121" t="s">
        <v>584</v>
      </c>
      <c r="C23" s="121" t="s">
        <v>240</v>
      </c>
      <c r="D23" s="313" t="s">
        <v>241</v>
      </c>
      <c r="E23" s="133">
        <v>65</v>
      </c>
      <c r="F23" s="122">
        <v>49.2</v>
      </c>
      <c r="G23" s="134">
        <f>E23*F23</f>
        <v>3198</v>
      </c>
    </row>
    <row r="24" spans="1:7" x14ac:dyDescent="0.2">
      <c r="A24" s="388" t="s">
        <v>242</v>
      </c>
      <c r="B24" s="389"/>
      <c r="C24" s="389"/>
      <c r="D24" s="389"/>
      <c r="E24" s="389"/>
      <c r="F24" s="390"/>
      <c r="G24" s="135">
        <f>SUM(G14:G23)*1.2*1.4</f>
        <v>8180.09</v>
      </c>
    </row>
    <row r="25" spans="1:7" ht="25.5" hidden="1" x14ac:dyDescent="0.2">
      <c r="A25" s="136" t="s">
        <v>243</v>
      </c>
      <c r="B25" s="137" t="s">
        <v>244</v>
      </c>
      <c r="C25" s="137"/>
      <c r="D25" s="137" t="s">
        <v>245</v>
      </c>
      <c r="E25" s="137"/>
      <c r="F25" s="138"/>
      <c r="G25" s="139">
        <f>G24*1</f>
        <v>8180.09</v>
      </c>
    </row>
    <row r="26" spans="1:7" ht="25.5" x14ac:dyDescent="0.2">
      <c r="A26" s="140" t="s">
        <v>525</v>
      </c>
      <c r="B26" s="121" t="s">
        <v>246</v>
      </c>
      <c r="C26" s="133" t="s">
        <v>25</v>
      </c>
      <c r="D26" s="121" t="s">
        <v>247</v>
      </c>
      <c r="E26" s="141">
        <v>8.7499999999999994E-2</v>
      </c>
      <c r="F26" s="122">
        <f>G24</f>
        <v>8180.09</v>
      </c>
      <c r="G26" s="134">
        <f>F26*E26</f>
        <v>715.76</v>
      </c>
    </row>
    <row r="27" spans="1:7" ht="25.5" x14ac:dyDescent="0.2">
      <c r="A27" s="136" t="s">
        <v>394</v>
      </c>
      <c r="B27" s="142" t="s">
        <v>249</v>
      </c>
      <c r="C27" s="121" t="s">
        <v>25</v>
      </c>
      <c r="D27" s="121" t="s">
        <v>250</v>
      </c>
      <c r="E27" s="121">
        <v>0.39200000000000002</v>
      </c>
      <c r="F27" s="122">
        <f>G26+F26</f>
        <v>8895.85</v>
      </c>
      <c r="G27" s="123">
        <f>F27*E27</f>
        <v>3487.17</v>
      </c>
    </row>
    <row r="28" spans="1:7" ht="27" customHeight="1" x14ac:dyDescent="0.2">
      <c r="A28" s="143">
        <v>13</v>
      </c>
      <c r="B28" s="300" t="s">
        <v>202</v>
      </c>
      <c r="C28" s="300" t="s">
        <v>49</v>
      </c>
      <c r="D28" s="37">
        <v>0.06</v>
      </c>
      <c r="E28" s="141">
        <v>2.5</v>
      </c>
      <c r="F28" s="122"/>
      <c r="G28" s="134">
        <f>F27*E28*D28</f>
        <v>1334.38</v>
      </c>
    </row>
    <row r="29" spans="1:7" x14ac:dyDescent="0.2">
      <c r="A29" s="419" t="s">
        <v>251</v>
      </c>
      <c r="B29" s="420"/>
      <c r="C29" s="421"/>
      <c r="D29" s="420"/>
      <c r="E29" s="420"/>
      <c r="F29" s="422"/>
      <c r="G29" s="144">
        <f>SUM(G24:G27)</f>
        <v>20563.11</v>
      </c>
    </row>
    <row r="30" spans="1:7" ht="25.5" hidden="1" x14ac:dyDescent="0.2">
      <c r="A30" s="132" t="s">
        <v>252</v>
      </c>
      <c r="B30" s="423" t="s">
        <v>253</v>
      </c>
      <c r="C30" s="424"/>
      <c r="D30" s="121" t="s">
        <v>254</v>
      </c>
      <c r="E30" s="121"/>
      <c r="F30" s="121"/>
      <c r="G30" s="123">
        <f>G29*1</f>
        <v>20563.11</v>
      </c>
    </row>
    <row r="31" spans="1:7" x14ac:dyDescent="0.2">
      <c r="A31" s="425" t="s">
        <v>255</v>
      </c>
      <c r="B31" s="426"/>
      <c r="C31" s="426"/>
      <c r="D31" s="426"/>
      <c r="E31" s="426"/>
      <c r="F31" s="426"/>
      <c r="G31" s="145">
        <f>G30</f>
        <v>20563.11</v>
      </c>
    </row>
    <row r="32" spans="1:7" x14ac:dyDescent="0.2">
      <c r="A32" s="427" t="s">
        <v>47</v>
      </c>
      <c r="B32" s="428"/>
      <c r="C32" s="428"/>
      <c r="D32" s="428"/>
      <c r="E32" s="428"/>
      <c r="F32" s="428"/>
      <c r="G32" s="429"/>
    </row>
    <row r="33" spans="1:7" ht="22.5" customHeight="1" x14ac:dyDescent="0.2">
      <c r="A33" s="146"/>
      <c r="B33" s="430" t="s">
        <v>256</v>
      </c>
      <c r="C33" s="431"/>
      <c r="D33" s="432"/>
      <c r="E33" s="433"/>
      <c r="F33" s="434"/>
      <c r="G33" s="435"/>
    </row>
    <row r="34" spans="1:7" x14ac:dyDescent="0.2">
      <c r="A34" s="120">
        <v>2.1</v>
      </c>
      <c r="B34" s="121" t="s">
        <v>257</v>
      </c>
      <c r="C34" s="121" t="s">
        <v>258</v>
      </c>
      <c r="D34" s="121" t="s">
        <v>259</v>
      </c>
      <c r="E34" s="121">
        <v>6</v>
      </c>
      <c r="F34" s="122">
        <v>2</v>
      </c>
      <c r="G34" s="123">
        <f t="shared" ref="G34:G43" si="0">E34*F34</f>
        <v>12</v>
      </c>
    </row>
    <row r="35" spans="1:7" x14ac:dyDescent="0.2">
      <c r="A35" s="120">
        <v>2.2000000000000002</v>
      </c>
      <c r="B35" s="121" t="s">
        <v>260</v>
      </c>
      <c r="C35" s="121" t="s">
        <v>258</v>
      </c>
      <c r="D35" s="121" t="s">
        <v>261</v>
      </c>
      <c r="E35" s="121">
        <f>E34</f>
        <v>6</v>
      </c>
      <c r="F35" s="122">
        <v>8.6</v>
      </c>
      <c r="G35" s="123">
        <f t="shared" si="0"/>
        <v>51.6</v>
      </c>
    </row>
    <row r="36" spans="1:7" x14ac:dyDescent="0.2">
      <c r="A36" s="120">
        <v>2.2999999999999998</v>
      </c>
      <c r="B36" s="121" t="s">
        <v>262</v>
      </c>
      <c r="C36" s="121" t="s">
        <v>258</v>
      </c>
      <c r="D36" s="121" t="s">
        <v>263</v>
      </c>
      <c r="E36" s="121">
        <f>E34</f>
        <v>6</v>
      </c>
      <c r="F36" s="122">
        <v>8.9</v>
      </c>
      <c r="G36" s="123">
        <f t="shared" si="0"/>
        <v>53.4</v>
      </c>
    </row>
    <row r="37" spans="1:7" x14ac:dyDescent="0.2">
      <c r="A37" s="120">
        <v>2.4</v>
      </c>
      <c r="B37" s="121" t="s">
        <v>264</v>
      </c>
      <c r="C37" s="121" t="s">
        <v>258</v>
      </c>
      <c r="D37" s="121" t="s">
        <v>265</v>
      </c>
      <c r="E37" s="121">
        <f>E34</f>
        <v>6</v>
      </c>
      <c r="F37" s="122">
        <v>49.4</v>
      </c>
      <c r="G37" s="123">
        <f t="shared" si="0"/>
        <v>296.39999999999998</v>
      </c>
    </row>
    <row r="38" spans="1:7" x14ac:dyDescent="0.2">
      <c r="A38" s="120">
        <v>2.5</v>
      </c>
      <c r="B38" s="121" t="s">
        <v>266</v>
      </c>
      <c r="C38" s="121" t="s">
        <v>258</v>
      </c>
      <c r="D38" s="121" t="s">
        <v>265</v>
      </c>
      <c r="E38" s="121">
        <f>E34</f>
        <v>6</v>
      </c>
      <c r="F38" s="122">
        <v>8</v>
      </c>
      <c r="G38" s="123">
        <f t="shared" si="0"/>
        <v>48</v>
      </c>
    </row>
    <row r="39" spans="1:7" x14ac:dyDescent="0.2">
      <c r="A39" s="120">
        <v>2.6</v>
      </c>
      <c r="B39" s="121" t="s">
        <v>267</v>
      </c>
      <c r="C39" s="121" t="s">
        <v>258</v>
      </c>
      <c r="D39" s="121" t="s">
        <v>268</v>
      </c>
      <c r="E39" s="121">
        <f>E34</f>
        <v>6</v>
      </c>
      <c r="F39" s="122">
        <v>14.4</v>
      </c>
      <c r="G39" s="123">
        <f t="shared" si="0"/>
        <v>86.4</v>
      </c>
    </row>
    <row r="40" spans="1:7" x14ac:dyDescent="0.2">
      <c r="A40" s="120">
        <v>2.7</v>
      </c>
      <c r="B40" s="121" t="s">
        <v>269</v>
      </c>
      <c r="C40" s="121" t="s">
        <v>258</v>
      </c>
      <c r="D40" s="121" t="s">
        <v>270</v>
      </c>
      <c r="E40" s="121">
        <f>E34</f>
        <v>6</v>
      </c>
      <c r="F40" s="122">
        <v>5.3</v>
      </c>
      <c r="G40" s="123">
        <f t="shared" si="0"/>
        <v>31.8</v>
      </c>
    </row>
    <row r="41" spans="1:7" x14ac:dyDescent="0.2">
      <c r="A41" s="120">
        <v>2.8</v>
      </c>
      <c r="B41" s="121" t="s">
        <v>271</v>
      </c>
      <c r="C41" s="121" t="s">
        <v>258</v>
      </c>
      <c r="D41" s="121" t="s">
        <v>272</v>
      </c>
      <c r="E41" s="121">
        <f>E34</f>
        <v>6</v>
      </c>
      <c r="F41" s="122">
        <v>8.9</v>
      </c>
      <c r="G41" s="123">
        <f t="shared" si="0"/>
        <v>53.4</v>
      </c>
    </row>
    <row r="42" spans="1:7" x14ac:dyDescent="0.2">
      <c r="A42" s="120">
        <v>2.9</v>
      </c>
      <c r="B42" s="121" t="s">
        <v>273</v>
      </c>
      <c r="C42" s="121" t="s">
        <v>258</v>
      </c>
      <c r="D42" s="121" t="s">
        <v>274</v>
      </c>
      <c r="E42" s="121">
        <f>E34</f>
        <v>6</v>
      </c>
      <c r="F42" s="122">
        <v>13.8</v>
      </c>
      <c r="G42" s="123">
        <f t="shared" si="0"/>
        <v>82.8</v>
      </c>
    </row>
    <row r="43" spans="1:7" ht="25.5" x14ac:dyDescent="0.2">
      <c r="A43" s="147">
        <v>2.1</v>
      </c>
      <c r="B43" s="121" t="s">
        <v>275</v>
      </c>
      <c r="C43" s="121" t="s">
        <v>258</v>
      </c>
      <c r="D43" s="121" t="s">
        <v>276</v>
      </c>
      <c r="E43" s="121">
        <f>E34</f>
        <v>6</v>
      </c>
      <c r="F43" s="122">
        <v>7.1</v>
      </c>
      <c r="G43" s="123">
        <f t="shared" si="0"/>
        <v>42.6</v>
      </c>
    </row>
    <row r="44" spans="1:7" ht="19.5" customHeight="1" x14ac:dyDescent="0.2">
      <c r="A44" s="132"/>
      <c r="B44" s="430" t="s">
        <v>277</v>
      </c>
      <c r="C44" s="431"/>
      <c r="D44" s="432"/>
      <c r="E44" s="439"/>
      <c r="F44" s="440"/>
      <c r="G44" s="441"/>
    </row>
    <row r="45" spans="1:7" ht="42.75" customHeight="1" x14ac:dyDescent="0.2">
      <c r="A45" s="120">
        <v>2.11</v>
      </c>
      <c r="B45" s="121" t="s">
        <v>278</v>
      </c>
      <c r="C45" s="121" t="s">
        <v>279</v>
      </c>
      <c r="D45" s="121" t="s">
        <v>280</v>
      </c>
      <c r="E45" s="121">
        <f>E17+E21</f>
        <v>8</v>
      </c>
      <c r="F45" s="122">
        <f>9*7.8</f>
        <v>70.2</v>
      </c>
      <c r="G45" s="123">
        <f>E45*F45</f>
        <v>561.6</v>
      </c>
    </row>
    <row r="46" spans="1:7" x14ac:dyDescent="0.2">
      <c r="A46" s="120">
        <v>2.12</v>
      </c>
      <c r="B46" s="121" t="s">
        <v>281</v>
      </c>
      <c r="C46" s="121" t="s">
        <v>258</v>
      </c>
      <c r="D46" s="121" t="s">
        <v>282</v>
      </c>
      <c r="E46" s="121">
        <f>E17</f>
        <v>6</v>
      </c>
      <c r="F46" s="122">
        <v>19.7</v>
      </c>
      <c r="G46" s="123">
        <f>E46*F46</f>
        <v>118.2</v>
      </c>
    </row>
    <row r="47" spans="1:7" x14ac:dyDescent="0.2">
      <c r="A47" s="120">
        <v>2.13</v>
      </c>
      <c r="B47" s="121" t="s">
        <v>283</v>
      </c>
      <c r="C47" s="121" t="s">
        <v>258</v>
      </c>
      <c r="D47" s="121" t="s">
        <v>284</v>
      </c>
      <c r="E47" s="121">
        <f>E17</f>
        <v>6</v>
      </c>
      <c r="F47" s="122">
        <v>95.8</v>
      </c>
      <c r="G47" s="123">
        <f>E47*F47</f>
        <v>574.79999999999995</v>
      </c>
    </row>
    <row r="48" spans="1:7" ht="18" customHeight="1" x14ac:dyDescent="0.2">
      <c r="A48" s="147"/>
      <c r="B48" s="430" t="s">
        <v>285</v>
      </c>
      <c r="C48" s="431"/>
      <c r="D48" s="432"/>
      <c r="E48" s="439"/>
      <c r="F48" s="440"/>
      <c r="G48" s="441"/>
    </row>
    <row r="49" spans="1:7" ht="15" customHeight="1" x14ac:dyDescent="0.2">
      <c r="A49" s="120">
        <v>2.14</v>
      </c>
      <c r="B49" s="121" t="s">
        <v>286</v>
      </c>
      <c r="C49" s="121" t="s">
        <v>258</v>
      </c>
      <c r="D49" s="121" t="s">
        <v>287</v>
      </c>
      <c r="E49" s="121">
        <f>E19</f>
        <v>2</v>
      </c>
      <c r="F49" s="122">
        <v>14</v>
      </c>
      <c r="G49" s="123">
        <f t="shared" ref="G49:G66" si="1">E49*F49</f>
        <v>28</v>
      </c>
    </row>
    <row r="50" spans="1:7" ht="18.75" customHeight="1" x14ac:dyDescent="0.2">
      <c r="A50" s="120">
        <v>2.15</v>
      </c>
      <c r="B50" s="121" t="s">
        <v>288</v>
      </c>
      <c r="C50" s="121" t="s">
        <v>258</v>
      </c>
      <c r="D50" s="121" t="s">
        <v>289</v>
      </c>
      <c r="E50" s="121">
        <f>E19</f>
        <v>2</v>
      </c>
      <c r="F50" s="122">
        <v>3.5</v>
      </c>
      <c r="G50" s="123">
        <f t="shared" si="1"/>
        <v>7</v>
      </c>
    </row>
    <row r="51" spans="1:7" ht="20.25" customHeight="1" x14ac:dyDescent="0.2">
      <c r="A51" s="120">
        <v>2.16</v>
      </c>
      <c r="B51" s="121" t="s">
        <v>290</v>
      </c>
      <c r="C51" s="121" t="s">
        <v>258</v>
      </c>
      <c r="D51" s="121" t="s">
        <v>291</v>
      </c>
      <c r="E51" s="121">
        <f>E19</f>
        <v>2</v>
      </c>
      <c r="F51" s="122">
        <v>19.899999999999999</v>
      </c>
      <c r="G51" s="123">
        <f t="shared" si="1"/>
        <v>39.799999999999997</v>
      </c>
    </row>
    <row r="52" spans="1:7" ht="16.5" customHeight="1" x14ac:dyDescent="0.2">
      <c r="A52" s="120">
        <v>2.17</v>
      </c>
      <c r="B52" s="121" t="s">
        <v>292</v>
      </c>
      <c r="C52" s="121" t="s">
        <v>258</v>
      </c>
      <c r="D52" s="121" t="s">
        <v>293</v>
      </c>
      <c r="E52" s="121">
        <f>E19</f>
        <v>2</v>
      </c>
      <c r="F52" s="122">
        <v>5.0999999999999996</v>
      </c>
      <c r="G52" s="123">
        <f t="shared" si="1"/>
        <v>10.199999999999999</v>
      </c>
    </row>
    <row r="53" spans="1:7" ht="17.25" customHeight="1" x14ac:dyDescent="0.2">
      <c r="A53" s="120">
        <v>2.1800000000000002</v>
      </c>
      <c r="B53" s="121" t="s">
        <v>294</v>
      </c>
      <c r="C53" s="121" t="s">
        <v>258</v>
      </c>
      <c r="D53" s="121" t="s">
        <v>295</v>
      </c>
      <c r="E53" s="121">
        <f>E19</f>
        <v>2</v>
      </c>
      <c r="F53" s="122">
        <v>6.1</v>
      </c>
      <c r="G53" s="123">
        <f t="shared" si="1"/>
        <v>12.2</v>
      </c>
    </row>
    <row r="54" spans="1:7" ht="17.25" customHeight="1" x14ac:dyDescent="0.2">
      <c r="A54" s="120">
        <v>2.19</v>
      </c>
      <c r="B54" s="121" t="s">
        <v>296</v>
      </c>
      <c r="C54" s="121" t="s">
        <v>258</v>
      </c>
      <c r="D54" s="121" t="s">
        <v>297</v>
      </c>
      <c r="E54" s="121">
        <f>E19</f>
        <v>2</v>
      </c>
      <c r="F54" s="122">
        <v>4.8</v>
      </c>
      <c r="G54" s="123">
        <f t="shared" si="1"/>
        <v>9.6</v>
      </c>
    </row>
    <row r="55" spans="1:7" ht="15" customHeight="1" x14ac:dyDescent="0.2">
      <c r="A55" s="120">
        <v>2.2000000000000002</v>
      </c>
      <c r="B55" s="121" t="s">
        <v>298</v>
      </c>
      <c r="C55" s="121" t="s">
        <v>258</v>
      </c>
      <c r="D55" s="121" t="s">
        <v>299</v>
      </c>
      <c r="E55" s="121">
        <f>E19</f>
        <v>2</v>
      </c>
      <c r="F55" s="122">
        <v>9.6</v>
      </c>
      <c r="G55" s="123">
        <f t="shared" si="1"/>
        <v>19.2</v>
      </c>
    </row>
    <row r="56" spans="1:7" ht="14.25" customHeight="1" x14ac:dyDescent="0.2">
      <c r="A56" s="120">
        <v>2.21</v>
      </c>
      <c r="B56" s="121" t="s">
        <v>300</v>
      </c>
      <c r="C56" s="121" t="s">
        <v>258</v>
      </c>
      <c r="D56" s="121" t="s">
        <v>301</v>
      </c>
      <c r="E56" s="121">
        <f>E19</f>
        <v>2</v>
      </c>
      <c r="F56" s="122">
        <v>10.8</v>
      </c>
      <c r="G56" s="123">
        <f t="shared" si="1"/>
        <v>21.6</v>
      </c>
    </row>
    <row r="57" spans="1:7" ht="14.25" customHeight="1" x14ac:dyDescent="0.2">
      <c r="A57" s="120">
        <v>2.2200000000000002</v>
      </c>
      <c r="B57" s="121" t="s">
        <v>302</v>
      </c>
      <c r="C57" s="121" t="s">
        <v>258</v>
      </c>
      <c r="D57" s="121" t="s">
        <v>303</v>
      </c>
      <c r="E57" s="121">
        <f>E19</f>
        <v>2</v>
      </c>
      <c r="F57" s="122">
        <v>8.6999999999999993</v>
      </c>
      <c r="G57" s="123">
        <f t="shared" si="1"/>
        <v>17.399999999999999</v>
      </c>
    </row>
    <row r="58" spans="1:7" ht="18" customHeight="1" x14ac:dyDescent="0.2">
      <c r="A58" s="120">
        <v>2.23</v>
      </c>
      <c r="B58" s="121" t="s">
        <v>304</v>
      </c>
      <c r="C58" s="121" t="s">
        <v>258</v>
      </c>
      <c r="D58" s="121" t="s">
        <v>305</v>
      </c>
      <c r="E58" s="121">
        <f>E19</f>
        <v>2</v>
      </c>
      <c r="F58" s="122">
        <v>12.2</v>
      </c>
      <c r="G58" s="123">
        <f t="shared" si="1"/>
        <v>24.4</v>
      </c>
    </row>
    <row r="59" spans="1:7" ht="15" customHeight="1" x14ac:dyDescent="0.2">
      <c r="A59" s="120">
        <v>2.2400000000000002</v>
      </c>
      <c r="B59" s="121" t="s">
        <v>306</v>
      </c>
      <c r="C59" s="121" t="s">
        <v>258</v>
      </c>
      <c r="D59" s="121" t="s">
        <v>307</v>
      </c>
      <c r="E59" s="121">
        <f>E19</f>
        <v>2</v>
      </c>
      <c r="F59" s="122">
        <v>15.7</v>
      </c>
      <c r="G59" s="123">
        <f t="shared" si="1"/>
        <v>31.4</v>
      </c>
    </row>
    <row r="60" spans="1:7" ht="15" customHeight="1" x14ac:dyDescent="0.2">
      <c r="A60" s="120">
        <v>2.25</v>
      </c>
      <c r="B60" s="121" t="s">
        <v>308</v>
      </c>
      <c r="C60" s="121" t="s">
        <v>258</v>
      </c>
      <c r="D60" s="121" t="s">
        <v>309</v>
      </c>
      <c r="E60" s="121">
        <f>E19</f>
        <v>2</v>
      </c>
      <c r="F60" s="122">
        <v>8.1</v>
      </c>
      <c r="G60" s="123">
        <f t="shared" si="1"/>
        <v>16.2</v>
      </c>
    </row>
    <row r="61" spans="1:7" ht="17.25" customHeight="1" x14ac:dyDescent="0.2">
      <c r="A61" s="120">
        <v>2.2599999999999998</v>
      </c>
      <c r="B61" s="121" t="s">
        <v>310</v>
      </c>
      <c r="C61" s="121" t="s">
        <v>258</v>
      </c>
      <c r="D61" s="121" t="s">
        <v>311</v>
      </c>
      <c r="E61" s="121">
        <f>E19</f>
        <v>2</v>
      </c>
      <c r="F61" s="122">
        <v>4.8</v>
      </c>
      <c r="G61" s="123">
        <f t="shared" si="1"/>
        <v>9.6</v>
      </c>
    </row>
    <row r="62" spans="1:7" ht="16.5" customHeight="1" x14ac:dyDescent="0.2">
      <c r="A62" s="120">
        <v>2.27</v>
      </c>
      <c r="B62" s="121" t="s">
        <v>312</v>
      </c>
      <c r="C62" s="121" t="s">
        <v>258</v>
      </c>
      <c r="D62" s="121" t="s">
        <v>313</v>
      </c>
      <c r="E62" s="121">
        <f>E19</f>
        <v>2</v>
      </c>
      <c r="F62" s="122">
        <v>7.4</v>
      </c>
      <c r="G62" s="123">
        <f t="shared" si="1"/>
        <v>14.8</v>
      </c>
    </row>
    <row r="63" spans="1:7" ht="15.75" customHeight="1" x14ac:dyDescent="0.2">
      <c r="A63" s="120">
        <v>2.2799999999999998</v>
      </c>
      <c r="B63" s="121" t="s">
        <v>314</v>
      </c>
      <c r="C63" s="121" t="s">
        <v>258</v>
      </c>
      <c r="D63" s="121" t="s">
        <v>315</v>
      </c>
      <c r="E63" s="121">
        <f>E19</f>
        <v>2</v>
      </c>
      <c r="F63" s="122">
        <v>4.5</v>
      </c>
      <c r="G63" s="123">
        <f t="shared" si="1"/>
        <v>9</v>
      </c>
    </row>
    <row r="64" spans="1:7" ht="14.25" customHeight="1" x14ac:dyDescent="0.2">
      <c r="A64" s="120">
        <v>2.29</v>
      </c>
      <c r="B64" s="121" t="s">
        <v>316</v>
      </c>
      <c r="C64" s="121" t="s">
        <v>258</v>
      </c>
      <c r="D64" s="121" t="s">
        <v>317</v>
      </c>
      <c r="E64" s="121">
        <f>E19</f>
        <v>2</v>
      </c>
      <c r="F64" s="122">
        <v>25.6</v>
      </c>
      <c r="G64" s="123">
        <f t="shared" si="1"/>
        <v>51.2</v>
      </c>
    </row>
    <row r="65" spans="1:7" ht="16.5" customHeight="1" x14ac:dyDescent="0.2">
      <c r="A65" s="147">
        <v>2.2999999999999998</v>
      </c>
      <c r="B65" s="121" t="s">
        <v>318</v>
      </c>
      <c r="C65" s="121" t="s">
        <v>258</v>
      </c>
      <c r="D65" s="121" t="s">
        <v>319</v>
      </c>
      <c r="E65" s="125">
        <f>E19</f>
        <v>2</v>
      </c>
      <c r="F65" s="122">
        <v>4.5999999999999996</v>
      </c>
      <c r="G65" s="123">
        <f t="shared" si="1"/>
        <v>9.1999999999999993</v>
      </c>
    </row>
    <row r="66" spans="1:7" ht="17.25" customHeight="1" x14ac:dyDescent="0.2">
      <c r="A66" s="148">
        <v>2.31</v>
      </c>
      <c r="B66" s="121" t="s">
        <v>320</v>
      </c>
      <c r="C66" s="121" t="s">
        <v>258</v>
      </c>
      <c r="D66" s="121" t="s">
        <v>321</v>
      </c>
      <c r="E66" s="125">
        <f>E19</f>
        <v>2</v>
      </c>
      <c r="F66" s="122">
        <v>14</v>
      </c>
      <c r="G66" s="123">
        <f t="shared" si="1"/>
        <v>28</v>
      </c>
    </row>
    <row r="67" spans="1:7" ht="24.75" customHeight="1" x14ac:dyDescent="0.2">
      <c r="A67" s="442" t="s">
        <v>322</v>
      </c>
      <c r="B67" s="420"/>
      <c r="C67" s="421"/>
      <c r="D67" s="420"/>
      <c r="E67" s="420"/>
      <c r="F67" s="422"/>
      <c r="G67" s="135">
        <f>G34+G35+G36+G37+G38+G39+G40+G41+G42+G43+G45+G46+G47+G49+G50+G51+G52+G53+G54+G55+G56+G57+G58+G59+G60+G61+G62+G63+G64+G65+G66</f>
        <v>2371.8000000000002</v>
      </c>
    </row>
    <row r="68" spans="1:7" x14ac:dyDescent="0.2">
      <c r="A68" s="427" t="s">
        <v>48</v>
      </c>
      <c r="B68" s="428"/>
      <c r="C68" s="428"/>
      <c r="D68" s="428"/>
      <c r="E68" s="428"/>
      <c r="F68" s="428"/>
      <c r="G68" s="429"/>
    </row>
    <row r="69" spans="1:7" x14ac:dyDescent="0.2">
      <c r="A69" s="120">
        <v>3.1</v>
      </c>
      <c r="B69" s="121" t="s">
        <v>323</v>
      </c>
      <c r="C69" s="149" t="s">
        <v>324</v>
      </c>
      <c r="D69" s="121" t="s">
        <v>325</v>
      </c>
      <c r="E69" s="121">
        <v>1</v>
      </c>
      <c r="F69" s="121">
        <v>200</v>
      </c>
      <c r="G69" s="150">
        <f>1.4*F69</f>
        <v>280</v>
      </c>
    </row>
    <row r="70" spans="1:7" ht="43.5" customHeight="1" x14ac:dyDescent="0.2">
      <c r="A70" s="120">
        <v>3.2</v>
      </c>
      <c r="B70" s="121" t="s">
        <v>326</v>
      </c>
      <c r="C70" s="121" t="s">
        <v>223</v>
      </c>
      <c r="D70" s="121" t="s">
        <v>327</v>
      </c>
      <c r="E70" s="121">
        <f>E14</f>
        <v>3.6</v>
      </c>
      <c r="F70" s="151">
        <v>23.4</v>
      </c>
      <c r="G70" s="150">
        <f>E70*F70</f>
        <v>84.24</v>
      </c>
    </row>
    <row r="71" spans="1:7" ht="31.5" customHeight="1" x14ac:dyDescent="0.2">
      <c r="A71" s="120">
        <v>3.3</v>
      </c>
      <c r="B71" s="121" t="s">
        <v>328</v>
      </c>
      <c r="C71" s="121" t="s">
        <v>226</v>
      </c>
      <c r="D71" s="142" t="s">
        <v>329</v>
      </c>
      <c r="E71" s="121">
        <f>E15</f>
        <v>6</v>
      </c>
      <c r="F71" s="151">
        <v>13.3</v>
      </c>
      <c r="G71" s="150">
        <f>E71*F71</f>
        <v>79.8</v>
      </c>
    </row>
    <row r="72" spans="1:7" ht="31.5" customHeight="1" x14ac:dyDescent="0.2">
      <c r="A72" s="120">
        <v>3.4</v>
      </c>
      <c r="B72" s="305" t="s">
        <v>567</v>
      </c>
      <c r="C72" s="76" t="s">
        <v>568</v>
      </c>
      <c r="D72" s="130" t="s">
        <v>569</v>
      </c>
      <c r="E72" s="121">
        <v>200</v>
      </c>
      <c r="F72" s="131">
        <v>13.3</v>
      </c>
      <c r="G72" s="123">
        <f>E72*F72*1.3</f>
        <v>3458</v>
      </c>
    </row>
    <row r="73" spans="1:7" ht="31.5" customHeight="1" x14ac:dyDescent="0.2">
      <c r="A73" s="120">
        <v>3.5</v>
      </c>
      <c r="B73" s="121" t="s">
        <v>330</v>
      </c>
      <c r="C73" s="121" t="s">
        <v>238</v>
      </c>
      <c r="D73" s="142" t="s">
        <v>331</v>
      </c>
      <c r="E73" s="121">
        <f>E22</f>
        <v>2</v>
      </c>
      <c r="F73" s="151">
        <v>161</v>
      </c>
      <c r="G73" s="150">
        <f>E73*F73</f>
        <v>322</v>
      </c>
    </row>
    <row r="74" spans="1:7" ht="21" customHeight="1" x14ac:dyDescent="0.2">
      <c r="A74" s="120">
        <v>3.6</v>
      </c>
      <c r="B74" s="121" t="s">
        <v>332</v>
      </c>
      <c r="C74" s="121" t="s">
        <v>240</v>
      </c>
      <c r="D74" s="142" t="s">
        <v>333</v>
      </c>
      <c r="E74" s="121">
        <f>E23</f>
        <v>65</v>
      </c>
      <c r="F74" s="151">
        <v>14.8</v>
      </c>
      <c r="G74" s="150">
        <f>E74*F74</f>
        <v>962</v>
      </c>
    </row>
    <row r="75" spans="1:7" ht="47.25" customHeight="1" x14ac:dyDescent="0.2">
      <c r="A75" s="120">
        <v>3.7</v>
      </c>
      <c r="B75" s="121" t="s">
        <v>334</v>
      </c>
      <c r="C75" s="121" t="s">
        <v>25</v>
      </c>
      <c r="D75" s="121" t="s">
        <v>335</v>
      </c>
      <c r="E75" s="122">
        <f>G67</f>
        <v>2371.8000000000002</v>
      </c>
      <c r="F75" s="151">
        <v>0.2</v>
      </c>
      <c r="G75" s="152">
        <f>E75*F75</f>
        <v>474.36</v>
      </c>
    </row>
    <row r="76" spans="1:7" ht="15" customHeight="1" x14ac:dyDescent="0.2">
      <c r="A76" s="443" t="s">
        <v>336</v>
      </c>
      <c r="B76" s="431"/>
      <c r="C76" s="431"/>
      <c r="D76" s="431"/>
      <c r="E76" s="431"/>
      <c r="F76" s="432"/>
      <c r="G76" s="153">
        <f>G69+G70+G71+G74+G75</f>
        <v>1880.4</v>
      </c>
    </row>
    <row r="77" spans="1:7" x14ac:dyDescent="0.2">
      <c r="A77" s="120">
        <v>3.8</v>
      </c>
      <c r="B77" s="121" t="s">
        <v>337</v>
      </c>
      <c r="C77" s="121" t="s">
        <v>165</v>
      </c>
      <c r="D77" s="121" t="s">
        <v>338</v>
      </c>
      <c r="E77" s="121">
        <v>1</v>
      </c>
      <c r="F77" s="151">
        <f>G69+G70+G71+G75</f>
        <v>918.4</v>
      </c>
      <c r="G77" s="150">
        <f>F77*0.25</f>
        <v>229.6</v>
      </c>
    </row>
    <row r="78" spans="1:7" x14ac:dyDescent="0.2">
      <c r="A78" s="419" t="s">
        <v>339</v>
      </c>
      <c r="B78" s="421"/>
      <c r="C78" s="421"/>
      <c r="D78" s="421"/>
      <c r="E78" s="421"/>
      <c r="F78" s="444"/>
      <c r="G78" s="154">
        <f>G76+G77</f>
        <v>2110</v>
      </c>
    </row>
    <row r="79" spans="1:7" x14ac:dyDescent="0.2">
      <c r="A79" s="445" t="s">
        <v>340</v>
      </c>
      <c r="B79" s="446"/>
      <c r="C79" s="446"/>
      <c r="D79" s="446"/>
      <c r="E79" s="446"/>
      <c r="F79" s="446"/>
      <c r="G79" s="155">
        <f>(G31+G67+G78)*1.1</f>
        <v>27549.4</v>
      </c>
    </row>
    <row r="80" spans="1:7" x14ac:dyDescent="0.2">
      <c r="A80" s="457" t="s">
        <v>589</v>
      </c>
      <c r="B80" s="458"/>
      <c r="C80" s="458"/>
      <c r="D80" s="458"/>
      <c r="E80" s="458"/>
      <c r="F80" s="459"/>
      <c r="G80" s="449">
        <f>G79*51.69</f>
        <v>1424028.49</v>
      </c>
    </row>
    <row r="81" spans="1:7" ht="6.75" customHeight="1" x14ac:dyDescent="0.2">
      <c r="A81" s="460"/>
      <c r="B81" s="461"/>
      <c r="C81" s="461"/>
      <c r="D81" s="461"/>
      <c r="E81" s="461"/>
      <c r="F81" s="462"/>
      <c r="G81" s="449"/>
    </row>
    <row r="82" spans="1:7" ht="22.5" customHeight="1" x14ac:dyDescent="0.2">
      <c r="A82" s="436" t="s">
        <v>341</v>
      </c>
      <c r="B82" s="437"/>
      <c r="C82" s="437"/>
      <c r="D82" s="437"/>
      <c r="E82" s="437"/>
      <c r="F82" s="437"/>
      <c r="G82" s="438"/>
    </row>
    <row r="83" spans="1:7" ht="14.25" customHeight="1" x14ac:dyDescent="0.2">
      <c r="A83" s="124">
        <v>4.0999999999999996</v>
      </c>
      <c r="B83" s="314" t="s">
        <v>342</v>
      </c>
      <c r="C83" s="156" t="s">
        <v>165</v>
      </c>
      <c r="D83" s="447" t="s">
        <v>343</v>
      </c>
      <c r="E83" s="156">
        <v>1</v>
      </c>
      <c r="F83" s="157"/>
      <c r="G83" s="158"/>
    </row>
    <row r="84" spans="1:7" ht="24.75" customHeight="1" x14ac:dyDescent="0.2">
      <c r="A84" s="124">
        <v>4.2</v>
      </c>
      <c r="B84" s="314" t="s">
        <v>344</v>
      </c>
      <c r="C84" s="124" t="s">
        <v>345</v>
      </c>
      <c r="D84" s="450"/>
      <c r="E84" s="124">
        <v>8</v>
      </c>
      <c r="F84" s="157"/>
      <c r="G84" s="158"/>
    </row>
    <row r="85" spans="1:7" ht="24.75" customHeight="1" x14ac:dyDescent="0.2">
      <c r="A85" s="124">
        <v>4.3</v>
      </c>
      <c r="B85" s="315" t="s">
        <v>346</v>
      </c>
      <c r="C85" s="130" t="s">
        <v>229</v>
      </c>
      <c r="D85" s="450"/>
      <c r="E85" s="304">
        <v>6</v>
      </c>
      <c r="F85" s="157"/>
      <c r="G85" s="158"/>
    </row>
    <row r="86" spans="1:7" ht="29.25" customHeight="1" x14ac:dyDescent="0.2">
      <c r="A86" s="124">
        <v>4.4000000000000004</v>
      </c>
      <c r="B86" s="304" t="s">
        <v>347</v>
      </c>
      <c r="C86" s="133" t="s">
        <v>258</v>
      </c>
      <c r="D86" s="450"/>
      <c r="E86" s="304">
        <v>3</v>
      </c>
      <c r="F86" s="124"/>
      <c r="G86" s="159"/>
    </row>
    <row r="87" spans="1:7" ht="27" customHeight="1" x14ac:dyDescent="0.2">
      <c r="A87" s="124">
        <v>4.5</v>
      </c>
      <c r="B87" s="304" t="s">
        <v>348</v>
      </c>
      <c r="C87" s="121" t="s">
        <v>258</v>
      </c>
      <c r="D87" s="450"/>
      <c r="E87" s="304">
        <v>4</v>
      </c>
      <c r="F87" s="124"/>
      <c r="G87" s="159"/>
    </row>
    <row r="88" spans="1:7" ht="27.75" customHeight="1" x14ac:dyDescent="0.2">
      <c r="A88" s="124">
        <v>4.5999999999999996</v>
      </c>
      <c r="B88" s="304" t="s">
        <v>349</v>
      </c>
      <c r="C88" s="121" t="s">
        <v>258</v>
      </c>
      <c r="D88" s="450"/>
      <c r="E88" s="304">
        <v>4</v>
      </c>
      <c r="F88" s="124"/>
      <c r="G88" s="159"/>
    </row>
    <row r="89" spans="1:7" ht="28.5" customHeight="1" x14ac:dyDescent="0.2">
      <c r="A89" s="124">
        <v>4.7</v>
      </c>
      <c r="B89" s="304" t="s">
        <v>350</v>
      </c>
      <c r="C89" s="121" t="s">
        <v>258</v>
      </c>
      <c r="D89" s="450"/>
      <c r="E89" s="304">
        <v>4</v>
      </c>
      <c r="F89" s="124"/>
      <c r="G89" s="159"/>
    </row>
    <row r="90" spans="1:7" ht="19.5" customHeight="1" x14ac:dyDescent="0.2">
      <c r="A90" s="160">
        <v>4.8</v>
      </c>
      <c r="B90" s="124" t="s">
        <v>351</v>
      </c>
      <c r="C90" s="161" t="s">
        <v>226</v>
      </c>
      <c r="D90" s="450"/>
      <c r="E90" s="124">
        <v>2</v>
      </c>
      <c r="F90" s="162"/>
      <c r="G90" s="159"/>
    </row>
    <row r="91" spans="1:7" ht="23.25" customHeight="1" x14ac:dyDescent="0.2">
      <c r="A91" s="160">
        <v>4.9000000000000004</v>
      </c>
      <c r="B91" s="160" t="s">
        <v>352</v>
      </c>
      <c r="C91" s="163" t="s">
        <v>258</v>
      </c>
      <c r="D91" s="450"/>
      <c r="E91" s="164">
        <v>4</v>
      </c>
      <c r="F91" s="160"/>
      <c r="G91" s="159"/>
    </row>
    <row r="92" spans="1:7" ht="23.25" customHeight="1" x14ac:dyDescent="0.2">
      <c r="A92" s="165">
        <v>4.0999999999999996</v>
      </c>
      <c r="B92" s="164" t="s">
        <v>353</v>
      </c>
      <c r="C92" s="163" t="s">
        <v>258</v>
      </c>
      <c r="D92" s="448"/>
      <c r="E92" s="165">
        <f>E20</f>
        <v>2</v>
      </c>
      <c r="F92" s="166"/>
      <c r="G92" s="159"/>
    </row>
    <row r="93" spans="1:7" ht="18.75" customHeight="1" x14ac:dyDescent="0.2">
      <c r="A93" s="167"/>
      <c r="B93" s="168" t="s">
        <v>354</v>
      </c>
      <c r="C93" s="303"/>
      <c r="D93" s="303"/>
      <c r="E93" s="164"/>
      <c r="F93" s="166"/>
      <c r="G93" s="169">
        <f>G80</f>
        <v>1424028.49</v>
      </c>
    </row>
    <row r="94" spans="1:7" ht="12.75" customHeight="1" x14ac:dyDescent="0.2">
      <c r="A94" s="451" t="s">
        <v>355</v>
      </c>
      <c r="B94" s="452"/>
      <c r="C94" s="170">
        <v>0.2</v>
      </c>
      <c r="D94" s="171"/>
      <c r="E94" s="171"/>
      <c r="F94" s="171"/>
      <c r="G94" s="172">
        <f>G80*1.2</f>
        <v>1708834.19</v>
      </c>
    </row>
    <row r="95" spans="1:7" ht="27" customHeight="1" x14ac:dyDescent="0.2">
      <c r="B95" s="453" t="s">
        <v>356</v>
      </c>
      <c r="C95" s="453"/>
    </row>
    <row r="97" spans="1:5" ht="15" x14ac:dyDescent="0.2">
      <c r="A97" s="454"/>
      <c r="B97" s="454"/>
      <c r="C97" s="174" t="s">
        <v>357</v>
      </c>
      <c r="E97" s="107"/>
    </row>
    <row r="98" spans="1:5" x14ac:dyDescent="0.2">
      <c r="C98" s="455"/>
      <c r="D98" s="455"/>
      <c r="E98" s="456"/>
    </row>
  </sheetData>
  <mergeCells count="35">
    <mergeCell ref="D83:D92"/>
    <mergeCell ref="A94:B94"/>
    <mergeCell ref="B95:C95"/>
    <mergeCell ref="A97:B97"/>
    <mergeCell ref="C98:E98"/>
    <mergeCell ref="A82:G82"/>
    <mergeCell ref="B44:D44"/>
    <mergeCell ref="E44:G44"/>
    <mergeCell ref="B48:D48"/>
    <mergeCell ref="E48:G48"/>
    <mergeCell ref="A67:F67"/>
    <mergeCell ref="A68:G68"/>
    <mergeCell ref="A76:F76"/>
    <mergeCell ref="A78:F78"/>
    <mergeCell ref="A79:F79"/>
    <mergeCell ref="A80:F81"/>
    <mergeCell ref="G80:G81"/>
    <mergeCell ref="A29:F29"/>
    <mergeCell ref="B30:C30"/>
    <mergeCell ref="A31:F31"/>
    <mergeCell ref="A32:G32"/>
    <mergeCell ref="B33:D33"/>
    <mergeCell ref="E33:G33"/>
    <mergeCell ref="A24:F24"/>
    <mergeCell ref="A1:G1"/>
    <mergeCell ref="A2:G2"/>
    <mergeCell ref="A4:B4"/>
    <mergeCell ref="D4:G4"/>
    <mergeCell ref="D5:G5"/>
    <mergeCell ref="D6:G6"/>
    <mergeCell ref="A8:C9"/>
    <mergeCell ref="D8:G9"/>
    <mergeCell ref="D10:G10"/>
    <mergeCell ref="B11:G11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horizontalDpi="1200" r:id="rId1"/>
  <headerFooter>
    <oddFooter>&amp;Rстр.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2"/>
  <sheetViews>
    <sheetView tabSelected="1" workbookViewId="0">
      <selection activeCell="C11" sqref="C11"/>
    </sheetView>
  </sheetViews>
  <sheetFormatPr defaultRowHeight="15" x14ac:dyDescent="0.25"/>
  <cols>
    <col min="2" max="2" width="65.42578125" customWidth="1"/>
    <col min="3" max="3" width="41.7109375" customWidth="1"/>
    <col min="4" max="5" width="30.5703125" customWidth="1"/>
  </cols>
  <sheetData>
    <row r="6" spans="1:5" x14ac:dyDescent="0.25">
      <c r="A6" s="28"/>
      <c r="B6" s="29" t="s">
        <v>41</v>
      </c>
      <c r="C6" s="29" t="s">
        <v>590</v>
      </c>
      <c r="D6" s="42" t="s">
        <v>88</v>
      </c>
    </row>
    <row r="7" spans="1:5" x14ac:dyDescent="0.25">
      <c r="A7" s="31">
        <v>1</v>
      </c>
      <c r="B7" s="31" t="s">
        <v>36</v>
      </c>
      <c r="C7" s="463">
        <f>Геодезия!L34</f>
        <v>1046991.72</v>
      </c>
      <c r="D7" s="62">
        <f>Геодезия!L36</f>
        <v>1256390.06</v>
      </c>
    </row>
    <row r="8" spans="1:5" s="30" customFormat="1" x14ac:dyDescent="0.25">
      <c r="A8" s="31">
        <v>2</v>
      </c>
      <c r="B8" s="31" t="s">
        <v>37</v>
      </c>
      <c r="C8" s="463">
        <f>Геология!I75</f>
        <v>2364990.66</v>
      </c>
      <c r="D8" s="62">
        <f>Геология!I78</f>
        <v>2837988.79</v>
      </c>
    </row>
    <row r="9" spans="1:5" s="30" customFormat="1" x14ac:dyDescent="0.25">
      <c r="A9" s="31">
        <v>3</v>
      </c>
      <c r="B9" s="31" t="s">
        <v>160</v>
      </c>
      <c r="C9" s="463">
        <f>Геофизика!G45</f>
        <v>737283.42</v>
      </c>
      <c r="D9" s="62">
        <f>Геофизика!G45</f>
        <v>737283.42</v>
      </c>
    </row>
    <row r="10" spans="1:5" x14ac:dyDescent="0.25">
      <c r="A10" s="31">
        <v>4</v>
      </c>
      <c r="B10" s="31" t="s">
        <v>38</v>
      </c>
      <c r="C10" s="31">
        <f>Гидромет!J57</f>
        <v>697582.4</v>
      </c>
      <c r="D10" s="62">
        <f>Гидромет!J59</f>
        <v>837098.88</v>
      </c>
    </row>
    <row r="11" spans="1:5" x14ac:dyDescent="0.25">
      <c r="A11" s="31">
        <v>5</v>
      </c>
      <c r="B11" s="31" t="s">
        <v>39</v>
      </c>
      <c r="C11" s="464">
        <f>Экология!G93</f>
        <v>1424028.49</v>
      </c>
      <c r="D11" s="62">
        <f>Экология!G94</f>
        <v>1708834.19</v>
      </c>
    </row>
    <row r="12" spans="1:5" x14ac:dyDescent="0.25">
      <c r="B12" s="27" t="s">
        <v>40</v>
      </c>
      <c r="C12" s="465">
        <f>SUM(C7:C11)</f>
        <v>6270876.6900000004</v>
      </c>
      <c r="D12" s="63">
        <f>SUM(D7:D11)</f>
        <v>7377595.3399999999</v>
      </c>
      <c r="E12" s="32" t="s">
        <v>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Программа ГТМ</vt:lpstr>
      <vt:lpstr>Геодезия</vt:lpstr>
      <vt:lpstr>Геология</vt:lpstr>
      <vt:lpstr>Геофизика</vt:lpstr>
      <vt:lpstr>Гидромет</vt:lpstr>
      <vt:lpstr>Экология</vt:lpstr>
      <vt:lpstr>Сводная</vt:lpstr>
      <vt:lpstr>Экология!Заголовки_для_печати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2020-11-06T08:20:34Z</dcterms:modified>
</cp:coreProperties>
</file>