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ПЗ" sheetId="8" r:id="rId1"/>
    <sheet name="Протокол" sheetId="7" r:id="rId2"/>
    <sheet name="НМЦ" sheetId="6" r:id="rId3"/>
    <sheet name="Проект сметы контракта" sheetId="5" r:id="rId4"/>
    <sheet name="ВОР" sheetId="4" r:id="rId5"/>
    <sheet name="НМЦК" sheetId="3" r:id="rId6"/>
    <sheet name="ССРСС 4 кв. 2022" sheetId="1" r:id="rId7"/>
  </sheets>
  <externalReferences>
    <externalReference r:id="rId8"/>
  </externalReferences>
  <calcPr calcId="162913" fullPrecision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3" l="1"/>
  <c r="F66" i="3" l="1"/>
  <c r="F67" i="3" s="1"/>
  <c r="D66" i="3"/>
  <c r="F61" i="3"/>
  <c r="F64" i="3" s="1"/>
  <c r="C67" i="3" l="1"/>
  <c r="C6" i="6" l="1"/>
  <c r="C7" i="6" l="1"/>
  <c r="C5" i="6" l="1"/>
  <c r="L14" i="3" l="1"/>
  <c r="L13" i="3"/>
  <c r="D49" i="3" l="1"/>
  <c r="I32" i="3"/>
  <c r="I31" i="3"/>
  <c r="I30" i="3"/>
  <c r="D26" i="3"/>
  <c r="G28" i="3"/>
  <c r="H28" i="3" s="1"/>
  <c r="I28" i="3" s="1"/>
  <c r="G27" i="3"/>
  <c r="G26" i="3" s="1"/>
  <c r="F19" i="3"/>
  <c r="E19" i="3"/>
  <c r="G25" i="3"/>
  <c r="H25" i="3"/>
  <c r="I25" i="3" s="1"/>
  <c r="G24" i="3"/>
  <c r="H24" i="3"/>
  <c r="I24" i="3" s="1"/>
  <c r="H23" i="3"/>
  <c r="I23" i="3" s="1"/>
  <c r="G23" i="3"/>
  <c r="D22" i="3"/>
  <c r="H22" i="3" s="1"/>
  <c r="I22" i="3" s="1"/>
  <c r="H21" i="3"/>
  <c r="I21" i="3" s="1"/>
  <c r="G21" i="3"/>
  <c r="H20" i="3"/>
  <c r="G20" i="3"/>
  <c r="H19" i="3" l="1"/>
  <c r="G19" i="3"/>
  <c r="H27" i="3"/>
  <c r="G22" i="3"/>
  <c r="D19" i="3"/>
  <c r="I20" i="3"/>
  <c r="I19" i="3" s="1"/>
  <c r="H26" i="3" l="1"/>
  <c r="I27" i="3"/>
  <c r="I26" i="3" s="1"/>
  <c r="H18" i="3" l="1"/>
  <c r="I18" i="3" s="1"/>
  <c r="G18" i="3"/>
  <c r="H17" i="3"/>
  <c r="I17" i="3" s="1"/>
  <c r="G17" i="3"/>
  <c r="I14" i="3"/>
  <c r="I12" i="3" s="1"/>
  <c r="I33" i="3" l="1"/>
  <c r="I15" i="3" s="1"/>
  <c r="I34" i="3" s="1"/>
  <c r="F80" i="3"/>
  <c r="D80" i="3"/>
  <c r="F78" i="3"/>
  <c r="F82" i="3" s="1"/>
  <c r="D78" i="3"/>
  <c r="F74" i="3"/>
  <c r="F75" i="3" s="1"/>
  <c r="O49" i="3"/>
  <c r="N49" i="3"/>
  <c r="M49" i="3"/>
  <c r="L49" i="3"/>
  <c r="K49" i="3"/>
  <c r="J49" i="3"/>
  <c r="I49" i="3"/>
  <c r="H49" i="3"/>
  <c r="G49" i="3"/>
  <c r="F49" i="3"/>
  <c r="E49" i="3"/>
  <c r="F53" i="3" l="1"/>
  <c r="A54" i="3"/>
  <c r="I35" i="3"/>
  <c r="I36" i="3" s="1"/>
  <c r="F81" i="3"/>
  <c r="F76" i="3"/>
  <c r="C81" i="3"/>
  <c r="C82" i="3"/>
  <c r="J29" i="3" l="1"/>
  <c r="K29" i="3" s="1"/>
  <c r="J20" i="3"/>
  <c r="K20" i="3" s="1"/>
  <c r="J17" i="3"/>
  <c r="K17" i="3" s="1"/>
  <c r="J13" i="3"/>
  <c r="K13" i="3" s="1"/>
  <c r="J31" i="3"/>
  <c r="K31" i="3" s="1"/>
  <c r="J28" i="3"/>
  <c r="K28" i="3" s="1"/>
  <c r="J18" i="3"/>
  <c r="K18" i="3" s="1"/>
  <c r="J27" i="3"/>
  <c r="K27" i="3" s="1"/>
  <c r="K26" i="3" s="1"/>
  <c r="J32" i="3"/>
  <c r="K32" i="3" s="1"/>
  <c r="J21" i="3"/>
  <c r="K21" i="3" s="1"/>
  <c r="J25" i="3"/>
  <c r="K25" i="3" s="1"/>
  <c r="J16" i="3"/>
  <c r="K16" i="3" s="1"/>
  <c r="J14" i="3"/>
  <c r="K14" i="3" s="1"/>
  <c r="M14" i="3" s="1"/>
  <c r="E10" i="5" s="1"/>
  <c r="F10" i="5" s="1"/>
  <c r="C14" i="6" s="1"/>
  <c r="D14" i="6" s="1"/>
  <c r="E14" i="6" s="1"/>
  <c r="J33" i="3"/>
  <c r="K33" i="3" s="1"/>
  <c r="J24" i="3"/>
  <c r="K24" i="3" s="1"/>
  <c r="J30" i="3"/>
  <c r="K30" i="3" s="1"/>
  <c r="J23" i="3"/>
  <c r="K23" i="3" s="1"/>
  <c r="J22" i="3"/>
  <c r="K22" i="3" s="1"/>
  <c r="M38" i="3"/>
  <c r="F83" i="3"/>
  <c r="C83" i="3"/>
  <c r="M13" i="3" l="1"/>
  <c r="K12" i="3"/>
  <c r="K19" i="3"/>
  <c r="K15" i="3" s="1"/>
  <c r="K34" i="3" s="1"/>
  <c r="K35" i="3" s="1"/>
  <c r="K36" i="3" s="1"/>
  <c r="L28" i="3"/>
  <c r="M28" i="3" s="1"/>
  <c r="E24" i="5" s="1"/>
  <c r="F24" i="5" s="1"/>
  <c r="L24" i="3"/>
  <c r="M24" i="3" s="1"/>
  <c r="E20" i="5" s="1"/>
  <c r="F20" i="5" s="1"/>
  <c r="L20" i="3"/>
  <c r="M20" i="3" s="1"/>
  <c r="L30" i="3"/>
  <c r="M30" i="3" s="1"/>
  <c r="E26" i="5" s="1"/>
  <c r="F26" i="5" s="1"/>
  <c r="L27" i="3"/>
  <c r="M27" i="3" s="1"/>
  <c r="L23" i="3"/>
  <c r="M23" i="3" s="1"/>
  <c r="E19" i="5" s="1"/>
  <c r="F19" i="5" s="1"/>
  <c r="L21" i="3"/>
  <c r="M21" i="3" s="1"/>
  <c r="E17" i="5" s="1"/>
  <c r="F17" i="5" s="1"/>
  <c r="L18" i="3"/>
  <c r="M18" i="3" s="1"/>
  <c r="E14" i="5" s="1"/>
  <c r="F14" i="5" s="1"/>
  <c r="L17" i="3"/>
  <c r="M17" i="3" s="1"/>
  <c r="E13" i="5" s="1"/>
  <c r="F13" i="5" s="1"/>
  <c r="L25" i="3"/>
  <c r="M25" i="3" s="1"/>
  <c r="E21" i="5" s="1"/>
  <c r="F21" i="5" s="1"/>
  <c r="L16" i="3"/>
  <c r="M16" i="3" s="1"/>
  <c r="E12" i="5" s="1"/>
  <c r="L33" i="3"/>
  <c r="L22" i="3"/>
  <c r="L32" i="3"/>
  <c r="M32" i="3" s="1"/>
  <c r="E28" i="5" s="1"/>
  <c r="F28" i="5" s="1"/>
  <c r="L31" i="3"/>
  <c r="M31" i="3" s="1"/>
  <c r="E27" i="5" s="1"/>
  <c r="F27" i="5" s="1"/>
  <c r="L29" i="3"/>
  <c r="M29" i="3" s="1"/>
  <c r="E25" i="5" s="1"/>
  <c r="F25" i="5" s="1"/>
  <c r="M39" i="3"/>
  <c r="E29" i="5" l="1"/>
  <c r="F29" i="5" s="1"/>
  <c r="C19" i="6" s="1"/>
  <c r="M12" i="3"/>
  <c r="C15" i="6" s="1"/>
  <c r="D15" i="6" s="1"/>
  <c r="E15" i="6" s="1"/>
  <c r="E9" i="5"/>
  <c r="G18" i="5"/>
  <c r="M22" i="3"/>
  <c r="E18" i="5" s="1"/>
  <c r="F18" i="5" s="1"/>
  <c r="E23" i="5"/>
  <c r="M26" i="3"/>
  <c r="F12" i="5"/>
  <c r="E16" i="5"/>
  <c r="C24" i="6" l="1"/>
  <c r="D24" i="6" s="1"/>
  <c r="E24" i="6" s="1"/>
  <c r="D19" i="6"/>
  <c r="E19" i="6" s="1"/>
  <c r="M19" i="3"/>
  <c r="E8" i="5"/>
  <c r="F8" i="5" s="1"/>
  <c r="C12" i="6" s="1"/>
  <c r="F9" i="5"/>
  <c r="E15" i="5"/>
  <c r="F16" i="5"/>
  <c r="H18" i="5"/>
  <c r="H15" i="5" s="1"/>
  <c r="G15" i="5"/>
  <c r="F23" i="5"/>
  <c r="E22" i="5"/>
  <c r="F22" i="5" s="1"/>
  <c r="M15" i="3"/>
  <c r="D12" i="6" l="1"/>
  <c r="E12" i="6" s="1"/>
  <c r="G29" i="5"/>
  <c r="H29" i="5" s="1"/>
  <c r="G11" i="5"/>
  <c r="G30" i="5" s="1"/>
  <c r="C20" i="6"/>
  <c r="M34" i="3"/>
  <c r="M35" i="3" s="1"/>
  <c r="M36" i="3" s="1"/>
  <c r="H11" i="5"/>
  <c r="F15" i="5"/>
  <c r="E11" i="5"/>
  <c r="D20" i="6" l="1"/>
  <c r="E20" i="6" s="1"/>
  <c r="C25" i="6"/>
  <c r="D25" i="6" s="1"/>
  <c r="E25" i="6" s="1"/>
  <c r="G31" i="5"/>
  <c r="G32" i="5" s="1"/>
  <c r="F11" i="5"/>
  <c r="C16" i="6" s="1"/>
  <c r="E30" i="5"/>
  <c r="C18" i="6"/>
  <c r="H30" i="5"/>
  <c r="H31" i="5" s="1"/>
  <c r="H32" i="5" s="1"/>
  <c r="C23" i="6" l="1"/>
  <c r="D23" i="6" s="1"/>
  <c r="E23" i="6" s="1"/>
  <c r="D18" i="6"/>
  <c r="E18" i="6" s="1"/>
  <c r="E31" i="5"/>
  <c r="F31" i="5" s="1"/>
  <c r="F30" i="5"/>
  <c r="D16" i="6"/>
  <c r="C21" i="6"/>
  <c r="E16" i="6" l="1"/>
  <c r="E21" i="6" s="1"/>
  <c r="D21" i="6"/>
  <c r="E32" i="5"/>
  <c r="F32" i="5" s="1"/>
  <c r="B17" i="8" l="1"/>
  <c r="G6" i="7"/>
  <c r="A7" i="7"/>
</calcChain>
</file>

<file path=xl/sharedStrings.xml><?xml version="1.0" encoding="utf-8"?>
<sst xmlns="http://schemas.openxmlformats.org/spreadsheetml/2006/main" count="522" uniqueCount="291">
  <si>
    <t>Приложение № 6</t>
  </si>
  <si>
    <t>Утверждено приказом № 421 от 4 августа 2020 г. Минстроя РФ</t>
  </si>
  <si>
    <t>Заказчик</t>
  </si>
  <si>
    <t xml:space="preserve">АО  "КАВКАЗ. РФ" </t>
  </si>
  <si>
    <t>(наименование организации)</t>
  </si>
  <si>
    <t>"Утвержден" "___"______________________2023г</t>
  </si>
  <si>
    <t>Сводный сметный расчет сметной стоимостью   690 945,41 тыс. руб.</t>
  </si>
  <si>
    <t>(ссылка на документ об утверждении)</t>
  </si>
  <si>
    <t>СВОДНЫЙ СМЕТНЫЙ РАСЧЕТ СТОИМОСТИ СТРОИТЕЛЬСТВА № ССРСС-1</t>
  </si>
  <si>
    <t>«Всесезонный туристско-рекреационный комплекс «Мамисон», Республика Северная Осетия-Алания. Горнолыжные трассы 1а, 1е»</t>
  </si>
  <si>
    <t>(наименование стройки)</t>
  </si>
  <si>
    <t>Составлен(а) в базисном (текущем) уровне цен  4 кв. 2022 г</t>
  </si>
  <si>
    <t>№ п/п</t>
  </si>
  <si>
    <t>Обоснование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</si>
  <si>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</si>
  <si>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</si>
  <si>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</si>
  <si>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монтажных работ</t>
  </si>
  <si>
    <t>оборудования</t>
  </si>
  <si>
    <t>прочих затрат</t>
  </si>
  <si>
    <t>всего</t>
  </si>
  <si>
    <t>Глава 1. Подготовка территории строительства</t>
  </si>
  <si>
    <t>2021-ВТРКМ. ГТ-ООС1 ВР</t>
  </si>
  <si>
    <t>Стоимость компенсационных затрат на возмещение размера вреда водным
биоресурсам. Стоимость:9205877,48 руб   затрат на проведение восстановительных мероприятий воспроизводство молоди каспийского лосося  - временная компенсация на период строительства (лосось);.</t>
  </si>
  <si>
    <t>9205877.48/1.2</t>
  </si>
  <si>
    <t>01-01-01</t>
  </si>
  <si>
    <t>Рекультивация нарушенных земель</t>
  </si>
  <si>
    <t>Расчёт 1П</t>
  </si>
  <si>
    <t>Геодезическая разбивка горнолыжной трассы 1 а;1 е</t>
  </si>
  <si>
    <t>01-01-02</t>
  </si>
  <si>
    <t>Подготовка площадки под складирование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</si>
  <si>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</si>
  <si>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</si>
  <si>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</si>
  <si>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Горнолыжные трассы 1а, 1е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</si>
  <si>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</si>
  <si>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</si>
  <si>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</si>
  <si>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</si>
  <si>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Приказ от 19.06.2020 № 332/пр прил.1 п.55</t>
  </si>
  <si>
    <t>Временные здания и сооружения - Объекты жилищного, социально-культурного, коммунально-бытового назначения в сельской местности - 3,1%</t>
  </si>
  <si>
    <t>3,1%СДЛ.С</t>
  </si>
  <si>
    <t>3,1%СДЛ.М</t>
  </si>
  <si>
    <t>08-01</t>
  </si>
  <si>
    <t>Временные дороги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</si>
  <si>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</si>
  <si>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</si>
  <si>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</si>
  <si>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Приказ от 25.05.2021 № 325/пр прил.1 п.85</t>
  </si>
  <si>
    <t>Производство работ в зимнее время - Объекты общественного, социально-культурного и коммунально-бытового назначения - 0,5%</t>
  </si>
  <si>
    <t>0,5%Г1.С:Г8.С</t>
  </si>
  <si>
    <t>0,5%Г1.М:Г8.М</t>
  </si>
  <si>
    <t>09-01-01</t>
  </si>
  <si>
    <t>Расходы на перевозку рабочих и пусконаладочного персонала, привлекаемых для выполнения строительства, от места, определенного в проектной документации, до территории строительства и обратно.</t>
  </si>
  <si>
    <t>2021-ВТРКМ.ГТ-ООС ВР</t>
  </si>
  <si>
    <t>Плата за выбросы в атмосферный воздух</t>
  </si>
  <si>
    <t>Плата за размещение отходов</t>
  </si>
  <si>
    <t>Затраты на производственный экологический контроль (мониторинг)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</si>
  <si>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</si>
  <si>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</si>
  <si>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</si>
  <si>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Правительства РФ от 21 июня 2010 г. N 468 "О порядке проведения строительного контроля при осуществлении строительства, реконструкции и капитального ремонта объектов кап. строительства"</t>
  </si>
  <si>
    <t>Содержание службы заказчика-застройщика (технического надзора) строящегося предприятия-1.81 %</t>
  </si>
  <si>
    <t>1,81%(Г1:Г9)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</si>
  <si>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</si>
  <si>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</si>
  <si>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Смета №12-01-01</t>
  </si>
  <si>
    <t>Проектные работы "П"</t>
  </si>
  <si>
    <t>Смета №12-01-02</t>
  </si>
  <si>
    <t>Проектные работы "Р"</t>
  </si>
  <si>
    <t>Договор ФГБУ "ВНИРО" от 27.12.2022
№ 30-РУ/2022</t>
  </si>
  <si>
    <t>Оценка воздействия проектируемого объекта на водные биологические ресурсы и среду их обитания</t>
  </si>
  <si>
    <t>Приказ от 4.08.2020 № 
421/пр приложение 9 
п.173</t>
  </si>
  <si>
    <t>Авторский надзор - 0,2%</t>
  </si>
  <si>
    <t>0,2%Г1:Г9</t>
  </si>
  <si>
    <t>Приказ от 4.08.2020 № 
421/пр приложение 9 
п.174</t>
  </si>
  <si>
    <t>Затраты на проезд лиц, осуществляющих авторский надзор, на объект строительства и обратно. Стоимость: (2621,1+2416,2)*15, где 2621,1 - стоимость проезда на поезде от г. Воронеж до г. Владикавказа и 2416,2 обратно (по конъюнктурному анализу), 15 - количество поездок,2166.47 - стоимость затрат на проезд автомобильным транспортом за весь период (расчет 09-01-01)</t>
  </si>
  <si>
    <t>((2621,1+2416,2)*15/1,2+2166,47)</t>
  </si>
  <si>
    <t>Приказ от 04.08.2020 №421/пр п. 171 (л)</t>
  </si>
  <si>
    <t>Затраты на проведение экспертизы проектной документации и результатов инженерных изысканий. Расчёт 2048477.42*11.88%*6.18</t>
  </si>
  <si>
    <t>2048477,42*0,1188*6,18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</si>
  <si>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</si>
  <si>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</si>
  <si>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Непредвиденные затраты</t>
  </si>
  <si>
    <t>Приказ от 4.08.2020 № 421/пр п.179</t>
  </si>
  <si>
    <t>Непредвиденные затраты для объектов капитального строительства непроизводственного назначения - 3%</t>
  </si>
  <si>
    <t>3%Г1.С:Г12.С</t>
  </si>
  <si>
    <t>3%Г1.М:Г12.М</t>
  </si>
  <si>
    <t>3%Г1.О:Г12.О</t>
  </si>
  <si>
    <t>3%Г1.П:Г12.П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</si>
  <si>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</si>
  <si>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</si>
  <si>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</si>
  <si>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№ 303-ФЗ от 3.08.2018</t>
  </si>
  <si>
    <t>НДС - 20%</t>
  </si>
  <si>
    <t>20%Г1.С:Г14.С</t>
  </si>
  <si>
    <t>20%Г1.М:Г14.М</t>
  </si>
  <si>
    <t>20%Г1.О:Г14.О</t>
  </si>
  <si>
    <t>20%Г1.П:Г14.П</t>
  </si>
  <si>
    <t>Итого "Налоги и обязательные платежи"</t>
  </si>
  <si>
    <t>Итого по сводному расчету</t>
  </si>
  <si>
    <t>в. т.ч. Проектные работы (без НДС) в т.руб.</t>
  </si>
  <si>
    <t xml:space="preserve">Руководитель проектной организации </t>
  </si>
  <si>
    <t>ООО «Бристоль-проект»</t>
  </si>
  <si>
    <t>И.А. Сараченко</t>
  </si>
  <si>
    <t>[подпись (инициалы, фамилия)]</t>
  </si>
  <si>
    <t>Главный инженер проекта</t>
  </si>
  <si>
    <t>К.М. Максименков</t>
  </si>
  <si>
    <t>АО «КАВКАЗ.РФ» Директор Департамента развития инфраструктуры</t>
  </si>
  <si>
    <t>В.В. Лапухин (по доверенности №77 от 14.12.2021)</t>
  </si>
  <si>
    <t>Основания для расчета:</t>
  </si>
  <si>
    <t>№ пп</t>
  </si>
  <si>
    <t>Наименование работ и затрат</t>
  </si>
  <si>
    <t>СМР</t>
  </si>
  <si>
    <t>Оборудование</t>
  </si>
  <si>
    <t>Прочие</t>
  </si>
  <si>
    <t>Всего</t>
  </si>
  <si>
    <t>Всего с учетом ВЗИС-3,1% и возврата ВЗИС 15%, зимнего удорожания - 0,5%.</t>
  </si>
  <si>
    <t xml:space="preserve">Индекс фактической инфляции* </t>
  </si>
  <si>
    <t xml:space="preserve">Стоимость работ в ценах на дату формирования начальной (максимальной) цены контракта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</si>
  <si>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</si>
  <si>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</si>
  <si>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1.1</t>
  </si>
  <si>
    <t>Разработка рабочей документации</t>
  </si>
  <si>
    <t>1.2</t>
  </si>
  <si>
    <t>Строительство</t>
  </si>
  <si>
    <t>02-01-01</t>
  </si>
  <si>
    <t>02-01-02</t>
  </si>
  <si>
    <t>02-01-03</t>
  </si>
  <si>
    <t>02-01-04</t>
  </si>
  <si>
    <t>02-01-05</t>
  </si>
  <si>
    <t>02-01-06</t>
  </si>
  <si>
    <t>Непредвиденные затраты для строительства - 3%</t>
  </si>
  <si>
    <t>НДС-20%</t>
  </si>
  <si>
    <t>2</t>
  </si>
  <si>
    <t>2.1</t>
  </si>
  <si>
    <t>2.2</t>
  </si>
  <si>
    <t>РАСЧЕТ ИНДЕКСОВ ФАКТИЧЕСКОЙ ИНФЛЯЦИИ</t>
  </si>
  <si>
    <t>на конец периода, в % к предыдущему месяцу</t>
  </si>
  <si>
    <t>ОКВЭД2</t>
  </si>
  <si>
    <t/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</si>
  <si>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</si>
  <si>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</si>
  <si>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</si>
  <si>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</si>
  <si>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</si>
  <si>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</si>
  <si>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</si>
  <si>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</si>
  <si>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</si>
  <si>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</si>
  <si>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</si>
  <si>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</si>
  <si>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виде коэффициента</t>
  </si>
  <si>
    <t>Дата формирования НМЦК</t>
  </si>
  <si>
    <t>*Индекс фактической инфляции по данным Росстата ("Строительство ", Российская Федерация) от цен утверждения сметной документации до даты формирования НМЦК  :</t>
  </si>
  <si>
    <t>Прогнозный индекс для РД на период выполнения работ:</t>
  </si>
  <si>
    <t>Начало работ</t>
  </si>
  <si>
    <t>Окончание работ</t>
  </si>
  <si>
    <t>Период от даты определения НМЦК до даты окончания работ, мес.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</si>
  <si>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</si>
  <si>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</si>
  <si>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^(1/12)</t>
  </si>
  <si>
    <t>Индекс прогнозной инфляции</t>
  </si>
  <si>
    <t>Прогнозный индекс для Стройки на период выполнения работ:</t>
  </si>
  <si>
    <t>окончание первого года</t>
  </si>
  <si>
    <t>начало второго года</t>
  </si>
  <si>
    <t>Продолжительность выполнения работ, мес.</t>
  </si>
  <si>
    <t>Доля сметной стоимости, подлежащая выполнению подрядчиком в 2023 году</t>
  </si>
  <si>
    <t>Доля сметной стоимости, подлежащая выполнению подрядчиком в 2024 году</t>
  </si>
  <si>
    <t>Индекс Минэкономразвития РФ на 2024 г. (Письмо Минэкономразвития России от 28.09.2022 № 36804-ПК/Д03и)</t>
  </si>
  <si>
    <t>ежемесячный прогнозный индекс на 2024 год</t>
  </si>
  <si>
    <t>К на 2023 =</t>
  </si>
  <si>
    <t>К на 2024 =</t>
  </si>
  <si>
    <t>Заместитель руководителя управления направления сметного регулирования Управления проектов Департамента развития инфраструктуры</t>
  </si>
  <si>
    <t>Татаринова Е.А.</t>
  </si>
  <si>
    <t>Расчет начальной (максимальной) цены контракта при осуществлении закупки на выполнение подрядных работ по строительству объекта</t>
  </si>
  <si>
    <t>2. Заключение Федерального автономного учреждения "Главное управление государственной экспертизы"от 22.06.2023 № 15-1-1-3-034824-2023</t>
  </si>
  <si>
    <t>3. Утвержденный сводный сметный расчет стоимости строительства  в ценах 4 квартала 2022 г. на сумму  690 945,41 тыс. руб., в том числе:</t>
  </si>
  <si>
    <r>
      <t>Стоимость работ в ценах утверждения сметной документации- 4</t>
    </r>
    <r>
      <rPr>
        <b/>
        <sz val="12"/>
        <color rgb="FFFF0000"/>
        <rFont val="Times New Roman"/>
        <family val="1"/>
        <charset val="204"/>
      </rPr>
      <t xml:space="preserve"> квартала 2022 г.</t>
    </r>
  </si>
  <si>
    <t>Всесезонный туристско-рекреационный комплекс "Мамисон", Республика Северная Осетия-Алания. Горнолыжные трассы 1а, 1е</t>
  </si>
  <si>
    <t>расположенному по адресу: Россия, Республика Северная Осетия-Алания, Район Алагирский, Зарамагское сельское поселение</t>
  </si>
  <si>
    <t>Рабочая документация</t>
  </si>
  <si>
    <t>1</t>
  </si>
  <si>
    <t>Непредвиденные затраты по разработке рабочей документации - 3%</t>
  </si>
  <si>
    <t>Горнолыжные трассы</t>
  </si>
  <si>
    <t>Проект полосы отвода</t>
  </si>
  <si>
    <t>Технология безопасного катания</t>
  </si>
  <si>
    <t>Мостовые переходы</t>
  </si>
  <si>
    <t>Водопропускные сооружения</t>
  </si>
  <si>
    <t>Инженерная защита</t>
  </si>
  <si>
    <t>08-01-01</t>
  </si>
  <si>
    <t>Временная дорога</t>
  </si>
  <si>
    <t>08-01-02</t>
  </si>
  <si>
    <t>Временная дорога разборка</t>
  </si>
  <si>
    <t>Итого:</t>
  </si>
  <si>
    <t>Итого с учетом НДС</t>
  </si>
  <si>
    <t xml:space="preserve">Усредненный индекс- дефлятор  РД </t>
  </si>
  <si>
    <t>Усредненный индекс- дефлятор  Стройка</t>
  </si>
  <si>
    <t>Сводный индекс цен на продукцию (затраты, услуги) инвестиционного назначения 
по Российской Федерации в 2023 году</t>
  </si>
  <si>
    <t xml:space="preserve">РАСЧЕТ ИНДЕКСОВ ПРОГНОЗНОЙ ИНФЛЯЦИИ </t>
  </si>
  <si>
    <t>2.4</t>
  </si>
  <si>
    <t>2.7</t>
  </si>
  <si>
    <t>2.6</t>
  </si>
  <si>
    <t>2.5</t>
  </si>
  <si>
    <t>2.3</t>
  </si>
  <si>
    <t>2.4.1</t>
  </si>
  <si>
    <t>2.4.2</t>
  </si>
  <si>
    <t>2.4.3</t>
  </si>
  <si>
    <t>2.4.4</t>
  </si>
  <si>
    <t>2.4.5</t>
  </si>
  <si>
    <t>2.4.6</t>
  </si>
  <si>
    <t>2.5.1</t>
  </si>
  <si>
    <t>2.5.2</t>
  </si>
  <si>
    <t>2.8</t>
  </si>
  <si>
    <t>2.9</t>
  </si>
  <si>
    <t>2.10</t>
  </si>
  <si>
    <t>Ведомость объемов конструктивных решений (элементов) и комплексов (видов) работ</t>
  </si>
  <si>
    <t>объект: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</si>
  <si>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</si>
  <si>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</si>
  <si>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</si>
  <si>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</si>
  <si>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комплекс</t>
  </si>
  <si>
    <t>Строительство (строительные работы, оборудование, прочие затраты)</t>
  </si>
  <si>
    <t>ПРОЕКТ СМЕТЫ КОНТРАКТА</t>
  </si>
  <si>
    <t>Цена, руб.</t>
  </si>
  <si>
    <t>в том числе Оборудование</t>
  </si>
  <si>
    <t>На единицу измерения</t>
  </si>
  <si>
    <t>Е.А. Татаринова</t>
  </si>
  <si>
    <t xml:space="preserve">Заместитель руководителя управления направления сметного регулирования Управления проектов Департамента развития инфраструктуры  </t>
  </si>
  <si>
    <t>РАСЧЕТ НАЧАЛЬНОЙ МАКСИМАЛЬНОЙ ЦЕНЫ ДОГОВОРА</t>
  </si>
  <si>
    <t>по объекту:</t>
  </si>
  <si>
    <t xml:space="preserve">Продолжительность работ </t>
  </si>
  <si>
    <t>мес.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</si>
  <si>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</si>
  <si>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</si>
  <si>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</si>
  <si>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</si>
  <si>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</si>
  <si>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</si>
  <si>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</si>
  <si>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</si>
  <si>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 xml:space="preserve">Разработка рабочей документации </t>
  </si>
  <si>
    <t>В том числе:</t>
  </si>
  <si>
    <t>Инфляционная составляющая за период выполнения работ</t>
  </si>
  <si>
    <t>ВСЕГО:</t>
  </si>
  <si>
    <t xml:space="preserve">Оборудование </t>
  </si>
  <si>
    <t xml:space="preserve">непредвиденные расходы </t>
  </si>
  <si>
    <t xml:space="preserve">инфляционная составляющая за период выполнения работ 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</si>
  <si>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</si>
  <si>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</si>
  <si>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</si>
  <si>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</si>
  <si>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</si>
  <si>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разработка рабочей документации;</t>
  </si>
  <si>
    <t>- затраты на оплату труда рабочих-строителей;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</si>
  <si>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</si>
  <si>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</si>
  <si>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</si>
  <si>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</si>
  <si>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стоимость оборудования поставки подрядчика;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</si>
  <si>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</si>
  <si>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</si>
  <si>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удорожание работ в зимнее время;</t>
  </si>
  <si>
    <t>- резерв средств на непредвиденные работы и затраты;</t>
  </si>
  <si>
    <t>- 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</si>
  <si>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 прогнозные индексы инфляции для пересчета из уровня цен на дату определения НМЦК в уровень цен соответствующего периода реализации проекта;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</si>
  <si>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</si>
  <si>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</si>
  <si>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</si>
  <si>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>- геодезическая разбивка горнолыжной трасс;</t>
  </si>
  <si>
    <t>- расходы на перевозку рабочих и пусконаладочного персонала, привлекаемых для выполнения строительства, от места, определенного в проектной документации, до территории строительства и обратно;</t>
  </si>
  <si>
    <t>- плата за выбросы в атмосферный воздух;</t>
  </si>
  <si>
    <t>- плата за размещение отходов;</t>
  </si>
  <si>
    <t>- затраты на производственный экологический контроль (мониторинг);</t>
  </si>
  <si>
    <t>ПОЯСНИТЕЛЬНАЯ ЗАПИСКА</t>
  </si>
  <si>
    <t>К РАСЧЕТУ НАЧАЛЬНОЙ МАКСИМАЛЬНОЙ ЦЕНЫ ДОГОВОРА</t>
  </si>
  <si>
    <t>Начальная максимальная цена договора ( далее - НМЦД) определена в соответствии с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строительства».</t>
  </si>
  <si>
    <t>Расчет стоимости строительства выполнен проектно-сметным методом.</t>
  </si>
  <si>
    <t>Цена работ учитывает все затраты Подрядчика, включая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</si>
  <si>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Описание метода расчета стоимости проектных работ и строительства</t>
  </si>
  <si>
    <t xml:space="preserve">Индекс-дефлятор определен в соответствии с данными Минэкономразвития РФ.  </t>
  </si>
  <si>
    <t>Индекс-дефлятор на продолжительность строительства выполнен в соответствии с графиком выполнения работ.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</si>
  <si>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</si>
  <si>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</si>
  <si>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</si>
  <si>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Для расчета цены строительства  использован сводный сметный расчет в ценах 4 квартала 2022 г., локальные сметные расчеты в ценах 4 кв. 2022 г., получившие положительное заключение ФАУ "Главгосэкспертиза России" от 22.06.2023 № 15-1-1-3-034824-2023.</t>
  </si>
  <si>
    <t>В расчете учтены временные здания и сооружения в размере 3,1%, зимнее удорожание  в размере 0,5 %, непредвиденные затраты в размере 3 % согласно сводному сметному расчету и возврат от разборки временных зданий и сооружений в размере 15%.</t>
  </si>
  <si>
    <t>1. Приказ об утверждении проектной документации, включая сводный сметный расчет стоимости строительства от 05.07.2023 № Пр-23-171</t>
  </si>
  <si>
    <r>
      <t xml:space="preserve">**поскольку индексы Росстата </t>
    </r>
    <r>
      <rPr>
        <sz val="11"/>
        <color rgb="FFFF0000"/>
        <rFont val="Calibri"/>
        <family val="2"/>
        <charset val="204"/>
      </rPr>
      <t>за июнь 2023</t>
    </r>
    <r>
      <rPr>
        <sz val="11"/>
        <color rgb="FF000000"/>
        <rFont val="Calibri"/>
        <family val="2"/>
        <charset val="204"/>
      </rPr>
      <t xml:space="preserve"> на момент выполнения расчета отсутствуют, для расчета принимается индекс фактической инфляции в размере, установленном для последнего опубликованного месяца.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</si>
</sst>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"/>
    <numFmt numFmtId="167" formatCode="#,##0.0000"/>
    <numFmt numFmtId="168" formatCode="#,##0.####"/>
    <numFmt numFmtId="169" formatCode="0.0000000"/>
    <numFmt numFmtId="170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10"/>
      <name val="Arial Cyr"/>
      <charset val="204"/>
    </font>
    <font>
      <sz val="11"/>
      <color rgb="FFFF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2" fillId="0" borderId="0">
      <alignment horizontal="left" vertical="top"/>
    </xf>
    <xf numFmtId="0" fontId="14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7" fillId="0" borderId="0"/>
    <xf numFmtId="0" fontId="14" fillId="0" borderId="0"/>
    <xf numFmtId="0" fontId="28" fillId="0" borderId="0"/>
    <xf numFmtId="0" fontId="39" fillId="0" borderId="0"/>
  </cellStyleXfs>
  <cellXfs count="312">
    <xf numFmtId="0" fontId="0" fillId="0" borderId="0" xfId="0"/>
    <xf numFmtId="0" fontId="3" fillId="0" borderId="0" xfId="2"/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wrapText="1"/>
    </xf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left"/>
    </xf>
    <xf numFmtId="0" fontId="9" fillId="0" borderId="9" xfId="2" applyNumberFormat="1" applyFont="1" applyFill="1" applyBorder="1" applyAlignment="1" applyProtection="1">
      <alignment horizontal="center" vertical="top" wrapText="1"/>
    </xf>
    <xf numFmtId="1" fontId="9" fillId="0" borderId="9" xfId="2" applyNumberFormat="1" applyFont="1" applyFill="1" applyBorder="1" applyAlignment="1" applyProtection="1">
      <alignment horizontal="center" vertical="top" wrapText="1"/>
    </xf>
    <xf numFmtId="0" fontId="9" fillId="0" borderId="9" xfId="2" applyNumberFormat="1" applyFont="1" applyFill="1" applyBorder="1" applyAlignment="1" applyProtection="1">
      <alignment horizontal="left" vertical="top" wrapText="1"/>
    </xf>
    <xf numFmtId="0" fontId="9" fillId="0" borderId="9" xfId="2" applyNumberFormat="1" applyFont="1" applyFill="1" applyBorder="1" applyAlignment="1" applyProtection="1">
      <alignment horizontal="right" vertical="top" wrapText="1"/>
    </xf>
    <xf numFmtId="4" fontId="9" fillId="0" borderId="9" xfId="2" applyNumberFormat="1" applyFont="1" applyFill="1" applyBorder="1" applyAlignment="1" applyProtection="1">
      <alignment horizontal="right" vertical="top" wrapText="1"/>
    </xf>
    <xf numFmtId="164" fontId="9" fillId="0" borderId="9" xfId="2" applyNumberFormat="1" applyFont="1" applyFill="1" applyBorder="1" applyAlignment="1" applyProtection="1">
      <alignment horizontal="right" vertical="top" wrapText="1"/>
    </xf>
    <xf numFmtId="2" fontId="9" fillId="0" borderId="9" xfId="2" applyNumberFormat="1" applyFont="1" applyFill="1" applyBorder="1" applyAlignment="1" applyProtection="1">
      <alignment horizontal="right" vertical="top" wrapText="1"/>
    </xf>
    <xf numFmtId="0" fontId="11" fillId="0" borderId="9" xfId="2" applyNumberFormat="1" applyFont="1" applyFill="1" applyBorder="1" applyAlignment="1" applyProtection="1"/>
    <xf numFmtId="4" fontId="11" fillId="0" borderId="9" xfId="2" applyNumberFormat="1" applyFont="1" applyFill="1" applyBorder="1" applyAlignment="1" applyProtection="1">
      <alignment horizontal="right" vertical="top" wrapText="1"/>
    </xf>
    <xf numFmtId="0" fontId="11" fillId="0" borderId="9" xfId="2" applyNumberFormat="1" applyFont="1" applyFill="1" applyBorder="1" applyAlignment="1" applyProtection="1">
      <alignment horizontal="right" vertical="top" wrapText="1"/>
    </xf>
    <xf numFmtId="0" fontId="11" fillId="0" borderId="9" xfId="2" applyNumberFormat="1" applyFont="1" applyFill="1" applyBorder="1" applyAlignment="1" applyProtection="1">
      <alignment horizontal="right" vertical="top"/>
    </xf>
    <xf numFmtId="4" fontId="11" fillId="0" borderId="9" xfId="2" applyNumberFormat="1" applyFont="1" applyFill="1" applyBorder="1" applyAlignment="1" applyProtection="1">
      <alignment horizontal="right" vertical="top"/>
    </xf>
    <xf numFmtId="2" fontId="11" fillId="0" borderId="9" xfId="2" applyNumberFormat="1" applyFont="1" applyFill="1" applyBorder="1" applyAlignment="1" applyProtection="1">
      <alignment horizontal="right" vertical="top" wrapText="1"/>
    </xf>
    <xf numFmtId="164" fontId="11" fillId="0" borderId="9" xfId="2" applyNumberFormat="1" applyFont="1" applyFill="1" applyBorder="1" applyAlignment="1" applyProtection="1">
      <alignment horizontal="right" vertical="top"/>
    </xf>
    <xf numFmtId="165" fontId="11" fillId="0" borderId="9" xfId="2" applyNumberFormat="1" applyFont="1" applyFill="1" applyBorder="1" applyAlignment="1" applyProtection="1">
      <alignment horizontal="right" vertical="top" wrapText="1"/>
    </xf>
    <xf numFmtId="165" fontId="9" fillId="0" borderId="9" xfId="2" applyNumberFormat="1" applyFont="1" applyFill="1" applyBorder="1" applyAlignment="1" applyProtection="1">
      <alignment horizontal="right" vertical="top" wrapText="1"/>
    </xf>
    <xf numFmtId="2" fontId="11" fillId="0" borderId="9" xfId="2" applyNumberFormat="1" applyFont="1" applyFill="1" applyBorder="1" applyAlignment="1" applyProtection="1">
      <alignment horizontal="right" vertical="top"/>
    </xf>
    <xf numFmtId="164" fontId="11" fillId="0" borderId="9" xfId="2" applyNumberFormat="1" applyFont="1" applyFill="1" applyBorder="1" applyAlignment="1" applyProtection="1">
      <alignment horizontal="right" vertical="top" wrapText="1"/>
    </xf>
    <xf numFmtId="0" fontId="9" fillId="0" borderId="9" xfId="2" applyNumberFormat="1" applyFont="1" applyFill="1" applyBorder="1" applyAlignment="1" applyProtection="1"/>
    <xf numFmtId="4" fontId="9" fillId="0" borderId="9" xfId="2" applyNumberFormat="1" applyFont="1" applyFill="1" applyBorder="1" applyAlignment="1" applyProtection="1"/>
    <xf numFmtId="0" fontId="13" fillId="0" borderId="1" xfId="3" applyFont="1" applyBorder="1" applyAlignment="1">
      <alignment horizontal="left"/>
    </xf>
    <xf numFmtId="0" fontId="15" fillId="0" borderId="0" xfId="4" applyFont="1"/>
    <xf numFmtId="0" fontId="15" fillId="0" borderId="1" xfId="4" applyFont="1" applyBorder="1"/>
    <xf numFmtId="0" fontId="13" fillId="0" borderId="1" xfId="3" applyFont="1" applyBorder="1" applyAlignment="1">
      <alignment horizontal="left" vertical="top"/>
    </xf>
    <xf numFmtId="0" fontId="16" fillId="0" borderId="2" xfId="4" applyFont="1" applyBorder="1" applyAlignment="1"/>
    <xf numFmtId="0" fontId="13" fillId="0" borderId="0" xfId="3" applyFont="1">
      <alignment horizontal="left" vertical="top"/>
    </xf>
    <xf numFmtId="0" fontId="13" fillId="0" borderId="1" xfId="3" applyFont="1" applyBorder="1">
      <alignment horizontal="left" vertical="top"/>
    </xf>
    <xf numFmtId="0" fontId="13" fillId="0" borderId="0" xfId="3" applyFont="1" applyAlignment="1">
      <alignment horizontal="left"/>
    </xf>
    <xf numFmtId="0" fontId="13" fillId="0" borderId="1" xfId="3" applyFont="1" applyBorder="1" applyAlignment="1">
      <alignment horizontal="left" wrapText="1"/>
    </xf>
    <xf numFmtId="0" fontId="17" fillId="0" borderId="0" xfId="5" applyFont="1" applyAlignment="1">
      <alignment horizontal="center" vertical="center" wrapText="1"/>
    </xf>
    <xf numFmtId="0" fontId="18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5" applyFont="1" applyAlignment="1">
      <alignment vertical="center" wrapText="1"/>
    </xf>
    <xf numFmtId="0" fontId="18" fillId="0" borderId="0" xfId="5" applyFont="1"/>
    <xf numFmtId="0" fontId="19" fillId="0" borderId="0" xfId="5" applyFont="1"/>
    <xf numFmtId="0" fontId="20" fillId="2" borderId="0" xfId="5" applyFont="1" applyFill="1" applyAlignment="1">
      <alignment vertical="center"/>
    </xf>
    <xf numFmtId="0" fontId="22" fillId="3" borderId="9" xfId="6" applyFont="1" applyFill="1" applyBorder="1" applyAlignment="1">
      <alignment horizontal="center" vertical="center" wrapText="1"/>
    </xf>
    <xf numFmtId="0" fontId="17" fillId="3" borderId="9" xfId="5" applyFont="1" applyFill="1" applyBorder="1" applyAlignment="1">
      <alignment horizontal="center" vertical="center"/>
    </xf>
    <xf numFmtId="0" fontId="17" fillId="4" borderId="9" xfId="5" applyFont="1" applyFill="1" applyBorder="1" applyAlignment="1">
      <alignment horizontal="center" vertical="center"/>
    </xf>
    <xf numFmtId="0" fontId="17" fillId="4" borderId="9" xfId="5" applyFont="1" applyFill="1" applyBorder="1" applyAlignment="1">
      <alignment horizontal="center" vertical="center" wrapText="1"/>
    </xf>
    <xf numFmtId="0" fontId="23" fillId="4" borderId="9" xfId="5" applyFont="1" applyFill="1" applyBorder="1" applyAlignment="1">
      <alignment horizontal="center" vertical="center" wrapText="1"/>
    </xf>
    <xf numFmtId="0" fontId="17" fillId="3" borderId="9" xfId="5" applyFont="1" applyFill="1" applyBorder="1" applyAlignment="1">
      <alignment horizontal="center" vertical="center" wrapText="1"/>
    </xf>
    <xf numFmtId="0" fontId="22" fillId="4" borderId="9" xfId="6" applyFont="1" applyFill="1" applyBorder="1" applyAlignment="1">
      <alignment horizontal="center" vertical="center" wrapText="1"/>
    </xf>
    <xf numFmtId="0" fontId="17" fillId="3" borderId="9" xfId="6" applyFont="1" applyFill="1" applyBorder="1" applyAlignment="1">
      <alignment horizontal="center" vertical="center"/>
    </xf>
    <xf numFmtId="49" fontId="22" fillId="5" borderId="9" xfId="6" applyNumberFormat="1" applyFont="1" applyFill="1" applyBorder="1" applyAlignment="1">
      <alignment horizontal="center" vertical="center" wrapText="1"/>
    </xf>
    <xf numFmtId="0" fontId="22" fillId="5" borderId="9" xfId="6" applyFont="1" applyFill="1" applyBorder="1" applyAlignment="1">
      <alignment horizontal="center" vertical="center" wrapText="1"/>
    </xf>
    <xf numFmtId="4" fontId="17" fillId="5" borderId="9" xfId="6" applyNumberFormat="1" applyFont="1" applyFill="1" applyBorder="1" applyAlignment="1">
      <alignment horizontal="center" vertical="center"/>
    </xf>
    <xf numFmtId="49" fontId="19" fillId="2" borderId="9" xfId="6" applyNumberFormat="1" applyFont="1" applyFill="1" applyBorder="1" applyAlignment="1">
      <alignment horizontal="center" vertical="center" wrapText="1"/>
    </xf>
    <xf numFmtId="0" fontId="22" fillId="2" borderId="9" xfId="6" applyFont="1" applyFill="1" applyBorder="1" applyAlignment="1">
      <alignment horizontal="center" vertical="center" wrapText="1"/>
    </xf>
    <xf numFmtId="4" fontId="18" fillId="2" borderId="9" xfId="6" applyNumberFormat="1" applyFont="1" applyFill="1" applyBorder="1" applyAlignment="1">
      <alignment horizontal="center" vertical="center"/>
    </xf>
    <xf numFmtId="166" fontId="18" fillId="2" borderId="9" xfId="6" applyNumberFormat="1" applyFont="1" applyFill="1" applyBorder="1" applyAlignment="1">
      <alignment horizontal="center" vertical="center"/>
    </xf>
    <xf numFmtId="0" fontId="17" fillId="5" borderId="9" xfId="6" applyFont="1" applyFill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" fontId="18" fillId="0" borderId="9" xfId="0" applyNumberFormat="1" applyFont="1" applyBorder="1" applyAlignment="1">
      <alignment horizontal="center" vertical="center"/>
    </xf>
    <xf numFmtId="167" fontId="18" fillId="0" borderId="9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" fontId="24" fillId="0" borderId="9" xfId="0" applyNumberFormat="1" applyFont="1" applyBorder="1" applyAlignment="1">
      <alignment horizontal="center" vertical="center"/>
    </xf>
    <xf numFmtId="166" fontId="24" fillId="2" borderId="9" xfId="6" applyNumberFormat="1" applyFont="1" applyFill="1" applyBorder="1" applyAlignment="1">
      <alignment horizontal="center" vertical="center"/>
    </xf>
    <xf numFmtId="167" fontId="24" fillId="0" borderId="9" xfId="0" applyNumberFormat="1" applyFont="1" applyBorder="1" applyAlignment="1">
      <alignment horizontal="center" vertical="center"/>
    </xf>
    <xf numFmtId="4" fontId="18" fillId="3" borderId="9" xfId="0" applyNumberFormat="1" applyFont="1" applyFill="1" applyBorder="1" applyAlignment="1">
      <alignment horizontal="center" vertical="center"/>
    </xf>
    <xf numFmtId="4" fontId="17" fillId="3" borderId="9" xfId="0" applyNumberFormat="1" applyFont="1" applyFill="1" applyBorder="1" applyAlignment="1">
      <alignment horizontal="center" vertical="center"/>
    </xf>
    <xf numFmtId="0" fontId="18" fillId="0" borderId="0" xfId="0" applyFont="1"/>
    <xf numFmtId="2" fontId="18" fillId="0" borderId="0" xfId="0" applyNumberFormat="1" applyFont="1"/>
    <xf numFmtId="166" fontId="18" fillId="0" borderId="0" xfId="0" applyNumberFormat="1" applyFont="1"/>
    <xf numFmtId="0" fontId="17" fillId="0" borderId="0" xfId="0" applyFont="1" applyAlignment="1">
      <alignment horizontal="center"/>
    </xf>
    <xf numFmtId="0" fontId="29" fillId="6" borderId="9" xfId="10" applyFont="1" applyFill="1" applyBorder="1" applyAlignment="1">
      <alignment horizontal="center" vertical="top" wrapText="1"/>
    </xf>
    <xf numFmtId="168" fontId="28" fillId="0" borderId="9" xfId="10" applyNumberFormat="1" applyBorder="1" applyAlignment="1">
      <alignment horizontal="center" vertical="top"/>
    </xf>
    <xf numFmtId="3" fontId="28" fillId="0" borderId="9" xfId="10" applyNumberFormat="1" applyBorder="1" applyAlignment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4" fontId="0" fillId="7" borderId="9" xfId="0" applyNumberFormat="1" applyFill="1" applyBorder="1" applyAlignment="1">
      <alignment horizontal="right"/>
    </xf>
    <xf numFmtId="4" fontId="30" fillId="0" borderId="0" xfId="11" applyNumberFormat="1" applyFont="1" applyFill="1" applyBorder="1" applyAlignment="1" applyProtection="1">
      <alignment horizontal="right" vertical="top"/>
    </xf>
    <xf numFmtId="14" fontId="0" fillId="0" borderId="0" xfId="0" applyNumberFormat="1" applyFill="1" applyBorder="1" applyAlignment="1">
      <alignment horizontal="center"/>
    </xf>
    <xf numFmtId="4" fontId="30" fillId="0" borderId="0" xfId="11" applyNumberFormat="1" applyFont="1" applyFill="1" applyBorder="1" applyAlignment="1" applyProtection="1">
      <alignment horizontal="right" vertical="center"/>
    </xf>
    <xf numFmtId="167" fontId="30" fillId="0" borderId="0" xfId="1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1" fillId="0" borderId="0" xfId="11" applyNumberFormat="1" applyFont="1" applyFill="1" applyBorder="1" applyAlignment="1" applyProtection="1"/>
    <xf numFmtId="0" fontId="30" fillId="0" borderId="0" xfId="11" applyNumberFormat="1" applyFont="1" applyFill="1" applyBorder="1" applyAlignment="1" applyProtection="1">
      <alignment horizontal="right" vertical="top" wrapText="1"/>
    </xf>
    <xf numFmtId="0" fontId="30" fillId="0" borderId="0" xfId="11" applyNumberFormat="1" applyFont="1" applyFill="1" applyBorder="1" applyAlignment="1" applyProtection="1">
      <alignment horizontal="right" vertical="top"/>
    </xf>
    <xf numFmtId="14" fontId="0" fillId="7" borderId="9" xfId="0" applyNumberFormat="1" applyFill="1" applyBorder="1"/>
    <xf numFmtId="165" fontId="0" fillId="0" borderId="9" xfId="0" applyNumberFormat="1" applyBorder="1"/>
    <xf numFmtId="10" fontId="0" fillId="0" borderId="9" xfId="0" applyNumberFormat="1" applyBorder="1"/>
    <xf numFmtId="10" fontId="18" fillId="9" borderId="4" xfId="0" applyNumberFormat="1" applyFont="1" applyFill="1" applyBorder="1" applyAlignment="1">
      <alignment vertical="center"/>
    </xf>
    <xf numFmtId="0" fontId="18" fillId="9" borderId="6" xfId="0" applyFont="1" applyFill="1" applyBorder="1" applyAlignment="1">
      <alignment vertical="center"/>
    </xf>
    <xf numFmtId="169" fontId="0" fillId="0" borderId="9" xfId="0" applyNumberFormat="1" applyBorder="1"/>
    <xf numFmtId="166" fontId="31" fillId="10" borderId="9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 applyAlignment="1"/>
    <xf numFmtId="0" fontId="30" fillId="0" borderId="0" xfId="11" applyNumberFormat="1" applyFont="1" applyFill="1" applyBorder="1" applyAlignment="1" applyProtection="1">
      <alignment horizontal="right"/>
    </xf>
    <xf numFmtId="2" fontId="0" fillId="0" borderId="9" xfId="0" applyNumberFormat="1" applyBorder="1"/>
    <xf numFmtId="170" fontId="0" fillId="0" borderId="9" xfId="1" applyNumberFormat="1" applyFont="1" applyBorder="1"/>
    <xf numFmtId="0" fontId="18" fillId="9" borderId="9" xfId="0" applyFont="1" applyFill="1" applyBorder="1" applyAlignment="1">
      <alignment vertical="center"/>
    </xf>
    <xf numFmtId="169" fontId="0" fillId="0" borderId="9" xfId="0" applyNumberFormat="1" applyFill="1" applyBorder="1"/>
    <xf numFmtId="169" fontId="0" fillId="0" borderId="0" xfId="0" applyNumberFormat="1"/>
    <xf numFmtId="0" fontId="18" fillId="0" borderId="0" xfId="0" applyFont="1" applyAlignment="1">
      <alignment vertical="top" wrapText="1"/>
    </xf>
    <xf numFmtId="0" fontId="19" fillId="0" borderId="0" xfId="12" applyFont="1" applyAlignment="1">
      <alignment horizontal="center" vertical="center"/>
    </xf>
    <xf numFmtId="49" fontId="21" fillId="2" borderId="9" xfId="0" applyNumberFormat="1" applyFont="1" applyFill="1" applyBorder="1" applyAlignment="1" applyProtection="1">
      <alignment horizontal="center" vertical="center" wrapText="1"/>
    </xf>
    <xf numFmtId="49" fontId="21" fillId="0" borderId="9" xfId="0" applyNumberFormat="1" applyFont="1" applyFill="1" applyBorder="1" applyAlignment="1" applyProtection="1">
      <alignment horizontal="center" vertical="top" wrapText="1"/>
    </xf>
    <xf numFmtId="49" fontId="18" fillId="3" borderId="9" xfId="0" applyNumberFormat="1" applyFont="1" applyFill="1" applyBorder="1" applyAlignment="1">
      <alignment horizontal="center" vertical="center"/>
    </xf>
    <xf numFmtId="0" fontId="21" fillId="0" borderId="9" xfId="2" applyNumberFormat="1" applyFont="1" applyFill="1" applyBorder="1" applyAlignment="1" applyProtection="1">
      <alignment horizontal="center" vertical="center" wrapText="1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49" fontId="21" fillId="3" borderId="9" xfId="0" applyNumberFormat="1" applyFont="1" applyFill="1" applyBorder="1" applyAlignment="1" applyProtection="1">
      <alignment horizontal="center" vertical="center" wrapText="1"/>
    </xf>
    <xf numFmtId="49" fontId="25" fillId="3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4" fontId="24" fillId="2" borderId="9" xfId="6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13" applyFont="1" applyAlignment="1">
      <alignment horizontal="center" vertical="top"/>
    </xf>
    <xf numFmtId="49" fontId="18" fillId="0" borderId="0" xfId="13" applyNumberFormat="1" applyFont="1" applyAlignment="1">
      <alignment horizontal="left" vertical="top"/>
    </xf>
    <xf numFmtId="0" fontId="18" fillId="0" borderId="0" xfId="13" applyFont="1" applyAlignment="1">
      <alignment horizontal="left" vertical="top"/>
    </xf>
    <xf numFmtId="0" fontId="18" fillId="0" borderId="0" xfId="13" applyFont="1"/>
    <xf numFmtId="0" fontId="18" fillId="0" borderId="9" xfId="13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8" fillId="11" borderId="3" xfId="14" applyFont="1" applyFill="1" applyBorder="1" applyAlignment="1">
      <alignment horizontal="center" vertical="center"/>
    </xf>
    <xf numFmtId="0" fontId="18" fillId="11" borderId="9" xfId="13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2" fillId="11" borderId="9" xfId="13" applyFont="1" applyFill="1" applyBorder="1" applyAlignment="1">
      <alignment horizontal="center" vertical="center" wrapText="1"/>
    </xf>
    <xf numFmtId="0" fontId="12" fillId="11" borderId="9" xfId="13" applyFont="1" applyFill="1" applyBorder="1" applyAlignment="1">
      <alignment horizontal="center" vertical="center"/>
    </xf>
    <xf numFmtId="0" fontId="18" fillId="11" borderId="9" xfId="13" applyFont="1" applyFill="1" applyBorder="1" applyAlignment="1">
      <alignment horizontal="center"/>
    </xf>
    <xf numFmtId="0" fontId="12" fillId="2" borderId="0" xfId="13" applyFont="1" applyFill="1" applyAlignment="1">
      <alignment horizontal="center" vertical="top"/>
    </xf>
    <xf numFmtId="0" fontId="12" fillId="2" borderId="0" xfId="13" applyFont="1" applyFill="1" applyAlignment="1">
      <alignment horizontal="left" vertical="top"/>
    </xf>
    <xf numFmtId="0" fontId="12" fillId="2" borderId="0" xfId="13" applyFont="1" applyFill="1"/>
    <xf numFmtId="0" fontId="18" fillId="2" borderId="0" xfId="13" applyFont="1" applyFill="1" applyAlignment="1">
      <alignment horizontal="left" vertical="top"/>
    </xf>
    <xf numFmtId="0" fontId="18" fillId="2" borderId="0" xfId="13" applyFont="1" applyFill="1" applyAlignment="1">
      <alignment horizontal="center" vertical="top"/>
    </xf>
    <xf numFmtId="0" fontId="18" fillId="2" borderId="0" xfId="13" applyFont="1" applyFill="1"/>
    <xf numFmtId="0" fontId="18" fillId="11" borderId="9" xfId="14" applyFont="1" applyFill="1" applyBorder="1" applyAlignment="1">
      <alignment horizontal="center" vertical="center"/>
    </xf>
    <xf numFmtId="49" fontId="18" fillId="11" borderId="9" xfId="0" applyNumberFormat="1" applyFont="1" applyFill="1" applyBorder="1" applyAlignment="1">
      <alignment horizontal="center" vertical="center"/>
    </xf>
    <xf numFmtId="49" fontId="25" fillId="11" borderId="9" xfId="0" applyNumberFormat="1" applyFont="1" applyFill="1" applyBorder="1" applyAlignment="1" applyProtection="1">
      <alignment horizontal="center" vertical="center" wrapText="1"/>
    </xf>
    <xf numFmtId="0" fontId="0" fillId="11" borderId="9" xfId="0" applyFill="1" applyBorder="1"/>
    <xf numFmtId="4" fontId="34" fillId="5" borderId="9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36" fillId="0" borderId="9" xfId="0" applyNumberFormat="1" applyFont="1" applyBorder="1" applyAlignment="1">
      <alignment horizontal="center" vertical="center"/>
    </xf>
    <xf numFmtId="4" fontId="34" fillId="11" borderId="9" xfId="0" applyNumberFormat="1" applyFont="1" applyFill="1" applyBorder="1" applyAlignment="1">
      <alignment horizontal="center" vertical="center"/>
    </xf>
    <xf numFmtId="0" fontId="14" fillId="0" borderId="0" xfId="16"/>
    <xf numFmtId="0" fontId="19" fillId="0" borderId="0" xfId="0" applyFont="1" applyBorder="1" applyAlignment="1">
      <alignment horizontal="right"/>
    </xf>
    <xf numFmtId="0" fontId="22" fillId="0" borderId="0" xfId="17" applyFont="1" applyAlignment="1">
      <alignment horizontal="center" vertical="center" wrapText="1"/>
    </xf>
    <xf numFmtId="0" fontId="22" fillId="0" borderId="0" xfId="17" applyFont="1" applyAlignment="1">
      <alignment vertical="center"/>
    </xf>
    <xf numFmtId="165" fontId="23" fillId="0" borderId="0" xfId="17" applyNumberFormat="1" applyFont="1" applyAlignment="1">
      <alignment vertical="center"/>
    </xf>
    <xf numFmtId="0" fontId="23" fillId="0" borderId="0" xfId="17" applyFont="1" applyAlignment="1">
      <alignment vertical="center"/>
    </xf>
    <xf numFmtId="0" fontId="18" fillId="0" borderId="0" xfId="17" applyFont="1"/>
    <xf numFmtId="14" fontId="23" fillId="0" borderId="0" xfId="17" applyNumberFormat="1" applyFont="1" applyFill="1" applyAlignment="1">
      <alignment vertical="center"/>
    </xf>
    <xf numFmtId="0" fontId="19" fillId="0" borderId="0" xfId="17" applyFont="1"/>
    <xf numFmtId="0" fontId="19" fillId="3" borderId="9" xfId="17" applyFont="1" applyFill="1" applyBorder="1" applyAlignment="1">
      <alignment horizontal="center" vertical="center" wrapText="1"/>
    </xf>
    <xf numFmtId="0" fontId="18" fillId="3" borderId="9" xfId="17" applyFont="1" applyFill="1" applyBorder="1" applyAlignment="1">
      <alignment horizontal="center"/>
    </xf>
    <xf numFmtId="0" fontId="18" fillId="2" borderId="0" xfId="13" applyFont="1" applyFill="1" applyAlignment="1">
      <alignment horizontal="left" vertical="center"/>
    </xf>
    <xf numFmtId="49" fontId="19" fillId="2" borderId="9" xfId="18" applyNumberFormat="1" applyFont="1" applyFill="1" applyBorder="1" applyAlignment="1">
      <alignment horizontal="center" vertical="center" wrapText="1"/>
    </xf>
    <xf numFmtId="0" fontId="38" fillId="0" borderId="9" xfId="17" applyFont="1" applyFill="1" applyBorder="1" applyAlignment="1">
      <alignment vertical="center" wrapText="1"/>
    </xf>
    <xf numFmtId="4" fontId="24" fillId="2" borderId="9" xfId="17" applyNumberFormat="1" applyFont="1" applyFill="1" applyBorder="1" applyAlignment="1">
      <alignment horizontal="center" vertical="center" wrapText="1"/>
    </xf>
    <xf numFmtId="4" fontId="24" fillId="2" borderId="9" xfId="17" applyNumberFormat="1" applyFont="1" applyFill="1" applyBorder="1" applyAlignment="1">
      <alignment horizontal="center" vertical="center"/>
    </xf>
    <xf numFmtId="0" fontId="24" fillId="2" borderId="9" xfId="17" applyFont="1" applyFill="1" applyBorder="1" applyAlignment="1">
      <alignment horizontal="left" vertical="center" wrapText="1"/>
    </xf>
    <xf numFmtId="49" fontId="24" fillId="2" borderId="9" xfId="17" applyNumberFormat="1" applyFont="1" applyFill="1" applyBorder="1" applyAlignment="1">
      <alignment horizontal="center" vertical="center" wrapText="1"/>
    </xf>
    <xf numFmtId="0" fontId="22" fillId="3" borderId="9" xfId="17" applyFont="1" applyFill="1" applyBorder="1" applyAlignment="1">
      <alignment vertical="center" wrapText="1"/>
    </xf>
    <xf numFmtId="4" fontId="22" fillId="3" borderId="9" xfId="17" applyNumberFormat="1" applyFont="1" applyFill="1" applyBorder="1" applyAlignment="1">
      <alignment horizontal="center" vertical="center" wrapText="1"/>
    </xf>
    <xf numFmtId="3" fontId="38" fillId="0" borderId="9" xfId="17" applyNumberFormat="1" applyFont="1" applyFill="1" applyBorder="1" applyAlignment="1">
      <alignment horizontal="center" vertical="center" wrapText="1"/>
    </xf>
    <xf numFmtId="4" fontId="38" fillId="0" borderId="9" xfId="17" applyNumberFormat="1" applyFont="1" applyFill="1" applyBorder="1" applyAlignment="1">
      <alignment horizontal="center" vertical="center" wrapText="1"/>
    </xf>
    <xf numFmtId="0" fontId="24" fillId="0" borderId="9" xfId="17" applyFont="1" applyBorder="1" applyAlignment="1">
      <alignment horizontal="right" vertical="top"/>
    </xf>
    <xf numFmtId="4" fontId="24" fillId="0" borderId="9" xfId="17" applyNumberFormat="1" applyFont="1" applyBorder="1" applyAlignment="1">
      <alignment horizontal="center" vertical="center"/>
    </xf>
    <xf numFmtId="0" fontId="24" fillId="0" borderId="9" xfId="17" applyFont="1" applyBorder="1"/>
    <xf numFmtId="0" fontId="24" fillId="0" borderId="9" xfId="17" applyFont="1" applyBorder="1" applyAlignment="1">
      <alignment vertical="center" wrapText="1"/>
    </xf>
    <xf numFmtId="49" fontId="22" fillId="5" borderId="9" xfId="18" applyNumberFormat="1" applyFont="1" applyFill="1" applyBorder="1" applyAlignment="1">
      <alignment horizontal="center" vertical="center" wrapText="1"/>
    </xf>
    <xf numFmtId="0" fontId="22" fillId="5" borderId="9" xfId="18" applyFont="1" applyFill="1" applyBorder="1" applyAlignment="1">
      <alignment horizontal="left" vertical="center" wrapText="1"/>
    </xf>
    <xf numFmtId="4" fontId="22" fillId="5" borderId="9" xfId="17" applyNumberFormat="1" applyFont="1" applyFill="1" applyBorder="1" applyAlignment="1">
      <alignment horizontal="center" vertical="center" wrapText="1"/>
    </xf>
    <xf numFmtId="4" fontId="17" fillId="5" borderId="9" xfId="17" applyNumberFormat="1" applyFont="1" applyFill="1" applyBorder="1" applyAlignment="1">
      <alignment horizontal="center" vertical="center"/>
    </xf>
    <xf numFmtId="49" fontId="22" fillId="5" borderId="9" xfId="17" applyNumberFormat="1" applyFont="1" applyFill="1" applyBorder="1" applyAlignment="1">
      <alignment horizontal="center" vertical="center" wrapText="1"/>
    </xf>
    <xf numFmtId="0" fontId="22" fillId="5" borderId="9" xfId="17" applyFont="1" applyFill="1" applyBorder="1" applyAlignment="1">
      <alignment horizontal="left" vertical="center" wrapText="1"/>
    </xf>
    <xf numFmtId="0" fontId="17" fillId="0" borderId="0" xfId="19" applyFont="1" applyAlignment="1"/>
    <xf numFmtId="0" fontId="18" fillId="0" borderId="0" xfId="19" applyFont="1"/>
    <xf numFmtId="0" fontId="19" fillId="0" borderId="0" xfId="12" applyFont="1"/>
    <xf numFmtId="0" fontId="18" fillId="0" borderId="0" xfId="19" applyFont="1" applyAlignment="1">
      <alignment vertical="center"/>
    </xf>
    <xf numFmtId="4" fontId="17" fillId="0" borderId="0" xfId="19" applyNumberFormat="1" applyFont="1" applyAlignment="1">
      <alignment vertical="center" wrapText="1"/>
    </xf>
    <xf numFmtId="0" fontId="17" fillId="0" borderId="0" xfId="19" applyFont="1"/>
    <xf numFmtId="0" fontId="23" fillId="0" borderId="0" xfId="19" applyFont="1"/>
    <xf numFmtId="0" fontId="23" fillId="0" borderId="0" xfId="19" applyFont="1" applyFill="1" applyAlignment="1">
      <alignment vertical="center" wrapText="1"/>
    </xf>
    <xf numFmtId="49" fontId="18" fillId="0" borderId="0" xfId="19" applyNumberFormat="1" applyFont="1"/>
    <xf numFmtId="0" fontId="19" fillId="0" borderId="0" xfId="12" quotePrefix="1" applyFont="1" applyFill="1" applyBorder="1"/>
    <xf numFmtId="49" fontId="18" fillId="0" borderId="0" xfId="20" applyNumberFormat="1" applyFont="1"/>
    <xf numFmtId="0" fontId="18" fillId="0" borderId="0" xfId="20" applyFont="1"/>
    <xf numFmtId="49" fontId="18" fillId="0" borderId="0" xfId="20" quotePrefix="1" applyNumberFormat="1" applyFont="1"/>
    <xf numFmtId="49" fontId="18" fillId="0" borderId="0" xfId="20" quotePrefix="1" applyNumberFormat="1" applyFont="1" applyAlignment="1">
      <alignment horizontal="left"/>
    </xf>
    <xf numFmtId="49" fontId="18" fillId="0" borderId="0" xfId="20" quotePrefix="1" applyNumberFormat="1" applyFont="1" applyAlignment="1">
      <alignment horizontal="left" wrapText="1"/>
    </xf>
    <xf numFmtId="49" fontId="18" fillId="0" borderId="0" xfId="20" applyNumberFormat="1" applyFont="1" applyAlignment="1">
      <alignment wrapText="1"/>
    </xf>
    <xf numFmtId="0" fontId="20" fillId="0" borderId="0" xfId="20" applyFont="1"/>
    <xf numFmtId="49" fontId="20" fillId="0" borderId="0" xfId="20" applyNumberFormat="1" applyFont="1"/>
    <xf numFmtId="49" fontId="20" fillId="0" borderId="0" xfId="19" applyNumberFormat="1" applyFont="1"/>
    <xf numFmtId="0" fontId="19" fillId="0" borderId="0" xfId="12" applyFont="1" applyFill="1" applyBorder="1"/>
    <xf numFmtId="0" fontId="40" fillId="0" borderId="0" xfId="19" applyFont="1" applyBorder="1" applyAlignment="1">
      <alignment horizontal="center"/>
    </xf>
    <xf numFmtId="0" fontId="41" fillId="0" borderId="0" xfId="19" applyFont="1" applyBorder="1" applyAlignment="1"/>
    <xf numFmtId="0" fontId="18" fillId="0" borderId="0" xfId="17" applyFont="1" applyBorder="1" applyAlignment="1">
      <alignment vertical="center" wrapText="1"/>
    </xf>
    <xf numFmtId="0" fontId="17" fillId="0" borderId="0" xfId="17" applyFont="1" applyBorder="1"/>
    <xf numFmtId="4" fontId="17" fillId="0" borderId="0" xfId="17" applyNumberFormat="1" applyFont="1" applyBorder="1" applyAlignment="1">
      <alignment horizontal="right"/>
    </xf>
    <xf numFmtId="2" fontId="0" fillId="0" borderId="0" xfId="0" applyNumberFormat="1"/>
    <xf numFmtId="0" fontId="18" fillId="2" borderId="0" xfId="5" applyFont="1" applyFill="1" applyAlignment="1">
      <alignment vertical="center"/>
    </xf>
    <xf numFmtId="0" fontId="18" fillId="0" borderId="0" xfId="19" applyFont="1" applyBorder="1"/>
    <xf numFmtId="0" fontId="19" fillId="0" borderId="0" xfId="12" applyFont="1" applyBorder="1"/>
    <xf numFmtId="0" fontId="19" fillId="0" borderId="0" xfId="0" applyFont="1" applyBorder="1" applyAlignment="1">
      <alignment wrapText="1"/>
    </xf>
    <xf numFmtId="4" fontId="18" fillId="2" borderId="9" xfId="0" applyNumberFormat="1" applyFont="1" applyFill="1" applyBorder="1" applyAlignment="1">
      <alignment horizontal="center" vertical="center"/>
    </xf>
    <xf numFmtId="14" fontId="0" fillId="2" borderId="0" xfId="0" applyNumberFormat="1" applyFill="1" applyBorder="1"/>
    <xf numFmtId="0" fontId="0" fillId="2" borderId="0" xfId="0" applyFill="1" applyBorder="1"/>
    <xf numFmtId="0" fontId="18" fillId="0" borderId="0" xfId="17" applyFont="1" applyBorder="1" applyAlignment="1">
      <alignment horizontal="left" vertical="center" wrapText="1"/>
    </xf>
    <xf numFmtId="0" fontId="18" fillId="0" borderId="0" xfId="17" applyFont="1" applyBorder="1" applyAlignment="1">
      <alignment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17" applyFont="1" applyBorder="1" applyAlignment="1">
      <alignment horizontal="left" vertical="top" wrapText="1"/>
    </xf>
    <xf numFmtId="0" fontId="17" fillId="0" borderId="0" xfId="17" applyFont="1" applyBorder="1" applyAlignment="1">
      <alignment horizontal="center" vertical="center" wrapText="1"/>
    </xf>
    <xf numFmtId="0" fontId="18" fillId="0" borderId="0" xfId="17" applyFont="1" applyFill="1" applyBorder="1" applyAlignment="1">
      <alignment horizontal="left" vertical="center" wrapText="1"/>
    </xf>
    <xf numFmtId="49" fontId="18" fillId="0" borderId="0" xfId="17" applyNumberFormat="1" applyFont="1" applyFill="1" applyBorder="1" applyAlignment="1">
      <alignment horizontal="left" vertical="center" wrapText="1"/>
    </xf>
    <xf numFmtId="0" fontId="18" fillId="0" borderId="0" xfId="17" applyFont="1" applyFill="1" applyBorder="1" applyAlignment="1">
      <alignment horizontal="left" vertical="top" wrapText="1"/>
    </xf>
    <xf numFmtId="0" fontId="17" fillId="0" borderId="0" xfId="17" applyFont="1" applyBorder="1" applyAlignment="1">
      <alignment horizontal="center"/>
    </xf>
    <xf numFmtId="0" fontId="18" fillId="0" borderId="0" xfId="17" quotePrefix="1" applyFont="1" applyBorder="1" applyAlignment="1">
      <alignment horizontal="center" vertical="center" wrapText="1"/>
    </xf>
    <xf numFmtId="0" fontId="18" fillId="0" borderId="0" xfId="17" applyFont="1" applyBorder="1" applyAlignment="1">
      <alignment horizontal="center" vertical="center" wrapText="1"/>
    </xf>
    <xf numFmtId="0" fontId="17" fillId="0" borderId="0" xfId="17" applyFont="1" applyAlignment="1">
      <alignment horizontal="center" vertical="center" wrapText="1"/>
    </xf>
    <xf numFmtId="49" fontId="18" fillId="0" borderId="0" xfId="20" quotePrefix="1" applyNumberFormat="1" applyFont="1" applyAlignment="1">
      <alignment horizontal="left" wrapText="1"/>
    </xf>
    <xf numFmtId="49" fontId="18" fillId="0" borderId="0" xfId="20" applyNumberFormat="1" applyFont="1" applyAlignment="1">
      <alignment horizontal="left" wrapText="1"/>
    </xf>
    <xf numFmtId="0" fontId="41" fillId="0" borderId="0" xfId="19" applyFont="1" applyBorder="1" applyAlignment="1">
      <alignment horizontal="center"/>
    </xf>
    <xf numFmtId="0" fontId="17" fillId="0" borderId="0" xfId="19" applyFont="1" applyAlignment="1">
      <alignment horizontal="center"/>
    </xf>
    <xf numFmtId="0" fontId="17" fillId="0" borderId="0" xfId="19" applyFont="1" applyAlignment="1">
      <alignment horizontal="center" vertical="center" wrapText="1"/>
    </xf>
    <xf numFmtId="0" fontId="17" fillId="0" borderId="0" xfId="19" applyFont="1" applyAlignment="1">
      <alignment horizontal="left" vertical="center" wrapText="1"/>
    </xf>
    <xf numFmtId="0" fontId="42" fillId="0" borderId="0" xfId="19" applyFont="1" applyFill="1" applyAlignment="1">
      <alignment horizontal="left" vertical="center" wrapText="1"/>
    </xf>
    <xf numFmtId="0" fontId="22" fillId="0" borderId="0" xfId="17" applyFont="1" applyAlignment="1">
      <alignment horizontal="center" vertical="center"/>
    </xf>
    <xf numFmtId="0" fontId="22" fillId="0" borderId="0" xfId="17" applyFont="1" applyAlignment="1">
      <alignment horizontal="center" vertical="center" wrapText="1"/>
    </xf>
    <xf numFmtId="0" fontId="19" fillId="3" borderId="9" xfId="17" applyFont="1" applyFill="1" applyBorder="1" applyAlignment="1">
      <alignment horizontal="center" vertical="center" wrapText="1"/>
    </xf>
    <xf numFmtId="0" fontId="19" fillId="3" borderId="3" xfId="17" applyFont="1" applyFill="1" applyBorder="1" applyAlignment="1">
      <alignment horizontal="center" vertical="center" wrapText="1"/>
    </xf>
    <xf numFmtId="0" fontId="19" fillId="3" borderId="7" xfId="17" applyFont="1" applyFill="1" applyBorder="1" applyAlignment="1">
      <alignment horizontal="center" vertical="center" wrapText="1"/>
    </xf>
    <xf numFmtId="0" fontId="17" fillId="2" borderId="0" xfId="13" applyFont="1" applyFill="1" applyAlignment="1">
      <alignment horizontal="center" wrapText="1"/>
    </xf>
    <xf numFmtId="0" fontId="17" fillId="2" borderId="0" xfId="13" applyNumberFormat="1" applyFont="1" applyFill="1" applyAlignment="1">
      <alignment horizontal="center" vertical="center" wrapText="1"/>
    </xf>
    <xf numFmtId="0" fontId="35" fillId="11" borderId="9" xfId="15" applyNumberFormat="1" applyFont="1" applyFill="1" applyBorder="1" applyAlignment="1" applyProtection="1">
      <alignment horizontal="center" vertical="center" wrapText="1"/>
    </xf>
    <xf numFmtId="0" fontId="12" fillId="11" borderId="9" xfId="13" applyFont="1" applyFill="1" applyBorder="1" applyAlignment="1">
      <alignment horizontal="center" vertical="center" wrapText="1"/>
    </xf>
    <xf numFmtId="0" fontId="12" fillId="11" borderId="9" xfId="13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top" wrapText="1"/>
    </xf>
    <xf numFmtId="0" fontId="18" fillId="11" borderId="3" xfId="13" applyFont="1" applyFill="1" applyBorder="1" applyAlignment="1">
      <alignment horizontal="center" vertical="center" wrapText="1"/>
    </xf>
    <xf numFmtId="0" fontId="18" fillId="11" borderId="7" xfId="13" applyFont="1" applyFill="1" applyBorder="1" applyAlignment="1">
      <alignment horizontal="center" vertical="center" wrapText="1"/>
    </xf>
    <xf numFmtId="0" fontId="18" fillId="11" borderId="8" xfId="13" applyFont="1" applyFill="1" applyBorder="1" applyAlignment="1">
      <alignment horizontal="center" vertical="center" wrapText="1"/>
    </xf>
    <xf numFmtId="0" fontId="21" fillId="11" borderId="3" xfId="9" applyNumberFormat="1" applyFont="1" applyFill="1" applyBorder="1" applyAlignment="1" applyProtection="1">
      <alignment horizontal="center" vertical="center" wrapText="1"/>
    </xf>
    <xf numFmtId="0" fontId="21" fillId="11" borderId="7" xfId="9" applyNumberFormat="1" applyFont="1" applyFill="1" applyBorder="1" applyAlignment="1" applyProtection="1">
      <alignment horizontal="center" vertical="center" wrapText="1"/>
    </xf>
    <xf numFmtId="0" fontId="21" fillId="11" borderId="8" xfId="9" applyNumberFormat="1" applyFont="1" applyFill="1" applyBorder="1" applyAlignment="1" applyProtection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17" fillId="0" borderId="0" xfId="5" applyFont="1" applyAlignment="1">
      <alignment horizontal="center" vertical="center" wrapText="1"/>
    </xf>
    <xf numFmtId="0" fontId="17" fillId="0" borderId="0" xfId="5" applyFont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18" fillId="2" borderId="0" xfId="5" applyFont="1" applyFill="1" applyAlignment="1">
      <alignment horizontal="left" vertical="center"/>
    </xf>
    <xf numFmtId="0" fontId="18" fillId="0" borderId="0" xfId="5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6" fillId="0" borderId="0" xfId="8" applyFont="1" applyAlignment="1">
      <alignment horizontal="center" vertical="center" wrapText="1"/>
    </xf>
    <xf numFmtId="0" fontId="0" fillId="0" borderId="0" xfId="0" applyAlignment="1"/>
    <xf numFmtId="0" fontId="27" fillId="2" borderId="1" xfId="9" applyFont="1" applyFill="1" applyBorder="1" applyAlignment="1">
      <alignment horizontal="right"/>
    </xf>
    <xf numFmtId="0" fontId="27" fillId="2" borderId="0" xfId="9" applyFont="1" applyFill="1" applyBorder="1" applyAlignment="1">
      <alignment horizontal="right"/>
    </xf>
    <xf numFmtId="0" fontId="0" fillId="0" borderId="0" xfId="0" applyBorder="1" applyAlignment="1"/>
    <xf numFmtId="0" fontId="19" fillId="2" borderId="9" xfId="9" applyFont="1" applyFill="1" applyBorder="1" applyAlignment="1">
      <alignment horizontal="center" vertical="center"/>
    </xf>
    <xf numFmtId="0" fontId="29" fillId="6" borderId="9" xfId="1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left" vertical="center" wrapText="1"/>
    </xf>
    <xf numFmtId="166" fontId="31" fillId="8" borderId="9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3" fillId="0" borderId="0" xfId="11" applyNumberFormat="1" applyFont="1" applyFill="1" applyBorder="1" applyAlignment="1" applyProtection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left" wrapText="1"/>
    </xf>
    <xf numFmtId="0" fontId="18" fillId="9" borderId="4" xfId="0" applyFont="1" applyFill="1" applyBorder="1" applyAlignment="1">
      <alignment horizontal="left" vertical="center" wrapText="1"/>
    </xf>
    <xf numFmtId="0" fontId="18" fillId="9" borderId="6" xfId="0" applyFont="1" applyFill="1" applyBorder="1" applyAlignment="1">
      <alignment horizontal="left" vertical="center" wrapText="1"/>
    </xf>
    <xf numFmtId="0" fontId="18" fillId="7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left" vertical="top"/>
    </xf>
    <xf numFmtId="0" fontId="18" fillId="9" borderId="1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center" wrapText="1"/>
    </xf>
    <xf numFmtId="0" fontId="5" fillId="0" borderId="1" xfId="2" applyNumberFormat="1" applyFont="1" applyFill="1" applyBorder="1" applyAlignment="1" applyProtection="1">
      <alignment horizontal="center" wrapText="1"/>
    </xf>
    <xf numFmtId="0" fontId="6" fillId="0" borderId="2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center"/>
    </xf>
    <xf numFmtId="0" fontId="10" fillId="0" borderId="4" xfId="2" applyNumberFormat="1" applyFont="1" applyFill="1" applyBorder="1" applyAlignment="1" applyProtection="1">
      <alignment horizontal="left" vertical="center" wrapText="1"/>
    </xf>
    <xf numFmtId="0" fontId="10" fillId="0" borderId="5" xfId="2" applyNumberFormat="1" applyFont="1" applyFill="1" applyBorder="1" applyAlignment="1" applyProtection="1">
      <alignment horizontal="left" vertical="center" wrapText="1"/>
    </xf>
    <xf numFmtId="0" fontId="10" fillId="0" borderId="6" xfId="2" applyNumberFormat="1" applyFont="1" applyFill="1" applyBorder="1" applyAlignment="1" applyProtection="1">
      <alignment horizontal="left" vertical="center" wrapText="1"/>
    </xf>
    <xf numFmtId="0" fontId="6" fillId="0" borderId="2" xfId="2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 applyProtection="1">
      <alignment horizontal="left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7" xfId="2" applyNumberFormat="1" applyFont="1" applyFill="1" applyBorder="1" applyAlignment="1" applyProtection="1">
      <alignment horizontal="center" vertical="center" wrapTex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right" vertical="top" wrapText="1"/>
    </xf>
    <xf numFmtId="0" fontId="11" fillId="0" borderId="6" xfId="2" applyNumberFormat="1" applyFont="1" applyFill="1" applyBorder="1" applyAlignment="1" applyProtection="1">
      <alignment horizontal="right" vertical="top" wrapText="1"/>
    </xf>
    <xf numFmtId="0" fontId="5" fillId="0" borderId="4" xfId="2" applyNumberFormat="1" applyFont="1" applyFill="1" applyBorder="1" applyAlignment="1" applyProtection="1">
      <alignment horizontal="right" vertical="top" wrapText="1"/>
    </xf>
    <xf numFmtId="0" fontId="5" fillId="0" borderId="6" xfId="2" applyNumberFormat="1" applyFont="1" applyFill="1" applyBorder="1" applyAlignment="1" applyProtection="1">
      <alignment horizontal="right" vertical="top" wrapText="1"/>
    </xf>
    <xf numFmtId="0" fontId="13" fillId="0" borderId="0" xfId="3" applyFont="1" applyAlignment="1">
      <alignment horizontal="left" vertical="top" wrapText="1"/>
    </xf>
    <xf numFmtId="0" fontId="13" fillId="0" borderId="1" xfId="3" applyFont="1" applyBorder="1" applyAlignment="1">
      <alignment horizontal="left" vertical="top" wrapText="1"/>
    </xf>
  </cellXfs>
  <cellStyles count="21">
    <cellStyle name="Обычный" xfId="0" builtinId="0"/>
    <cellStyle name="Обычный 10" xfId="13"/>
    <cellStyle name="Обычный 14" xfId="2"/>
    <cellStyle name="Обычный 2" xfId="4"/>
    <cellStyle name="Обычный 2 2" xfId="16"/>
    <cellStyle name="Обычный 2 3" xfId="10"/>
    <cellStyle name="Обычный 3 2 3" xfId="12"/>
    <cellStyle name="Обычный 3 3" xfId="11"/>
    <cellStyle name="Обычный 3 3 2" xfId="5"/>
    <cellStyle name="Обычный 3 3 4" xfId="19"/>
    <cellStyle name="Обычный 3 5" xfId="7"/>
    <cellStyle name="Обычный 4" xfId="6"/>
    <cellStyle name="Обычный 4 3" xfId="18"/>
    <cellStyle name="Обычный 4 3 2" xfId="17"/>
    <cellStyle name="Обычный 5" xfId="9"/>
    <cellStyle name="Обычный 5 3" xfId="15"/>
    <cellStyle name="Обычный 5 4" xfId="20"/>
    <cellStyle name="Обычный 7" xfId="8"/>
    <cellStyle name="Процентный" xfId="1" builtinId="5"/>
    <cellStyle name="СводРасч" xfId="14"/>
    <cellStyle name="Хвост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a\AppData\Roaming\Microsoft\AddIn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7" workbookViewId="0">
      <selection activeCell="K9" sqref="K9"/>
    </sheetView>
  </sheetViews>
  <sheetFormatPr defaultRowHeight="15.75" x14ac:dyDescent="0.25"/>
  <cols>
    <col min="1" max="1" width="22" style="156" customWidth="1"/>
    <col min="2" max="2" width="52.42578125" style="156" customWidth="1"/>
    <col min="3" max="3" width="32.5703125" style="156" customWidth="1"/>
    <col min="4" max="16384" width="9.140625" style="156"/>
  </cols>
  <sheetData>
    <row r="1" spans="1:3" x14ac:dyDescent="0.25">
      <c r="A1" s="223" t="s">
        <v>276</v>
      </c>
      <c r="B1" s="223"/>
      <c r="C1" s="223"/>
    </row>
    <row r="2" spans="1:3" x14ac:dyDescent="0.25">
      <c r="A2" s="223" t="s">
        <v>277</v>
      </c>
      <c r="B2" s="223"/>
      <c r="C2" s="223"/>
    </row>
    <row r="3" spans="1:3" x14ac:dyDescent="0.25">
      <c r="A3" s="224" t="s">
        <v>232</v>
      </c>
      <c r="B3" s="225"/>
      <c r="C3" s="225"/>
    </row>
    <row r="4" spans="1:3" ht="42.75" customHeight="1" x14ac:dyDescent="0.25">
      <c r="A4" s="226" t="s">
        <v>180</v>
      </c>
      <c r="B4" s="226"/>
      <c r="C4" s="226"/>
    </row>
    <row r="5" spans="1:3" ht="140.25" customHeight="1" x14ac:dyDescent="0.25">
      <c r="A5" s="215" t="s">
        <v>278</v>
      </c>
      <c r="B5" s="215"/>
      <c r="C5" s="215"/>
    </row>
    <row r="6" spans="1:3" ht="28.5" customHeight="1" x14ac:dyDescent="0.25">
      <c r="A6" s="222" t="s">
        <v>279</v>
      </c>
      <c r="B6" s="222"/>
      <c r="C6" s="222"/>
    </row>
    <row r="7" spans="1:3" ht="73.5" customHeight="1" x14ac:dyDescent="0.25">
      <c r="A7" s="218" t="s">
        <v>280</v>
      </c>
      <c r="B7" s="218"/>
      <c r="C7" s="218"/>
    </row>
    <row r="8" spans="1:3" x14ac:dyDescent="0.25">
      <c r="A8" s="219" t="s">
        <v>281</v>
      </c>
      <c r="B8" s="219"/>
      <c r="C8" s="219"/>
    </row>
    <row r="9" spans="1:3" ht="66.75" customHeight="1" x14ac:dyDescent="0.25">
      <c r="A9" s="220" t="s">
        <v>287</v>
      </c>
      <c r="B9" s="220"/>
      <c r="C9" s="220"/>
    </row>
    <row r="10" spans="1:3" ht="36.75" customHeight="1" x14ac:dyDescent="0.25">
      <c r="A10" s="216" t="s">
        <v>282</v>
      </c>
      <c r="B10" s="216"/>
      <c r="C10" s="216"/>
    </row>
    <row r="11" spans="1:3" ht="60" customHeight="1" x14ac:dyDescent="0.25">
      <c r="A11" s="221" t="s">
        <v>288</v>
      </c>
      <c r="B11" s="221"/>
      <c r="C11" s="221"/>
    </row>
    <row r="12" spans="1:3" ht="41.25" customHeight="1" x14ac:dyDescent="0.25">
      <c r="A12" s="215" t="s">
        <v>283</v>
      </c>
      <c r="B12" s="215"/>
      <c r="C12" s="215"/>
    </row>
    <row r="13" spans="1:3" x14ac:dyDescent="0.25">
      <c r="A13" s="215" t="s">
        <v>284</v>
      </c>
      <c r="B13" s="215"/>
      <c r="C13" s="215"/>
    </row>
    <row r="14" spans="1:3" x14ac:dyDescent="0.25">
      <c r="A14" s="204"/>
      <c r="B14" s="204"/>
      <c r="C14" s="204"/>
    </row>
    <row r="15" spans="1:3" x14ac:dyDescent="0.25">
      <c r="A15" s="205" t="s">
        <v>285</v>
      </c>
      <c r="B15" s="206"/>
      <c r="C15" s="205"/>
    </row>
    <row r="16" spans="1:3" x14ac:dyDescent="0.25">
      <c r="A16" s="216"/>
      <c r="B16" s="216"/>
      <c r="C16" s="216"/>
    </row>
    <row r="17" spans="1:7" x14ac:dyDescent="0.25">
      <c r="A17" s="205"/>
      <c r="B17" s="206">
        <f>НМЦ!E21</f>
        <v>691478552.79999995</v>
      </c>
      <c r="C17" s="205" t="s">
        <v>286</v>
      </c>
    </row>
    <row r="19" spans="1:7" ht="72" customHeight="1" x14ac:dyDescent="0.25">
      <c r="A19" s="217" t="s">
        <v>230</v>
      </c>
      <c r="B19" s="217"/>
      <c r="C19" s="151" t="s">
        <v>229</v>
      </c>
      <c r="D19" s="211"/>
      <c r="E19" s="211"/>
      <c r="F19" s="211"/>
      <c r="G19" s="202"/>
    </row>
  </sheetData>
  <mergeCells count="15">
    <mergeCell ref="A6:C6"/>
    <mergeCell ref="A1:C1"/>
    <mergeCell ref="A2:C2"/>
    <mergeCell ref="A3:C3"/>
    <mergeCell ref="A4:C4"/>
    <mergeCell ref="A5:C5"/>
    <mergeCell ref="A12:C12"/>
    <mergeCell ref="A13:C13"/>
    <mergeCell ref="A16:C16"/>
    <mergeCell ref="A19:B19"/>
    <mergeCell ref="A7:C7"/>
    <mergeCell ref="A8:C8"/>
    <mergeCell ref="A9:C9"/>
    <mergeCell ref="A10:C10"/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sqref="A1:XFD1048576"/>
    </sheetView>
  </sheetViews>
  <sheetFormatPr defaultRowHeight="15.75" x14ac:dyDescent="0.25"/>
  <cols>
    <col min="1" max="2" width="9.140625" style="184"/>
    <col min="3" max="3" width="17.140625" style="184" customWidth="1"/>
    <col min="4" max="4" width="21.42578125" style="184" customWidth="1"/>
    <col min="5" max="6" width="9.140625" style="184"/>
    <col min="7" max="7" width="15.42578125" style="184" customWidth="1"/>
    <col min="8" max="16384" width="9.140625" style="184"/>
  </cols>
  <sheetData>
    <row r="1" spans="1:16" x14ac:dyDescent="0.25">
      <c r="A1" s="230" t="s">
        <v>250</v>
      </c>
      <c r="B1" s="230"/>
      <c r="C1" s="230"/>
      <c r="D1" s="230"/>
      <c r="E1" s="230"/>
      <c r="F1" s="230"/>
      <c r="G1" s="230"/>
      <c r="H1" s="230"/>
      <c r="I1" s="230"/>
      <c r="J1" s="230"/>
      <c r="K1" s="182"/>
      <c r="L1" s="182"/>
      <c r="M1" s="182"/>
      <c r="N1" s="182"/>
      <c r="O1" s="182"/>
      <c r="P1" s="183"/>
    </row>
    <row r="2" spans="1:16" x14ac:dyDescent="0.25">
      <c r="A2" s="230" t="s">
        <v>251</v>
      </c>
      <c r="B2" s="230"/>
      <c r="C2" s="230"/>
      <c r="D2" s="230"/>
      <c r="E2" s="230"/>
      <c r="F2" s="230"/>
      <c r="G2" s="230"/>
      <c r="H2" s="230"/>
      <c r="I2" s="230"/>
      <c r="J2" s="230"/>
      <c r="K2" s="182"/>
      <c r="L2" s="182"/>
      <c r="M2" s="182"/>
      <c r="N2" s="182"/>
      <c r="O2" s="182"/>
      <c r="P2" s="183"/>
    </row>
    <row r="3" spans="1:16" x14ac:dyDescent="0.2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59.25" customHeight="1" x14ac:dyDescent="0.25">
      <c r="A4" s="185" t="s">
        <v>252</v>
      </c>
      <c r="B4" s="183"/>
      <c r="C4" s="231" t="s">
        <v>180</v>
      </c>
      <c r="D4" s="231"/>
      <c r="E4" s="231"/>
      <c r="F4" s="231"/>
      <c r="G4" s="231"/>
      <c r="H4" s="231"/>
      <c r="I4" s="231"/>
      <c r="J4" s="231"/>
      <c r="K4" s="231"/>
      <c r="L4" s="183"/>
      <c r="M4" s="183"/>
      <c r="N4" s="183"/>
      <c r="O4" s="183"/>
      <c r="P4" s="183"/>
    </row>
    <row r="5" spans="1:16" x14ac:dyDescent="0.2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x14ac:dyDescent="0.25">
      <c r="A6" s="232" t="s">
        <v>253</v>
      </c>
      <c r="B6" s="232"/>
      <c r="C6" s="232"/>
      <c r="D6" s="232"/>
      <c r="E6" s="232"/>
      <c r="F6" s="232"/>
      <c r="G6" s="186">
        <f>НМЦ!E21</f>
        <v>691478552.79999995</v>
      </c>
      <c r="H6" s="187"/>
      <c r="I6" s="187"/>
      <c r="J6" s="187"/>
      <c r="K6" s="187"/>
      <c r="L6" s="188"/>
      <c r="M6" s="188"/>
      <c r="N6" s="188"/>
      <c r="O6" s="188"/>
      <c r="P6" s="183"/>
    </row>
    <row r="7" spans="1:16" ht="27" customHeight="1" x14ac:dyDescent="0.25">
      <c r="A7" s="233" t="str">
        <f>[1]!СуммаПрописью(G6)</f>
        <v>Шестьсот девяносто один миллион четыреста семьдесят восемь тысяч пятьсот пятьдесят два рубля 80 копеек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189"/>
      <c r="M7" s="189"/>
      <c r="N7" s="189"/>
      <c r="O7" s="189"/>
      <c r="P7" s="183"/>
    </row>
    <row r="8" spans="1:16" x14ac:dyDescent="0.25">
      <c r="A8" s="183" t="s">
        <v>254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x14ac:dyDescent="0.25">
      <c r="A9" s="190" t="s">
        <v>255</v>
      </c>
      <c r="B9" s="190"/>
      <c r="C9" s="190"/>
      <c r="D9" s="190"/>
      <c r="E9" s="190"/>
      <c r="F9" s="190"/>
      <c r="G9" s="190"/>
      <c r="H9" s="183"/>
      <c r="I9" s="183"/>
      <c r="J9" s="183"/>
      <c r="K9" s="183"/>
      <c r="L9" s="183"/>
      <c r="M9" s="183"/>
      <c r="N9" s="183"/>
      <c r="O9" s="183"/>
      <c r="P9" s="183"/>
    </row>
    <row r="10" spans="1:16" x14ac:dyDescent="0.25">
      <c r="A10" s="191" t="s">
        <v>271</v>
      </c>
      <c r="C10" s="190"/>
      <c r="D10" s="190"/>
      <c r="E10" s="190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1:16" s="193" customFormat="1" x14ac:dyDescent="0.25">
      <c r="A11" s="192" t="s">
        <v>256</v>
      </c>
      <c r="B11" s="192"/>
      <c r="C11" s="192"/>
      <c r="D11" s="192"/>
      <c r="E11" s="192"/>
      <c r="F11" s="192"/>
      <c r="G11" s="192"/>
      <c r="H11" s="192"/>
      <c r="I11" s="192"/>
    </row>
    <row r="12" spans="1:16" s="193" customFormat="1" x14ac:dyDescent="0.25">
      <c r="A12" s="192" t="s">
        <v>257</v>
      </c>
      <c r="B12" s="192"/>
      <c r="C12" s="192"/>
      <c r="D12" s="192"/>
      <c r="E12" s="192"/>
      <c r="F12" s="192"/>
      <c r="G12" s="192"/>
      <c r="H12" s="192"/>
      <c r="I12" s="192"/>
    </row>
    <row r="13" spans="1:16" s="193" customFormat="1" x14ac:dyDescent="0.25">
      <c r="A13" s="192" t="s">
        <v>258</v>
      </c>
      <c r="B13" s="192"/>
      <c r="C13" s="192"/>
      <c r="D13" s="192"/>
      <c r="E13" s="192"/>
      <c r="F13" s="192"/>
      <c r="G13" s="192"/>
      <c r="H13" s="192"/>
      <c r="I13" s="192"/>
    </row>
    <row r="14" spans="1:16" s="193" customFormat="1" x14ac:dyDescent="0.25">
      <c r="A14" s="192" t="s">
        <v>259</v>
      </c>
      <c r="B14" s="192"/>
      <c r="C14" s="192"/>
      <c r="D14" s="192"/>
      <c r="E14" s="192"/>
      <c r="F14" s="192"/>
      <c r="G14" s="192"/>
      <c r="H14" s="192"/>
      <c r="I14" s="192"/>
    </row>
    <row r="15" spans="1:16" s="193" customFormat="1" x14ac:dyDescent="0.25">
      <c r="A15" s="192" t="s">
        <v>260</v>
      </c>
      <c r="B15" s="192"/>
      <c r="C15" s="192"/>
      <c r="D15" s="192"/>
      <c r="E15" s="192"/>
      <c r="F15" s="192"/>
      <c r="G15" s="192"/>
      <c r="H15" s="192"/>
      <c r="I15" s="192"/>
    </row>
    <row r="16" spans="1:16" s="193" customFormat="1" x14ac:dyDescent="0.25">
      <c r="A16" s="192" t="s">
        <v>261</v>
      </c>
      <c r="B16" s="192"/>
      <c r="C16" s="192"/>
      <c r="D16" s="192"/>
      <c r="E16" s="192"/>
      <c r="F16" s="192"/>
      <c r="G16" s="192"/>
      <c r="H16" s="192"/>
      <c r="I16" s="192"/>
    </row>
    <row r="17" spans="1:16" s="193" customFormat="1" x14ac:dyDescent="0.25">
      <c r="A17" s="192" t="s">
        <v>262</v>
      </c>
      <c r="B17" s="192"/>
      <c r="C17" s="192"/>
      <c r="D17" s="192"/>
      <c r="E17" s="192"/>
      <c r="F17" s="192"/>
      <c r="G17" s="192"/>
      <c r="H17" s="192"/>
      <c r="I17" s="192"/>
    </row>
    <row r="18" spans="1:16" s="193" customFormat="1" x14ac:dyDescent="0.25">
      <c r="A18" s="192" t="s">
        <v>263</v>
      </c>
      <c r="B18" s="192"/>
      <c r="C18" s="192"/>
      <c r="D18" s="192"/>
      <c r="E18" s="192"/>
      <c r="F18" s="192"/>
      <c r="G18" s="192"/>
      <c r="H18" s="192"/>
      <c r="I18" s="192"/>
    </row>
    <row r="19" spans="1:16" s="193" customFormat="1" x14ac:dyDescent="0.25">
      <c r="A19" s="194" t="s">
        <v>264</v>
      </c>
      <c r="B19" s="192"/>
      <c r="C19" s="192"/>
      <c r="D19" s="192"/>
      <c r="E19" s="192"/>
      <c r="F19" s="192"/>
      <c r="G19" s="192"/>
      <c r="H19" s="192"/>
      <c r="I19" s="192"/>
    </row>
    <row r="20" spans="1:16" s="193" customFormat="1" ht="31.5" customHeight="1" x14ac:dyDescent="0.25">
      <c r="A20" s="227" t="s">
        <v>272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6" s="193" customFormat="1" x14ac:dyDescent="0.25">
      <c r="A21" s="227" t="s">
        <v>273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</row>
    <row r="22" spans="1:16" s="193" customFormat="1" x14ac:dyDescent="0.25">
      <c r="A22" s="195" t="s">
        <v>274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  <row r="23" spans="1:16" s="193" customFormat="1" x14ac:dyDescent="0.25">
      <c r="A23" s="195" t="s">
        <v>275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6" s="193" customFormat="1" x14ac:dyDescent="0.25">
      <c r="A24" s="192" t="s">
        <v>265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</row>
    <row r="25" spans="1:16" s="198" customFormat="1" ht="30.75" customHeight="1" x14ac:dyDescent="0.25">
      <c r="A25" s="228" t="s">
        <v>266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197"/>
      <c r="M25" s="197"/>
      <c r="N25" s="197"/>
      <c r="O25" s="197"/>
    </row>
    <row r="26" spans="1:16" s="198" customFormat="1" ht="33.75" customHeight="1" x14ac:dyDescent="0.25">
      <c r="A26" s="228" t="s">
        <v>267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</row>
    <row r="27" spans="1:16" s="198" customFormat="1" x14ac:dyDescent="0.25">
      <c r="A27" s="192" t="s">
        <v>268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6" x14ac:dyDescent="0.25">
      <c r="A28" s="200"/>
      <c r="B28" s="201"/>
      <c r="C28" s="190"/>
      <c r="D28" s="190"/>
      <c r="E28" s="190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x14ac:dyDescent="0.25">
      <c r="A29" s="190" t="s">
        <v>269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83"/>
      <c r="M29" s="183"/>
      <c r="N29" s="183"/>
      <c r="O29" s="183"/>
      <c r="P29" s="183"/>
    </row>
    <row r="30" spans="1:16" x14ac:dyDescent="0.25">
      <c r="A30" s="190" t="s">
        <v>270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83"/>
      <c r="M30" s="183"/>
      <c r="N30" s="183"/>
      <c r="O30" s="183"/>
      <c r="P30" s="183"/>
    </row>
    <row r="31" spans="1:16" x14ac:dyDescent="0.2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83"/>
      <c r="M31" s="183"/>
      <c r="N31" s="183"/>
      <c r="O31" s="183"/>
      <c r="P31" s="183"/>
    </row>
    <row r="32" spans="1:16" ht="50.25" customHeight="1" x14ac:dyDescent="0.25">
      <c r="A32" s="217" t="s">
        <v>230</v>
      </c>
      <c r="B32" s="217"/>
      <c r="C32" s="217"/>
      <c r="D32" s="217"/>
      <c r="E32" s="217"/>
      <c r="F32" s="217"/>
      <c r="G32" s="202"/>
      <c r="H32" s="210"/>
      <c r="I32" s="151" t="s">
        <v>229</v>
      </c>
      <c r="J32" s="210"/>
      <c r="K32" s="202"/>
      <c r="L32" s="202"/>
      <c r="P32" s="183"/>
    </row>
    <row r="33" spans="1:16" x14ac:dyDescent="0.25">
      <c r="A33" s="209"/>
      <c r="B33" s="209"/>
      <c r="C33" s="209"/>
      <c r="D33" s="209"/>
      <c r="E33" s="209"/>
      <c r="F33" s="210"/>
      <c r="G33" s="229"/>
      <c r="H33" s="229"/>
      <c r="I33" s="229"/>
      <c r="J33" s="229"/>
      <c r="K33" s="203"/>
      <c r="L33" s="183"/>
      <c r="P33" s="183"/>
    </row>
  </sheetData>
  <mergeCells count="11">
    <mergeCell ref="A20:K20"/>
    <mergeCell ref="A1:J1"/>
    <mergeCell ref="A2:J2"/>
    <mergeCell ref="C4:K4"/>
    <mergeCell ref="A6:F6"/>
    <mergeCell ref="A7:K7"/>
    <mergeCell ref="A21:K21"/>
    <mergeCell ref="A25:K25"/>
    <mergeCell ref="A26:K26"/>
    <mergeCell ref="G33:J33"/>
    <mergeCell ref="A32:F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21" sqref="G21"/>
    </sheetView>
  </sheetViews>
  <sheetFormatPr defaultRowHeight="15" x14ac:dyDescent="0.25"/>
  <cols>
    <col min="2" max="2" width="47.28515625" customWidth="1"/>
    <col min="3" max="3" width="16.42578125" customWidth="1"/>
    <col min="4" max="4" width="17.28515625" customWidth="1"/>
    <col min="5" max="5" width="17.5703125" customWidth="1"/>
    <col min="7" max="7" width="30" customWidth="1"/>
    <col min="8" max="8" width="12.5703125" bestFit="1" customWidth="1"/>
  </cols>
  <sheetData>
    <row r="1" spans="1:7" ht="15.75" x14ac:dyDescent="0.25">
      <c r="A1" s="234" t="s">
        <v>231</v>
      </c>
      <c r="B1" s="234"/>
      <c r="C1" s="234"/>
      <c r="D1" s="234"/>
      <c r="E1" s="234"/>
    </row>
    <row r="2" spans="1:7" ht="15.75" x14ac:dyDescent="0.25">
      <c r="A2" s="235" t="s">
        <v>232</v>
      </c>
      <c r="B2" s="235"/>
      <c r="C2" s="235"/>
      <c r="D2" s="235"/>
      <c r="E2" s="235"/>
    </row>
    <row r="3" spans="1:7" ht="50.25" customHeight="1" x14ac:dyDescent="0.25">
      <c r="A3" s="235" t="s">
        <v>180</v>
      </c>
      <c r="B3" s="235"/>
      <c r="C3" s="235"/>
      <c r="D3" s="235"/>
      <c r="E3" s="235"/>
    </row>
    <row r="4" spans="1:7" ht="15.75" x14ac:dyDescent="0.25">
      <c r="A4" s="152"/>
      <c r="B4" s="152"/>
      <c r="C4" s="152"/>
      <c r="D4" s="152"/>
      <c r="E4" s="152"/>
    </row>
    <row r="5" spans="1:7" ht="15.75" x14ac:dyDescent="0.25">
      <c r="A5" s="153" t="s">
        <v>233</v>
      </c>
      <c r="B5" s="153"/>
      <c r="C5" s="154">
        <f>(C7-C6)/30.5</f>
        <v>14.5</v>
      </c>
      <c r="D5" s="155" t="s">
        <v>234</v>
      </c>
      <c r="E5" s="156"/>
    </row>
    <row r="6" spans="1:7" ht="15.75" x14ac:dyDescent="0.25">
      <c r="A6" s="153" t="s">
        <v>235</v>
      </c>
      <c r="B6" s="153"/>
      <c r="C6" s="157">
        <f>НМЦК!F62</f>
        <v>45170</v>
      </c>
      <c r="D6" s="155"/>
      <c r="E6" s="156"/>
    </row>
    <row r="7" spans="1:7" ht="15.75" x14ac:dyDescent="0.25">
      <c r="A7" s="153" t="s">
        <v>236</v>
      </c>
      <c r="B7" s="153"/>
      <c r="C7" s="157">
        <f>НМЦК!F73</f>
        <v>45611</v>
      </c>
      <c r="D7" s="155"/>
      <c r="E7" s="156"/>
    </row>
    <row r="8" spans="1:7" ht="15.75" x14ac:dyDescent="0.25">
      <c r="A8" s="153"/>
      <c r="B8" s="158"/>
      <c r="C8" s="158"/>
      <c r="D8" s="156"/>
      <c r="E8" s="156"/>
    </row>
    <row r="9" spans="1:7" ht="15.75" x14ac:dyDescent="0.25">
      <c r="A9" s="236" t="s">
        <v>237</v>
      </c>
      <c r="B9" s="237" t="s">
        <v>238</v>
      </c>
      <c r="C9" s="236" t="s">
        <v>239</v>
      </c>
      <c r="D9" s="236"/>
      <c r="E9" s="236"/>
    </row>
    <row r="10" spans="1:7" ht="15.75" x14ac:dyDescent="0.25">
      <c r="A10" s="236"/>
      <c r="B10" s="238"/>
      <c r="C10" s="159" t="s">
        <v>240</v>
      </c>
      <c r="D10" s="159" t="s">
        <v>241</v>
      </c>
      <c r="E10" s="159" t="s">
        <v>242</v>
      </c>
    </row>
    <row r="11" spans="1:7" ht="15.75" x14ac:dyDescent="0.25">
      <c r="A11" s="159">
        <v>1</v>
      </c>
      <c r="B11" s="159">
        <v>2</v>
      </c>
      <c r="C11" s="159">
        <v>3</v>
      </c>
      <c r="D11" s="160">
        <v>4</v>
      </c>
      <c r="E11" s="160">
        <v>5</v>
      </c>
    </row>
    <row r="12" spans="1:7" ht="26.25" customHeight="1" x14ac:dyDescent="0.25">
      <c r="A12" s="176" t="s">
        <v>183</v>
      </c>
      <c r="B12" s="177" t="s">
        <v>243</v>
      </c>
      <c r="C12" s="178">
        <f>'Проект сметы контракта'!F8</f>
        <v>19621282.789999999</v>
      </c>
      <c r="D12" s="179">
        <f>C12*0.2</f>
        <v>3924256.56</v>
      </c>
      <c r="E12" s="179">
        <f>C12+D12</f>
        <v>23545539.350000001</v>
      </c>
      <c r="G12" s="207"/>
    </row>
    <row r="13" spans="1:7" ht="19.5" customHeight="1" x14ac:dyDescent="0.25">
      <c r="A13" s="162"/>
      <c r="B13" s="163" t="s">
        <v>244</v>
      </c>
      <c r="C13" s="164"/>
      <c r="D13" s="165"/>
      <c r="E13" s="165"/>
    </row>
    <row r="14" spans="1:7" ht="24" customHeight="1" x14ac:dyDescent="0.25">
      <c r="A14" s="162"/>
      <c r="B14" s="166" t="s">
        <v>83</v>
      </c>
      <c r="C14" s="164">
        <f>'Проект сметы контракта'!F10</f>
        <v>571493.67000000004</v>
      </c>
      <c r="D14" s="165">
        <f>C14*0.2</f>
        <v>114298.73</v>
      </c>
      <c r="E14" s="165">
        <f>C14+D14</f>
        <v>685792.4</v>
      </c>
    </row>
    <row r="15" spans="1:7" ht="31.5" x14ac:dyDescent="0.25">
      <c r="A15" s="162"/>
      <c r="B15" s="166" t="s">
        <v>245</v>
      </c>
      <c r="C15" s="164">
        <f>НМЦК!M12-НМЦК!I12</f>
        <v>745250.31</v>
      </c>
      <c r="D15" s="165">
        <f>C15*0.2</f>
        <v>149050.06</v>
      </c>
      <c r="E15" s="165">
        <f>C15+D15</f>
        <v>894300.37</v>
      </c>
    </row>
    <row r="16" spans="1:7" ht="31.5" x14ac:dyDescent="0.25">
      <c r="A16" s="180" t="s">
        <v>134</v>
      </c>
      <c r="B16" s="181" t="s">
        <v>224</v>
      </c>
      <c r="C16" s="178">
        <f>'Проект сметы контракта'!F11</f>
        <v>556610844.53999996</v>
      </c>
      <c r="D16" s="179">
        <f>C16*0.2</f>
        <v>111322168.91</v>
      </c>
      <c r="E16" s="179">
        <f>C16+D16</f>
        <v>667933013.45000005</v>
      </c>
      <c r="G16" s="207"/>
    </row>
    <row r="17" spans="1:8" ht="24.75" customHeight="1" x14ac:dyDescent="0.25">
      <c r="A17" s="167"/>
      <c r="B17" s="163" t="s">
        <v>244</v>
      </c>
      <c r="C17" s="164"/>
      <c r="D17" s="165"/>
      <c r="E17" s="165"/>
    </row>
    <row r="18" spans="1:8" ht="22.5" customHeight="1" x14ac:dyDescent="0.25">
      <c r="A18" s="167"/>
      <c r="B18" s="166" t="s">
        <v>114</v>
      </c>
      <c r="C18" s="164">
        <f>'Проект сметы контракта'!H11</f>
        <v>7609703.0899999999</v>
      </c>
      <c r="D18" s="165">
        <f>C18*0.2</f>
        <v>1521940.62</v>
      </c>
      <c r="E18" s="165">
        <f>C18+D18</f>
        <v>9131643.7100000009</v>
      </c>
    </row>
    <row r="19" spans="1:8" ht="26.25" customHeight="1" x14ac:dyDescent="0.25">
      <c r="A19" s="167"/>
      <c r="B19" s="166" t="s">
        <v>83</v>
      </c>
      <c r="C19" s="164">
        <f>'Проект сметы контракта'!F29</f>
        <v>16211966.35</v>
      </c>
      <c r="D19" s="165">
        <f>C19*0.2</f>
        <v>3242393.27</v>
      </c>
      <c r="E19" s="165">
        <f>C19+D19</f>
        <v>19454359.620000001</v>
      </c>
    </row>
    <row r="20" spans="1:8" ht="31.5" x14ac:dyDescent="0.25">
      <c r="A20" s="167"/>
      <c r="B20" s="166" t="s">
        <v>245</v>
      </c>
      <c r="C20" s="164">
        <f>НМЦК!M15-НМЦК!I15</f>
        <v>33417042.16</v>
      </c>
      <c r="D20" s="165">
        <f>C20*0.2</f>
        <v>6683408.4299999997</v>
      </c>
      <c r="E20" s="165">
        <f>C20+D20</f>
        <v>40100450.590000004</v>
      </c>
    </row>
    <row r="21" spans="1:8" ht="18.75" customHeight="1" x14ac:dyDescent="0.25">
      <c r="A21" s="168"/>
      <c r="B21" s="168" t="s">
        <v>246</v>
      </c>
      <c r="C21" s="169">
        <f>C12+C16</f>
        <v>576232127.33000004</v>
      </c>
      <c r="D21" s="169">
        <f>D12+D16</f>
        <v>115246425.47</v>
      </c>
      <c r="E21" s="169">
        <f>E12+E16</f>
        <v>691478552.79999995</v>
      </c>
      <c r="G21" s="207"/>
      <c r="H21" s="207"/>
    </row>
    <row r="22" spans="1:8" ht="15.75" x14ac:dyDescent="0.25">
      <c r="A22" s="163"/>
      <c r="B22" s="163" t="s">
        <v>244</v>
      </c>
      <c r="C22" s="170"/>
      <c r="D22" s="171"/>
      <c r="E22" s="171"/>
    </row>
    <row r="23" spans="1:8" ht="15.75" x14ac:dyDescent="0.25">
      <c r="A23" s="172"/>
      <c r="B23" s="166" t="s">
        <v>247</v>
      </c>
      <c r="C23" s="164">
        <f>C18</f>
        <v>7609703.0899999999</v>
      </c>
      <c r="D23" s="173">
        <f>C23*20%</f>
        <v>1521940.62</v>
      </c>
      <c r="E23" s="173">
        <f t="shared" ref="E23:E24" si="0">C23+D23</f>
        <v>9131643.7100000009</v>
      </c>
    </row>
    <row r="24" spans="1:8" ht="15.75" x14ac:dyDescent="0.25">
      <c r="A24" s="174"/>
      <c r="B24" s="174" t="s">
        <v>248</v>
      </c>
      <c r="C24" s="164">
        <f>C14+C19</f>
        <v>16783460.02</v>
      </c>
      <c r="D24" s="173">
        <f>C24*0.2</f>
        <v>3356692</v>
      </c>
      <c r="E24" s="173">
        <f t="shared" si="0"/>
        <v>20140152.02</v>
      </c>
    </row>
    <row r="25" spans="1:8" ht="31.5" x14ac:dyDescent="0.25">
      <c r="A25" s="175"/>
      <c r="B25" s="166" t="s">
        <v>249</v>
      </c>
      <c r="C25" s="164">
        <f>C15+C20</f>
        <v>34162292.469999999</v>
      </c>
      <c r="D25" s="173">
        <f>C25*0.2</f>
        <v>6832458.4900000002</v>
      </c>
      <c r="E25" s="173">
        <f>C25+D25</f>
        <v>40994750.960000001</v>
      </c>
    </row>
    <row r="28" spans="1:8" ht="65.25" customHeight="1" x14ac:dyDescent="0.25">
      <c r="A28" s="217" t="s">
        <v>230</v>
      </c>
      <c r="B28" s="217"/>
      <c r="C28" s="217"/>
      <c r="D28" s="150"/>
      <c r="E28" s="151" t="s">
        <v>229</v>
      </c>
    </row>
  </sheetData>
  <mergeCells count="7">
    <mergeCell ref="A28:C28"/>
    <mergeCell ref="A1:E1"/>
    <mergeCell ref="A2:E2"/>
    <mergeCell ref="A3:E3"/>
    <mergeCell ref="A9:A10"/>
    <mergeCell ref="B9:B10"/>
    <mergeCell ref="C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1" sqref="J11"/>
    </sheetView>
  </sheetViews>
  <sheetFormatPr defaultRowHeight="15" x14ac:dyDescent="0.25"/>
  <cols>
    <col min="2" max="2" width="45.42578125" customWidth="1"/>
    <col min="3" max="3" width="12" customWidth="1"/>
    <col min="4" max="4" width="12.5703125" customWidth="1"/>
    <col min="5" max="5" width="18.140625" customWidth="1"/>
    <col min="6" max="6" width="17.5703125" customWidth="1"/>
    <col min="7" max="7" width="15.28515625" customWidth="1"/>
    <col min="8" max="8" width="16" customWidth="1"/>
    <col min="10" max="10" width="28.5703125" customWidth="1"/>
  </cols>
  <sheetData>
    <row r="1" spans="1:10" ht="15.75" x14ac:dyDescent="0.25">
      <c r="A1" s="239" t="s">
        <v>225</v>
      </c>
      <c r="B1" s="239"/>
      <c r="C1" s="239"/>
      <c r="D1" s="239"/>
      <c r="E1" s="239"/>
      <c r="F1" s="239"/>
      <c r="G1" s="239"/>
      <c r="H1" s="239"/>
    </row>
    <row r="2" spans="1:10" x14ac:dyDescent="0.25">
      <c r="A2" s="136"/>
      <c r="B2" s="137"/>
      <c r="C2" s="138"/>
      <c r="D2" s="138"/>
      <c r="E2" s="138"/>
      <c r="F2" s="138"/>
      <c r="G2" s="138"/>
      <c r="H2" s="138"/>
    </row>
    <row r="3" spans="1:10" ht="29.25" customHeight="1" x14ac:dyDescent="0.25">
      <c r="A3" s="161" t="s">
        <v>218</v>
      </c>
      <c r="B3" s="240" t="s">
        <v>180</v>
      </c>
      <c r="C3" s="240"/>
      <c r="D3" s="240"/>
      <c r="E3" s="240"/>
      <c r="F3" s="240"/>
      <c r="G3" s="240"/>
      <c r="H3" s="240"/>
    </row>
    <row r="4" spans="1:10" ht="15.75" x14ac:dyDescent="0.25">
      <c r="A4" s="140"/>
      <c r="B4" s="139"/>
      <c r="C4" s="141"/>
      <c r="D4" s="141"/>
      <c r="E4" s="141"/>
      <c r="F4" s="141"/>
      <c r="G4" s="141"/>
      <c r="H4" s="141"/>
    </row>
    <row r="5" spans="1:10" x14ac:dyDescent="0.25">
      <c r="A5" s="241" t="s">
        <v>12</v>
      </c>
      <c r="B5" s="241" t="s">
        <v>112</v>
      </c>
      <c r="C5" s="242" t="s">
        <v>221</v>
      </c>
      <c r="D5" s="242" t="s">
        <v>222</v>
      </c>
      <c r="E5" s="243" t="s">
        <v>226</v>
      </c>
      <c r="F5" s="243"/>
      <c r="G5" s="243" t="s">
        <v>227</v>
      </c>
      <c r="H5" s="243"/>
    </row>
    <row r="6" spans="1:10" ht="25.5" x14ac:dyDescent="0.25">
      <c r="A6" s="241"/>
      <c r="B6" s="241"/>
      <c r="C6" s="242"/>
      <c r="D6" s="242"/>
      <c r="E6" s="133" t="s">
        <v>228</v>
      </c>
      <c r="F6" s="134" t="s">
        <v>116</v>
      </c>
      <c r="G6" s="133" t="s">
        <v>228</v>
      </c>
      <c r="H6" s="134" t="s">
        <v>116</v>
      </c>
    </row>
    <row r="7" spans="1:10" ht="15.75" x14ac:dyDescent="0.25">
      <c r="A7" s="142">
        <v>1</v>
      </c>
      <c r="B7" s="142">
        <v>2</v>
      </c>
      <c r="C7" s="131">
        <v>3</v>
      </c>
      <c r="D7" s="131">
        <v>4</v>
      </c>
      <c r="E7" s="135">
        <v>5</v>
      </c>
      <c r="F7" s="135">
        <v>6</v>
      </c>
      <c r="G7" s="135">
        <v>7</v>
      </c>
      <c r="H7" s="135">
        <v>8</v>
      </c>
    </row>
    <row r="8" spans="1:10" ht="15.75" x14ac:dyDescent="0.25">
      <c r="A8" s="56" t="s">
        <v>183</v>
      </c>
      <c r="B8" s="56" t="s">
        <v>182</v>
      </c>
      <c r="C8" s="129" t="s">
        <v>223</v>
      </c>
      <c r="D8" s="129">
        <v>1</v>
      </c>
      <c r="E8" s="146">
        <f>E9+E10</f>
        <v>19621282.789999999</v>
      </c>
      <c r="F8" s="146">
        <f>E8</f>
        <v>19621282.789999999</v>
      </c>
      <c r="G8" s="146"/>
      <c r="H8" s="146"/>
    </row>
    <row r="9" spans="1:10" ht="15.75" x14ac:dyDescent="0.25">
      <c r="A9" s="59" t="s">
        <v>122</v>
      </c>
      <c r="B9" s="59" t="s">
        <v>123</v>
      </c>
      <c r="C9" s="127" t="s">
        <v>223</v>
      </c>
      <c r="D9" s="127">
        <v>1</v>
      </c>
      <c r="E9" s="147">
        <f>НМЦК!M13</f>
        <v>19049789.120000001</v>
      </c>
      <c r="F9" s="147">
        <f>E9</f>
        <v>19049789.120000001</v>
      </c>
      <c r="G9" s="147"/>
      <c r="H9" s="147"/>
      <c r="J9" s="207"/>
    </row>
    <row r="10" spans="1:10" ht="31.5" x14ac:dyDescent="0.25">
      <c r="A10" s="59" t="s">
        <v>124</v>
      </c>
      <c r="B10" s="111" t="s">
        <v>184</v>
      </c>
      <c r="C10" s="128" t="s">
        <v>223</v>
      </c>
      <c r="D10" s="128">
        <v>1</v>
      </c>
      <c r="E10" s="147">
        <f>НМЦК!M14</f>
        <v>571493.67000000004</v>
      </c>
      <c r="F10" s="147">
        <f>E10</f>
        <v>571493.67000000004</v>
      </c>
      <c r="G10" s="147"/>
      <c r="H10" s="147"/>
    </row>
    <row r="11" spans="1:10" ht="15.75" x14ac:dyDescent="0.25">
      <c r="A11" s="56" t="s">
        <v>134</v>
      </c>
      <c r="B11" s="56" t="s">
        <v>125</v>
      </c>
      <c r="C11" s="129" t="s">
        <v>223</v>
      </c>
      <c r="D11" s="129">
        <v>1</v>
      </c>
      <c r="E11" s="146">
        <f>E12+E13+E14+E15+E22+E25+E26+E27+E28+E29</f>
        <v>556610844.53999996</v>
      </c>
      <c r="F11" s="146">
        <f>E11</f>
        <v>556610844.53999996</v>
      </c>
      <c r="G11" s="146">
        <f>G12+G13+G14+G15+G22+G25+G26+G27+G28+G29</f>
        <v>7609703.0899999999</v>
      </c>
      <c r="H11" s="146">
        <f>H12+H13+H14+H15+H22+H25+H26+H27+H28+H29</f>
        <v>7609703.0899999999</v>
      </c>
      <c r="J11" s="207"/>
    </row>
    <row r="12" spans="1:10" ht="31.5" x14ac:dyDescent="0.25">
      <c r="A12" s="64" t="s">
        <v>135</v>
      </c>
      <c r="B12" s="113" t="s">
        <v>28</v>
      </c>
      <c r="C12" s="128" t="s">
        <v>223</v>
      </c>
      <c r="D12" s="128">
        <v>1</v>
      </c>
      <c r="E12" s="147">
        <f>НМЦК!M16</f>
        <v>150814.39000000001</v>
      </c>
      <c r="F12" s="147">
        <f t="shared" ref="F12:F15" si="0">E12</f>
        <v>150814.39000000001</v>
      </c>
      <c r="G12" s="147"/>
      <c r="H12" s="147"/>
    </row>
    <row r="13" spans="1:10" ht="15.75" x14ac:dyDescent="0.25">
      <c r="A13" s="67" t="s">
        <v>136</v>
      </c>
      <c r="B13" s="113" t="s">
        <v>26</v>
      </c>
      <c r="C13" s="128" t="s">
        <v>223</v>
      </c>
      <c r="D13" s="128">
        <v>1</v>
      </c>
      <c r="E13" s="147">
        <f>НМЦК!M17</f>
        <v>2905666.2</v>
      </c>
      <c r="F13" s="147">
        <f t="shared" si="0"/>
        <v>2905666.2</v>
      </c>
      <c r="G13" s="147"/>
      <c r="H13" s="147"/>
    </row>
    <row r="14" spans="1:10" ht="15.75" x14ac:dyDescent="0.25">
      <c r="A14" s="64" t="s">
        <v>205</v>
      </c>
      <c r="B14" s="113" t="s">
        <v>30</v>
      </c>
      <c r="C14" s="128" t="s">
        <v>223</v>
      </c>
      <c r="D14" s="128">
        <v>1</v>
      </c>
      <c r="E14" s="147">
        <f>НМЦК!M18</f>
        <v>1399031.74</v>
      </c>
      <c r="F14" s="147">
        <f t="shared" si="0"/>
        <v>1399031.74</v>
      </c>
      <c r="G14" s="147"/>
      <c r="H14" s="147"/>
    </row>
    <row r="15" spans="1:10" ht="15.75" x14ac:dyDescent="0.25">
      <c r="A15" s="64" t="s">
        <v>201</v>
      </c>
      <c r="B15" s="113" t="s">
        <v>34</v>
      </c>
      <c r="C15" s="128" t="s">
        <v>223</v>
      </c>
      <c r="D15" s="128">
        <v>1</v>
      </c>
      <c r="E15" s="147">
        <f>E16+E17+E18+E19+E20+E21</f>
        <v>503765843.95999998</v>
      </c>
      <c r="F15" s="147">
        <f t="shared" si="0"/>
        <v>503765843.95999998</v>
      </c>
      <c r="G15" s="147">
        <f>G16+G17+G18+G19+G20+G21</f>
        <v>7388061.25</v>
      </c>
      <c r="H15" s="147">
        <f>H16+H17+H18+H19+H20+H21</f>
        <v>7388061.25</v>
      </c>
    </row>
    <row r="16" spans="1:10" ht="15.75" x14ac:dyDescent="0.25">
      <c r="A16" s="68" t="s">
        <v>206</v>
      </c>
      <c r="B16" s="117" t="s">
        <v>185</v>
      </c>
      <c r="C16" s="132" t="s">
        <v>223</v>
      </c>
      <c r="D16" s="132">
        <v>1</v>
      </c>
      <c r="E16" s="148">
        <f>НМЦК!M20</f>
        <v>50121590.890000001</v>
      </c>
      <c r="F16" s="148">
        <f>E16</f>
        <v>50121590.890000001</v>
      </c>
      <c r="G16" s="148"/>
      <c r="H16" s="148"/>
    </row>
    <row r="17" spans="1:8" ht="15.75" x14ac:dyDescent="0.25">
      <c r="A17" s="68" t="s">
        <v>207</v>
      </c>
      <c r="B17" s="117" t="s">
        <v>186</v>
      </c>
      <c r="C17" s="132" t="s">
        <v>223</v>
      </c>
      <c r="D17" s="132">
        <v>1</v>
      </c>
      <c r="E17" s="148">
        <f>НМЦК!M21</f>
        <v>111355370.16</v>
      </c>
      <c r="F17" s="148">
        <f t="shared" ref="F17:F21" si="1">E17</f>
        <v>111355370.16</v>
      </c>
      <c r="G17" s="148"/>
      <c r="H17" s="148"/>
    </row>
    <row r="18" spans="1:8" ht="15.75" x14ac:dyDescent="0.25">
      <c r="A18" s="68" t="s">
        <v>208</v>
      </c>
      <c r="B18" s="117" t="s">
        <v>187</v>
      </c>
      <c r="C18" s="132" t="s">
        <v>223</v>
      </c>
      <c r="D18" s="132">
        <v>1</v>
      </c>
      <c r="E18" s="148">
        <f>НМЦК!M22</f>
        <v>8399632.5999999996</v>
      </c>
      <c r="F18" s="148">
        <f t="shared" si="1"/>
        <v>8399632.5999999996</v>
      </c>
      <c r="G18" s="148">
        <f>НМЦК!E22*НМЦК!J22*НМЦК!L22</f>
        <v>7388061.25</v>
      </c>
      <c r="H18" s="148">
        <f>G18</f>
        <v>7388061.25</v>
      </c>
    </row>
    <row r="19" spans="1:8" ht="15.75" x14ac:dyDescent="0.25">
      <c r="A19" s="68" t="s">
        <v>209</v>
      </c>
      <c r="B19" s="117" t="s">
        <v>188</v>
      </c>
      <c r="C19" s="132" t="s">
        <v>223</v>
      </c>
      <c r="D19" s="132">
        <v>1</v>
      </c>
      <c r="E19" s="148">
        <f>НМЦК!M23</f>
        <v>276147248.22000003</v>
      </c>
      <c r="F19" s="148">
        <f t="shared" si="1"/>
        <v>276147248.22000003</v>
      </c>
      <c r="G19" s="148"/>
      <c r="H19" s="148"/>
    </row>
    <row r="20" spans="1:8" ht="15.75" x14ac:dyDescent="0.25">
      <c r="A20" s="68" t="s">
        <v>210</v>
      </c>
      <c r="B20" s="117" t="s">
        <v>189</v>
      </c>
      <c r="C20" s="132" t="s">
        <v>223</v>
      </c>
      <c r="D20" s="132">
        <v>1</v>
      </c>
      <c r="E20" s="148">
        <f>НМЦК!M24</f>
        <v>8452402.7300000004</v>
      </c>
      <c r="F20" s="148">
        <f t="shared" si="1"/>
        <v>8452402.7300000004</v>
      </c>
      <c r="G20" s="148"/>
      <c r="H20" s="148"/>
    </row>
    <row r="21" spans="1:8" ht="15.75" x14ac:dyDescent="0.25">
      <c r="A21" s="68" t="s">
        <v>211</v>
      </c>
      <c r="B21" s="117" t="s">
        <v>190</v>
      </c>
      <c r="C21" s="132" t="s">
        <v>223</v>
      </c>
      <c r="D21" s="132">
        <v>1</v>
      </c>
      <c r="E21" s="148">
        <f>НМЦК!M25</f>
        <v>49289599.359999999</v>
      </c>
      <c r="F21" s="148">
        <f t="shared" si="1"/>
        <v>49289599.359999999</v>
      </c>
      <c r="G21" s="148"/>
      <c r="H21" s="148"/>
    </row>
    <row r="22" spans="1:8" ht="15.75" x14ac:dyDescent="0.25">
      <c r="A22" s="64" t="s">
        <v>204</v>
      </c>
      <c r="B22" s="113" t="s">
        <v>44</v>
      </c>
      <c r="C22" s="128" t="s">
        <v>223</v>
      </c>
      <c r="D22" s="128">
        <v>1</v>
      </c>
      <c r="E22" s="147">
        <f>E23+E24</f>
        <v>29003452.219999999</v>
      </c>
      <c r="F22" s="147">
        <f>E22</f>
        <v>29003452.219999999</v>
      </c>
      <c r="G22" s="147"/>
      <c r="H22" s="147"/>
    </row>
    <row r="23" spans="1:8" ht="15.75" x14ac:dyDescent="0.25">
      <c r="A23" s="68" t="s">
        <v>212</v>
      </c>
      <c r="B23" s="118" t="s">
        <v>192</v>
      </c>
      <c r="C23" s="132" t="s">
        <v>223</v>
      </c>
      <c r="D23" s="132">
        <v>1</v>
      </c>
      <c r="E23" s="148">
        <f>НМЦК!M27</f>
        <v>21566521.879999999</v>
      </c>
      <c r="F23" s="148">
        <f>E23</f>
        <v>21566521.879999999</v>
      </c>
      <c r="G23" s="148"/>
      <c r="H23" s="148"/>
    </row>
    <row r="24" spans="1:8" ht="15.75" x14ac:dyDescent="0.25">
      <c r="A24" s="68" t="s">
        <v>213</v>
      </c>
      <c r="B24" s="118" t="s">
        <v>194</v>
      </c>
      <c r="C24" s="132" t="s">
        <v>223</v>
      </c>
      <c r="D24" s="132">
        <v>1</v>
      </c>
      <c r="E24" s="148">
        <f>НМЦК!M28</f>
        <v>7436930.3399999999</v>
      </c>
      <c r="F24" s="148">
        <f>E24</f>
        <v>7436930.3399999999</v>
      </c>
      <c r="G24" s="148"/>
      <c r="H24" s="148"/>
    </row>
    <row r="25" spans="1:8" ht="94.5" x14ac:dyDescent="0.25">
      <c r="A25" s="64" t="s">
        <v>203</v>
      </c>
      <c r="B25" s="113" t="s">
        <v>53</v>
      </c>
      <c r="C25" s="128" t="s">
        <v>223</v>
      </c>
      <c r="D25" s="128">
        <v>1</v>
      </c>
      <c r="E25" s="147">
        <f>НМЦК!M29</f>
        <v>3039011.22</v>
      </c>
      <c r="F25" s="147">
        <f>E25</f>
        <v>3039011.22</v>
      </c>
      <c r="G25" s="147"/>
      <c r="H25" s="147"/>
    </row>
    <row r="26" spans="1:8" ht="15.75" x14ac:dyDescent="0.25">
      <c r="A26" s="64" t="s">
        <v>202</v>
      </c>
      <c r="B26" s="113" t="s">
        <v>55</v>
      </c>
      <c r="C26" s="128" t="s">
        <v>223</v>
      </c>
      <c r="D26" s="128">
        <v>1</v>
      </c>
      <c r="E26" s="147">
        <f>НМЦК!M30</f>
        <v>63.83</v>
      </c>
      <c r="F26" s="147">
        <f t="shared" ref="F26:F29" si="2">E26</f>
        <v>63.83</v>
      </c>
      <c r="G26" s="147"/>
      <c r="H26" s="147"/>
    </row>
    <row r="27" spans="1:8" ht="15.75" x14ac:dyDescent="0.25">
      <c r="A27" s="64" t="s">
        <v>214</v>
      </c>
      <c r="B27" s="113" t="s">
        <v>56</v>
      </c>
      <c r="C27" s="128" t="s">
        <v>223</v>
      </c>
      <c r="D27" s="128">
        <v>1</v>
      </c>
      <c r="E27" s="147">
        <f>НМЦК!M31</f>
        <v>23213.67</v>
      </c>
      <c r="F27" s="147">
        <f t="shared" si="2"/>
        <v>23213.67</v>
      </c>
      <c r="G27" s="147"/>
      <c r="H27" s="147"/>
    </row>
    <row r="28" spans="1:8" ht="31.5" x14ac:dyDescent="0.25">
      <c r="A28" s="64" t="s">
        <v>215</v>
      </c>
      <c r="B28" s="113" t="s">
        <v>57</v>
      </c>
      <c r="C28" s="128" t="s">
        <v>223</v>
      </c>
      <c r="D28" s="128">
        <v>1</v>
      </c>
      <c r="E28" s="147">
        <f>НМЦК!M32</f>
        <v>111780.96</v>
      </c>
      <c r="F28" s="147">
        <f t="shared" si="2"/>
        <v>111780.96</v>
      </c>
      <c r="G28" s="147"/>
      <c r="H28" s="147"/>
    </row>
    <row r="29" spans="1:8" ht="31.5" x14ac:dyDescent="0.25">
      <c r="A29" s="64" t="s">
        <v>216</v>
      </c>
      <c r="B29" s="114" t="s">
        <v>132</v>
      </c>
      <c r="C29" s="128" t="s">
        <v>223</v>
      </c>
      <c r="D29" s="128">
        <v>1</v>
      </c>
      <c r="E29" s="147">
        <f>НМЦК!M33</f>
        <v>16211966.35</v>
      </c>
      <c r="F29" s="147">
        <f t="shared" si="2"/>
        <v>16211966.35</v>
      </c>
      <c r="G29" s="147">
        <f>G15*0.03</f>
        <v>221641.84</v>
      </c>
      <c r="H29" s="147">
        <f>G29</f>
        <v>221641.84</v>
      </c>
    </row>
    <row r="30" spans="1:8" ht="15.75" x14ac:dyDescent="0.25">
      <c r="A30" s="143"/>
      <c r="B30" s="144" t="s">
        <v>195</v>
      </c>
      <c r="C30" s="145"/>
      <c r="D30" s="145"/>
      <c r="E30" s="149">
        <f>E8+E11</f>
        <v>576232127.33000004</v>
      </c>
      <c r="F30" s="149">
        <f>E30</f>
        <v>576232127.33000004</v>
      </c>
      <c r="G30" s="149">
        <f>G8+G11</f>
        <v>7609703.0899999999</v>
      </c>
      <c r="H30" s="149">
        <f>H8+H11</f>
        <v>7609703.0899999999</v>
      </c>
    </row>
    <row r="31" spans="1:8" ht="15.75" x14ac:dyDescent="0.25">
      <c r="A31" s="143"/>
      <c r="B31" s="144" t="s">
        <v>133</v>
      </c>
      <c r="C31" s="145"/>
      <c r="D31" s="145"/>
      <c r="E31" s="149">
        <f>E30*0.2</f>
        <v>115246425.47</v>
      </c>
      <c r="F31" s="149">
        <f>E31</f>
        <v>115246425.47</v>
      </c>
      <c r="G31" s="149">
        <f>G30*0.2</f>
        <v>1521940.62</v>
      </c>
      <c r="H31" s="149">
        <f>H30*0.2</f>
        <v>1521940.62</v>
      </c>
    </row>
    <row r="32" spans="1:8" ht="15.75" x14ac:dyDescent="0.25">
      <c r="A32" s="143"/>
      <c r="B32" s="144" t="s">
        <v>196</v>
      </c>
      <c r="C32" s="145"/>
      <c r="D32" s="145"/>
      <c r="E32" s="149">
        <f>E30+E31</f>
        <v>691478552.79999995</v>
      </c>
      <c r="F32" s="149">
        <f>E32</f>
        <v>691478552.79999995</v>
      </c>
      <c r="G32" s="149">
        <f>G30+G31</f>
        <v>9131643.7100000009</v>
      </c>
      <c r="H32" s="149">
        <f>H30+H31</f>
        <v>9131643.7100000009</v>
      </c>
    </row>
    <row r="35" spans="1:7" ht="46.5" customHeight="1" x14ac:dyDescent="0.25">
      <c r="A35" s="217" t="s">
        <v>230</v>
      </c>
      <c r="B35" s="217"/>
      <c r="C35" s="217"/>
      <c r="D35" s="150"/>
      <c r="G35" s="151" t="s">
        <v>229</v>
      </c>
    </row>
  </sheetData>
  <mergeCells count="9">
    <mergeCell ref="A35:C35"/>
    <mergeCell ref="A1:H1"/>
    <mergeCell ref="B3:H3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7" workbookViewId="0">
      <selection activeCell="D9" sqref="D9:E13"/>
    </sheetView>
  </sheetViews>
  <sheetFormatPr defaultRowHeight="15" x14ac:dyDescent="0.25"/>
  <cols>
    <col min="2" max="2" width="28.5703125" customWidth="1"/>
    <col min="3" max="3" width="41.42578125" customWidth="1"/>
    <col min="4" max="4" width="24.7109375" customWidth="1"/>
    <col min="5" max="5" width="28.28515625" customWidth="1"/>
  </cols>
  <sheetData>
    <row r="1" spans="1:5" ht="15.75" x14ac:dyDescent="0.25">
      <c r="A1" s="244" t="s">
        <v>217</v>
      </c>
      <c r="B1" s="244"/>
      <c r="C1" s="244"/>
      <c r="D1" s="244"/>
      <c r="E1" s="244"/>
    </row>
    <row r="2" spans="1:5" ht="15.75" x14ac:dyDescent="0.25">
      <c r="A2" s="120"/>
      <c r="B2" s="121"/>
      <c r="C2" s="122"/>
      <c r="D2" s="74"/>
      <c r="E2" s="74"/>
    </row>
    <row r="3" spans="1:5" ht="40.5" customHeight="1" x14ac:dyDescent="0.25">
      <c r="A3" s="122" t="s">
        <v>218</v>
      </c>
      <c r="B3" s="245" t="s">
        <v>180</v>
      </c>
      <c r="C3" s="245"/>
      <c r="D3" s="245"/>
      <c r="E3" s="245"/>
    </row>
    <row r="4" spans="1:5" ht="15.75" x14ac:dyDescent="0.25">
      <c r="A4" s="123"/>
      <c r="B4" s="124"/>
      <c r="C4" s="125"/>
      <c r="D4" s="126"/>
      <c r="E4" s="126"/>
    </row>
    <row r="5" spans="1:5" x14ac:dyDescent="0.25">
      <c r="A5" s="246" t="s">
        <v>111</v>
      </c>
      <c r="B5" s="249" t="s">
        <v>219</v>
      </c>
      <c r="C5" s="249" t="s">
        <v>220</v>
      </c>
      <c r="D5" s="252" t="s">
        <v>221</v>
      </c>
      <c r="E5" s="252" t="s">
        <v>222</v>
      </c>
    </row>
    <row r="6" spans="1:5" x14ac:dyDescent="0.25">
      <c r="A6" s="247"/>
      <c r="B6" s="250"/>
      <c r="C6" s="250"/>
      <c r="D6" s="253"/>
      <c r="E6" s="253"/>
    </row>
    <row r="7" spans="1:5" ht="33" customHeight="1" x14ac:dyDescent="0.25">
      <c r="A7" s="248"/>
      <c r="B7" s="251"/>
      <c r="C7" s="251"/>
      <c r="D7" s="254"/>
      <c r="E7" s="254"/>
    </row>
    <row r="8" spans="1:5" ht="15.75" x14ac:dyDescent="0.25">
      <c r="A8" s="130">
        <v>1</v>
      </c>
      <c r="B8" s="130">
        <v>2</v>
      </c>
      <c r="C8" s="130">
        <v>3</v>
      </c>
      <c r="D8" s="131">
        <v>4</v>
      </c>
      <c r="E8" s="131">
        <v>5</v>
      </c>
    </row>
    <row r="9" spans="1:5" ht="24" customHeight="1" x14ac:dyDescent="0.25">
      <c r="A9" s="56" t="s">
        <v>183</v>
      </c>
      <c r="B9" s="56"/>
      <c r="C9" s="56" t="s">
        <v>182</v>
      </c>
      <c r="D9" s="129" t="s">
        <v>223</v>
      </c>
      <c r="E9" s="129">
        <v>1</v>
      </c>
    </row>
    <row r="10" spans="1:5" ht="34.5" customHeight="1" x14ac:dyDescent="0.25">
      <c r="A10" s="59" t="s">
        <v>122</v>
      </c>
      <c r="B10" s="110" t="s">
        <v>68</v>
      </c>
      <c r="C10" s="59" t="s">
        <v>123</v>
      </c>
      <c r="D10" s="127" t="s">
        <v>223</v>
      </c>
      <c r="E10" s="127">
        <v>1</v>
      </c>
    </row>
    <row r="11" spans="1:5" ht="46.5" customHeight="1" x14ac:dyDescent="0.25">
      <c r="A11" s="59" t="s">
        <v>124</v>
      </c>
      <c r="B11" s="114" t="s">
        <v>84</v>
      </c>
      <c r="C11" s="111" t="s">
        <v>184</v>
      </c>
      <c r="D11" s="128" t="s">
        <v>223</v>
      </c>
      <c r="E11" s="128">
        <v>1</v>
      </c>
    </row>
    <row r="12" spans="1:5" ht="46.5" customHeight="1" x14ac:dyDescent="0.25">
      <c r="A12" s="56" t="s">
        <v>134</v>
      </c>
      <c r="B12" s="56"/>
      <c r="C12" s="56" t="s">
        <v>125</v>
      </c>
      <c r="D12" s="129" t="s">
        <v>223</v>
      </c>
      <c r="E12" s="129">
        <v>1</v>
      </c>
    </row>
    <row r="13" spans="1:5" ht="31.5" x14ac:dyDescent="0.25">
      <c r="A13" s="64" t="s">
        <v>135</v>
      </c>
      <c r="B13" s="113" t="s">
        <v>27</v>
      </c>
      <c r="C13" s="113" t="s">
        <v>28</v>
      </c>
      <c r="D13" s="128" t="s">
        <v>223</v>
      </c>
      <c r="E13" s="128">
        <v>1</v>
      </c>
    </row>
    <row r="14" spans="1:5" ht="15.75" x14ac:dyDescent="0.25">
      <c r="A14" s="67" t="s">
        <v>136</v>
      </c>
      <c r="B14" s="113" t="s">
        <v>25</v>
      </c>
      <c r="C14" s="113" t="s">
        <v>26</v>
      </c>
      <c r="D14" s="128" t="s">
        <v>223</v>
      </c>
      <c r="E14" s="128">
        <v>1</v>
      </c>
    </row>
    <row r="15" spans="1:5" ht="31.5" x14ac:dyDescent="0.25">
      <c r="A15" s="64" t="s">
        <v>205</v>
      </c>
      <c r="B15" s="113" t="s">
        <v>29</v>
      </c>
      <c r="C15" s="113" t="s">
        <v>30</v>
      </c>
      <c r="D15" s="128" t="s">
        <v>223</v>
      </c>
      <c r="E15" s="128">
        <v>1</v>
      </c>
    </row>
    <row r="16" spans="1:5" ht="15.75" x14ac:dyDescent="0.25">
      <c r="A16" s="64" t="s">
        <v>201</v>
      </c>
      <c r="B16" s="113" t="s">
        <v>33</v>
      </c>
      <c r="C16" s="113" t="s">
        <v>34</v>
      </c>
      <c r="D16" s="128" t="s">
        <v>223</v>
      </c>
      <c r="E16" s="128">
        <v>1</v>
      </c>
    </row>
    <row r="17" spans="1:5" ht="15.75" x14ac:dyDescent="0.25">
      <c r="A17" s="68" t="s">
        <v>206</v>
      </c>
      <c r="B17" s="117" t="s">
        <v>126</v>
      </c>
      <c r="C17" s="117" t="s">
        <v>185</v>
      </c>
      <c r="D17" s="132" t="s">
        <v>223</v>
      </c>
      <c r="E17" s="132">
        <v>1</v>
      </c>
    </row>
    <row r="18" spans="1:5" ht="15.75" x14ac:dyDescent="0.25">
      <c r="A18" s="68" t="s">
        <v>207</v>
      </c>
      <c r="B18" s="117" t="s">
        <v>127</v>
      </c>
      <c r="C18" s="117" t="s">
        <v>186</v>
      </c>
      <c r="D18" s="132" t="s">
        <v>223</v>
      </c>
      <c r="E18" s="132">
        <v>1</v>
      </c>
    </row>
    <row r="19" spans="1:5" ht="15.75" x14ac:dyDescent="0.25">
      <c r="A19" s="68" t="s">
        <v>208</v>
      </c>
      <c r="B19" s="117" t="s">
        <v>128</v>
      </c>
      <c r="C19" s="117" t="s">
        <v>187</v>
      </c>
      <c r="D19" s="132" t="s">
        <v>223</v>
      </c>
      <c r="E19" s="132">
        <v>1</v>
      </c>
    </row>
    <row r="20" spans="1:5" ht="15.75" x14ac:dyDescent="0.25">
      <c r="A20" s="68" t="s">
        <v>209</v>
      </c>
      <c r="B20" s="117" t="s">
        <v>129</v>
      </c>
      <c r="C20" s="117" t="s">
        <v>188</v>
      </c>
      <c r="D20" s="132" t="s">
        <v>223</v>
      </c>
      <c r="E20" s="132">
        <v>1</v>
      </c>
    </row>
    <row r="21" spans="1:5" ht="15.75" x14ac:dyDescent="0.25">
      <c r="A21" s="68" t="s">
        <v>210</v>
      </c>
      <c r="B21" s="117" t="s">
        <v>130</v>
      </c>
      <c r="C21" s="117" t="s">
        <v>189</v>
      </c>
      <c r="D21" s="132" t="s">
        <v>223</v>
      </c>
      <c r="E21" s="132">
        <v>1</v>
      </c>
    </row>
    <row r="22" spans="1:5" ht="15.75" x14ac:dyDescent="0.25">
      <c r="A22" s="68" t="s">
        <v>211</v>
      </c>
      <c r="B22" s="117" t="s">
        <v>131</v>
      </c>
      <c r="C22" s="117" t="s">
        <v>190</v>
      </c>
      <c r="D22" s="132" t="s">
        <v>223</v>
      </c>
      <c r="E22" s="132">
        <v>1</v>
      </c>
    </row>
    <row r="23" spans="1:5" ht="15.75" x14ac:dyDescent="0.25">
      <c r="A23" s="64" t="s">
        <v>204</v>
      </c>
      <c r="B23" s="113" t="s">
        <v>43</v>
      </c>
      <c r="C23" s="113" t="s">
        <v>44</v>
      </c>
      <c r="D23" s="128" t="s">
        <v>223</v>
      </c>
      <c r="E23" s="128">
        <v>1</v>
      </c>
    </row>
    <row r="24" spans="1:5" ht="15.75" x14ac:dyDescent="0.25">
      <c r="A24" s="68" t="s">
        <v>212</v>
      </c>
      <c r="B24" s="118" t="s">
        <v>191</v>
      </c>
      <c r="C24" s="118" t="s">
        <v>192</v>
      </c>
      <c r="D24" s="132" t="s">
        <v>223</v>
      </c>
      <c r="E24" s="132">
        <v>1</v>
      </c>
    </row>
    <row r="25" spans="1:5" ht="15.75" x14ac:dyDescent="0.25">
      <c r="A25" s="68" t="s">
        <v>213</v>
      </c>
      <c r="B25" s="118" t="s">
        <v>193</v>
      </c>
      <c r="C25" s="118" t="s">
        <v>194</v>
      </c>
      <c r="D25" s="132" t="s">
        <v>223</v>
      </c>
      <c r="E25" s="132">
        <v>1</v>
      </c>
    </row>
    <row r="26" spans="1:5" ht="94.5" x14ac:dyDescent="0.25">
      <c r="A26" s="64" t="s">
        <v>203</v>
      </c>
      <c r="B26" s="113" t="s">
        <v>52</v>
      </c>
      <c r="C26" s="113" t="s">
        <v>53</v>
      </c>
      <c r="D26" s="128" t="s">
        <v>223</v>
      </c>
      <c r="E26" s="128">
        <v>1</v>
      </c>
    </row>
    <row r="27" spans="1:5" ht="31.5" x14ac:dyDescent="0.25">
      <c r="A27" s="64" t="s">
        <v>202</v>
      </c>
      <c r="B27" s="113" t="s">
        <v>54</v>
      </c>
      <c r="C27" s="113" t="s">
        <v>55</v>
      </c>
      <c r="D27" s="128" t="s">
        <v>223</v>
      </c>
      <c r="E27" s="128">
        <v>1</v>
      </c>
    </row>
    <row r="28" spans="1:5" ht="15.75" x14ac:dyDescent="0.25">
      <c r="A28" s="64" t="s">
        <v>214</v>
      </c>
      <c r="B28" s="113" t="s">
        <v>54</v>
      </c>
      <c r="C28" s="113" t="s">
        <v>56</v>
      </c>
      <c r="D28" s="128" t="s">
        <v>223</v>
      </c>
      <c r="E28" s="128">
        <v>1</v>
      </c>
    </row>
    <row r="29" spans="1:5" ht="31.5" x14ac:dyDescent="0.25">
      <c r="A29" s="64" t="s">
        <v>215</v>
      </c>
      <c r="B29" s="113" t="s">
        <v>54</v>
      </c>
      <c r="C29" s="113" t="s">
        <v>57</v>
      </c>
      <c r="D29" s="128" t="s">
        <v>223</v>
      </c>
      <c r="E29" s="128">
        <v>1</v>
      </c>
    </row>
    <row r="30" spans="1:5" ht="31.5" x14ac:dyDescent="0.25">
      <c r="A30" s="64" t="s">
        <v>216</v>
      </c>
      <c r="B30" s="114" t="s">
        <v>84</v>
      </c>
      <c r="C30" s="114" t="s">
        <v>132</v>
      </c>
      <c r="D30" s="128" t="s">
        <v>223</v>
      </c>
      <c r="E30" s="128">
        <v>1</v>
      </c>
    </row>
    <row r="33" spans="1:5" ht="49.5" customHeight="1" x14ac:dyDescent="0.25">
      <c r="A33" s="217" t="s">
        <v>230</v>
      </c>
      <c r="B33" s="217"/>
      <c r="C33" s="217"/>
      <c r="D33" s="150"/>
      <c r="E33" s="151" t="s">
        <v>229</v>
      </c>
    </row>
  </sheetData>
  <mergeCells count="8">
    <mergeCell ref="A33:C33"/>
    <mergeCell ref="A1:E1"/>
    <mergeCell ref="B3:E3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topLeftCell="A28" workbookViewId="0">
      <selection activeCell="M33" sqref="M33"/>
    </sheetView>
  </sheetViews>
  <sheetFormatPr defaultRowHeight="15" outlineLevelCol="1" x14ac:dyDescent="0.25"/>
  <cols>
    <col min="2" max="2" width="19.5703125" customWidth="1"/>
    <col min="3" max="3" width="55" customWidth="1"/>
    <col min="4" max="4" width="16.5703125" customWidth="1" outlineLevel="1"/>
    <col min="5" max="5" width="15.7109375" customWidth="1" outlineLevel="1"/>
    <col min="6" max="6" width="21.140625" customWidth="1" outlineLevel="1"/>
    <col min="7" max="7" width="17.5703125" customWidth="1" outlineLevel="1"/>
    <col min="8" max="8" width="17.42578125" customWidth="1" outlineLevel="1"/>
    <col min="9" max="9" width="17.140625" customWidth="1"/>
    <col min="10" max="10" width="19.28515625" customWidth="1"/>
    <col min="11" max="11" width="19.42578125" customWidth="1"/>
    <col min="12" max="12" width="17" customWidth="1"/>
    <col min="13" max="13" width="20.140625" customWidth="1"/>
  </cols>
  <sheetData>
    <row r="1" spans="1:13" ht="15.75" x14ac:dyDescent="0.25">
      <c r="A1" s="257" t="s">
        <v>176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x14ac:dyDescent="0.25">
      <c r="A3" s="258" t="s">
        <v>180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5.75" x14ac:dyDescent="0.25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 x14ac:dyDescent="0.25">
      <c r="A5" s="259" t="s">
        <v>181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ht="15.75" x14ac:dyDescent="0.25">
      <c r="A6" s="45" t="s">
        <v>110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26.25" customHeight="1" x14ac:dyDescent="0.25">
      <c r="A7" s="208" t="s">
        <v>289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58.5" customHeight="1" x14ac:dyDescent="0.25">
      <c r="A8" s="260" t="s">
        <v>177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ht="30" customHeight="1" x14ac:dyDescent="0.25">
      <c r="A9" s="261" t="s">
        <v>178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0" spans="1:13" ht="141.75" x14ac:dyDescent="0.25">
      <c r="A10" s="48" t="s">
        <v>111</v>
      </c>
      <c r="B10" s="48" t="s">
        <v>13</v>
      </c>
      <c r="C10" s="49" t="s">
        <v>112</v>
      </c>
      <c r="D10" s="50" t="s">
        <v>113</v>
      </c>
      <c r="E10" s="51" t="s">
        <v>114</v>
      </c>
      <c r="F10" s="50" t="s">
        <v>115</v>
      </c>
      <c r="G10" s="50" t="s">
        <v>116</v>
      </c>
      <c r="H10" s="52" t="s">
        <v>117</v>
      </c>
      <c r="I10" s="53" t="s">
        <v>179</v>
      </c>
      <c r="J10" s="53" t="s">
        <v>118</v>
      </c>
      <c r="K10" s="53" t="s">
        <v>119</v>
      </c>
      <c r="L10" s="53" t="s">
        <v>120</v>
      </c>
      <c r="M10" s="53" t="s">
        <v>121</v>
      </c>
    </row>
    <row r="11" spans="1:13" ht="15.75" x14ac:dyDescent="0.25">
      <c r="A11" s="48">
        <v>1</v>
      </c>
      <c r="B11" s="48"/>
      <c r="C11" s="48">
        <v>2</v>
      </c>
      <c r="D11" s="54"/>
      <c r="E11" s="54"/>
      <c r="F11" s="54"/>
      <c r="G11" s="54"/>
      <c r="H11" s="54"/>
      <c r="I11" s="55">
        <v>3</v>
      </c>
      <c r="J11" s="55">
        <v>4</v>
      </c>
      <c r="K11" s="55">
        <v>5</v>
      </c>
      <c r="L11" s="55">
        <v>6</v>
      </c>
      <c r="M11" s="55">
        <v>7</v>
      </c>
    </row>
    <row r="12" spans="1:13" ht="30.75" customHeight="1" x14ac:dyDescent="0.25">
      <c r="A12" s="56" t="s">
        <v>183</v>
      </c>
      <c r="B12" s="56"/>
      <c r="C12" s="56" t="s">
        <v>182</v>
      </c>
      <c r="D12" s="57"/>
      <c r="E12" s="57"/>
      <c r="F12" s="57"/>
      <c r="G12" s="57"/>
      <c r="H12" s="57"/>
      <c r="I12" s="58">
        <f>I13+I14</f>
        <v>18876032.48</v>
      </c>
      <c r="J12" s="58"/>
      <c r="K12" s="58">
        <f>K13+K14</f>
        <v>19262991.149999999</v>
      </c>
      <c r="L12" s="58"/>
      <c r="M12" s="58">
        <f>M13+M14</f>
        <v>19621282.789999999</v>
      </c>
    </row>
    <row r="13" spans="1:13" ht="30.75" customHeight="1" x14ac:dyDescent="0.25">
      <c r="A13" s="59" t="s">
        <v>122</v>
      </c>
      <c r="B13" s="110" t="s">
        <v>68</v>
      </c>
      <c r="C13" s="59" t="s">
        <v>123</v>
      </c>
      <c r="D13" s="60"/>
      <c r="E13" s="60"/>
      <c r="F13" s="60"/>
      <c r="G13" s="60"/>
      <c r="H13" s="60"/>
      <c r="I13" s="61">
        <v>18326245.129999999</v>
      </c>
      <c r="J13" s="62">
        <f>$F$53</f>
        <v>1.0205</v>
      </c>
      <c r="K13" s="61">
        <f>I13*J13</f>
        <v>18701933.16</v>
      </c>
      <c r="L13" s="62">
        <f>F67</f>
        <v>1.0185999999999999</v>
      </c>
      <c r="M13" s="61">
        <f>K13*L13</f>
        <v>19049789.120000001</v>
      </c>
    </row>
    <row r="14" spans="1:13" ht="62.25" customHeight="1" x14ac:dyDescent="0.25">
      <c r="A14" s="59" t="s">
        <v>124</v>
      </c>
      <c r="B14" s="114" t="s">
        <v>84</v>
      </c>
      <c r="C14" s="111" t="s">
        <v>184</v>
      </c>
      <c r="D14" s="60"/>
      <c r="E14" s="60"/>
      <c r="F14" s="60"/>
      <c r="G14" s="60"/>
      <c r="H14" s="60"/>
      <c r="I14" s="61">
        <f>I13*0.03</f>
        <v>549787.35</v>
      </c>
      <c r="J14" s="62">
        <f>$F$53</f>
        <v>1.0205</v>
      </c>
      <c r="K14" s="61">
        <f>I14*J14</f>
        <v>561057.99</v>
      </c>
      <c r="L14" s="62">
        <f>F67</f>
        <v>1.0185999999999999</v>
      </c>
      <c r="M14" s="61">
        <f>K14*L14</f>
        <v>571493.67000000004</v>
      </c>
    </row>
    <row r="15" spans="1:13" ht="30.75" customHeight="1" x14ac:dyDescent="0.25">
      <c r="A15" s="56" t="s">
        <v>134</v>
      </c>
      <c r="B15" s="56"/>
      <c r="C15" s="56" t="s">
        <v>125</v>
      </c>
      <c r="D15" s="57"/>
      <c r="E15" s="57"/>
      <c r="F15" s="57"/>
      <c r="G15" s="57"/>
      <c r="H15" s="57"/>
      <c r="I15" s="58">
        <f>I16+I17+I18+I19+I26+I29+I30+I31+I32+I33</f>
        <v>523193802.38</v>
      </c>
      <c r="J15" s="63"/>
      <c r="K15" s="58">
        <f>K16+K17+K18+K19+K26+K29+K30+K31+K32+K33</f>
        <v>533919275.31999999</v>
      </c>
      <c r="L15" s="63"/>
      <c r="M15" s="58">
        <f>M16+M17+M18+M19+M26+M29+M30+M31+M32+M33</f>
        <v>556610844.53999996</v>
      </c>
    </row>
    <row r="16" spans="1:13" ht="33" customHeight="1" x14ac:dyDescent="0.25">
      <c r="A16" s="64" t="s">
        <v>135</v>
      </c>
      <c r="B16" s="113" t="s">
        <v>27</v>
      </c>
      <c r="C16" s="113" t="s">
        <v>28</v>
      </c>
      <c r="D16" s="65"/>
      <c r="E16" s="65"/>
      <c r="F16" s="65"/>
      <c r="G16" s="65"/>
      <c r="H16" s="65"/>
      <c r="I16" s="65">
        <v>141760</v>
      </c>
      <c r="J16" s="62">
        <f>$F$53</f>
        <v>1.0205</v>
      </c>
      <c r="K16" s="61">
        <f t="shared" ref="K16:K18" si="0">I16*J16</f>
        <v>144666.07999999999</v>
      </c>
      <c r="L16" s="66">
        <f>$F$83</f>
        <v>1.0425</v>
      </c>
      <c r="M16" s="61">
        <f t="shared" ref="M16:M18" si="1">K16*L16</f>
        <v>150814.39000000001</v>
      </c>
    </row>
    <row r="17" spans="1:13" ht="27" customHeight="1" x14ac:dyDescent="0.25">
      <c r="A17" s="67" t="s">
        <v>136</v>
      </c>
      <c r="B17" s="113" t="s">
        <v>25</v>
      </c>
      <c r="C17" s="113" t="s">
        <v>26</v>
      </c>
      <c r="D17" s="65">
        <v>2647800.81</v>
      </c>
      <c r="E17" s="65"/>
      <c r="F17" s="65"/>
      <c r="G17" s="65">
        <f>F17+E17+D17</f>
        <v>2647800.81</v>
      </c>
      <c r="H17" s="65">
        <f>D17*1.031*1.005-D17*0.031*0.15+E17+F17</f>
        <v>2731219.77</v>
      </c>
      <c r="I17" s="65">
        <f>H17</f>
        <v>2731219.77</v>
      </c>
      <c r="J17" s="62">
        <f>$F$53</f>
        <v>1.0205</v>
      </c>
      <c r="K17" s="61">
        <f t="shared" si="0"/>
        <v>2787209.78</v>
      </c>
      <c r="L17" s="66">
        <f>$F$83</f>
        <v>1.0425</v>
      </c>
      <c r="M17" s="61">
        <f t="shared" si="1"/>
        <v>2905666.2</v>
      </c>
    </row>
    <row r="18" spans="1:13" ht="36" customHeight="1" x14ac:dyDescent="0.25">
      <c r="A18" s="64" t="s">
        <v>205</v>
      </c>
      <c r="B18" s="113" t="s">
        <v>29</v>
      </c>
      <c r="C18" s="113" t="s">
        <v>30</v>
      </c>
      <c r="D18" s="65">
        <v>1274873.68</v>
      </c>
      <c r="E18" s="65"/>
      <c r="F18" s="65"/>
      <c r="G18" s="65">
        <f>F18+E18+D18</f>
        <v>1274873.68</v>
      </c>
      <c r="H18" s="65">
        <f>D18*1.031*1.005-D18*0.031*0.15+E18+F18</f>
        <v>1315038.58</v>
      </c>
      <c r="I18" s="65">
        <f>H18</f>
        <v>1315038.58</v>
      </c>
      <c r="J18" s="62">
        <f>$F$53</f>
        <v>1.0205</v>
      </c>
      <c r="K18" s="61">
        <f t="shared" si="0"/>
        <v>1341996.8700000001</v>
      </c>
      <c r="L18" s="66">
        <f>$F$83</f>
        <v>1.0425</v>
      </c>
      <c r="M18" s="61">
        <f t="shared" si="1"/>
        <v>1399031.74</v>
      </c>
    </row>
    <row r="19" spans="1:13" ht="40.5" customHeight="1" x14ac:dyDescent="0.25">
      <c r="A19" s="64" t="s">
        <v>201</v>
      </c>
      <c r="B19" s="113" t="s">
        <v>33</v>
      </c>
      <c r="C19" s="113" t="s">
        <v>34</v>
      </c>
      <c r="D19" s="65">
        <f t="shared" ref="D19:I19" si="2">D20+D21+D22+D23+D24+D25</f>
        <v>452326388.06</v>
      </c>
      <c r="E19" s="65">
        <f t="shared" si="2"/>
        <v>6944506.9100000001</v>
      </c>
      <c r="F19" s="65">
        <f t="shared" si="2"/>
        <v>0</v>
      </c>
      <c r="G19" s="65">
        <f t="shared" si="2"/>
        <v>459270894.97000003</v>
      </c>
      <c r="H19" s="65">
        <f t="shared" si="2"/>
        <v>473521437.81999999</v>
      </c>
      <c r="I19" s="65">
        <f t="shared" si="2"/>
        <v>473521437.81999999</v>
      </c>
      <c r="J19" s="65"/>
      <c r="K19" s="65">
        <f>K20+K21+K22+K23+K24+K25</f>
        <v>483228627.27999997</v>
      </c>
      <c r="L19" s="66"/>
      <c r="M19" s="65">
        <f>M20+M21+M22+M23+M24+M25</f>
        <v>503765843.95999998</v>
      </c>
    </row>
    <row r="20" spans="1:13" ht="15.75" x14ac:dyDescent="0.25">
      <c r="A20" s="68" t="s">
        <v>206</v>
      </c>
      <c r="B20" s="117" t="s">
        <v>126</v>
      </c>
      <c r="C20" s="117" t="s">
        <v>185</v>
      </c>
      <c r="D20" s="69">
        <v>45673515.140000001</v>
      </c>
      <c r="E20" s="69"/>
      <c r="F20" s="69"/>
      <c r="G20" s="69">
        <f t="shared" ref="G20:G25" si="3">F20+E20+D20</f>
        <v>45673515.140000001</v>
      </c>
      <c r="H20" s="69">
        <f t="shared" ref="H20:H25" si="4">D20*1.031*1.005-D20*0.031*0.15+E20+F20</f>
        <v>47112459.229999997</v>
      </c>
      <c r="I20" s="69">
        <f t="shared" ref="I20:I25" si="5">H20</f>
        <v>47112459.229999997</v>
      </c>
      <c r="J20" s="70">
        <f>$F$53</f>
        <v>1.0205</v>
      </c>
      <c r="K20" s="119">
        <f t="shared" ref="K20:K25" si="6">I20*J20</f>
        <v>48078264.640000001</v>
      </c>
      <c r="L20" s="71">
        <f t="shared" ref="L20:L25" si="7">$F$83</f>
        <v>1.0425</v>
      </c>
      <c r="M20" s="119">
        <f t="shared" ref="M20:M25" si="8">K20*L20</f>
        <v>50121590.890000001</v>
      </c>
    </row>
    <row r="21" spans="1:13" ht="15.75" x14ac:dyDescent="0.25">
      <c r="A21" s="68" t="s">
        <v>207</v>
      </c>
      <c r="B21" s="117" t="s">
        <v>127</v>
      </c>
      <c r="C21" s="117" t="s">
        <v>186</v>
      </c>
      <c r="D21" s="69">
        <v>101473059.69</v>
      </c>
      <c r="E21" s="69"/>
      <c r="F21" s="69"/>
      <c r="G21" s="69">
        <f t="shared" si="3"/>
        <v>101473059.69</v>
      </c>
      <c r="H21" s="69">
        <f t="shared" si="4"/>
        <v>104669968.44</v>
      </c>
      <c r="I21" s="69">
        <f t="shared" si="5"/>
        <v>104669968.44</v>
      </c>
      <c r="J21" s="70">
        <f t="shared" ref="J21:J28" si="9">$F$53</f>
        <v>1.0205</v>
      </c>
      <c r="K21" s="119">
        <f t="shared" si="6"/>
        <v>106815702.79000001</v>
      </c>
      <c r="L21" s="71">
        <f t="shared" si="7"/>
        <v>1.0425</v>
      </c>
      <c r="M21" s="119">
        <f t="shared" si="8"/>
        <v>111355370.16</v>
      </c>
    </row>
    <row r="22" spans="1:13" ht="15.75" x14ac:dyDescent="0.25">
      <c r="A22" s="68" t="s">
        <v>208</v>
      </c>
      <c r="B22" s="117" t="s">
        <v>128</v>
      </c>
      <c r="C22" s="117" t="s">
        <v>187</v>
      </c>
      <c r="D22" s="69">
        <f>343623.42+578175.32</f>
        <v>921798.74</v>
      </c>
      <c r="E22" s="69">
        <v>6944506.9100000001</v>
      </c>
      <c r="F22" s="69"/>
      <c r="G22" s="69">
        <f t="shared" si="3"/>
        <v>7866305.6500000004</v>
      </c>
      <c r="H22" s="69">
        <f t="shared" si="4"/>
        <v>7895346.9199999999</v>
      </c>
      <c r="I22" s="69">
        <f t="shared" si="5"/>
        <v>7895346.9199999999</v>
      </c>
      <c r="J22" s="70">
        <f t="shared" si="9"/>
        <v>1.0205</v>
      </c>
      <c r="K22" s="119">
        <f t="shared" si="6"/>
        <v>8057201.5300000003</v>
      </c>
      <c r="L22" s="71">
        <f t="shared" si="7"/>
        <v>1.0425</v>
      </c>
      <c r="M22" s="119">
        <f t="shared" si="8"/>
        <v>8399632.5999999996</v>
      </c>
    </row>
    <row r="23" spans="1:13" ht="15.75" x14ac:dyDescent="0.25">
      <c r="A23" s="68" t="s">
        <v>209</v>
      </c>
      <c r="B23" s="117" t="s">
        <v>129</v>
      </c>
      <c r="C23" s="117" t="s">
        <v>188</v>
      </c>
      <c r="D23" s="69">
        <v>251640366.88999999</v>
      </c>
      <c r="E23" s="69"/>
      <c r="F23" s="69"/>
      <c r="G23" s="69">
        <f t="shared" si="3"/>
        <v>251640366.88999999</v>
      </c>
      <c r="H23" s="69">
        <f t="shared" si="4"/>
        <v>259568296.65000001</v>
      </c>
      <c r="I23" s="69">
        <f t="shared" si="5"/>
        <v>259568296.65000001</v>
      </c>
      <c r="J23" s="70">
        <f t="shared" si="9"/>
        <v>1.0205</v>
      </c>
      <c r="K23" s="119">
        <f t="shared" si="6"/>
        <v>264889446.72999999</v>
      </c>
      <c r="L23" s="71">
        <f t="shared" si="7"/>
        <v>1.0425</v>
      </c>
      <c r="M23" s="119">
        <f t="shared" si="8"/>
        <v>276147248.22000003</v>
      </c>
    </row>
    <row r="24" spans="1:13" ht="15.75" x14ac:dyDescent="0.25">
      <c r="A24" s="68" t="s">
        <v>210</v>
      </c>
      <c r="B24" s="117" t="s">
        <v>130</v>
      </c>
      <c r="C24" s="117" t="s">
        <v>189</v>
      </c>
      <c r="D24" s="69">
        <v>7702288.3200000003</v>
      </c>
      <c r="E24" s="69"/>
      <c r="F24" s="69"/>
      <c r="G24" s="69">
        <f t="shared" si="3"/>
        <v>7702288.3200000003</v>
      </c>
      <c r="H24" s="69">
        <f t="shared" si="4"/>
        <v>7944948.9100000001</v>
      </c>
      <c r="I24" s="69">
        <f t="shared" si="5"/>
        <v>7944948.9100000001</v>
      </c>
      <c r="J24" s="70">
        <f t="shared" si="9"/>
        <v>1.0205</v>
      </c>
      <c r="K24" s="119">
        <f t="shared" si="6"/>
        <v>8107820.3600000003</v>
      </c>
      <c r="L24" s="71">
        <f t="shared" si="7"/>
        <v>1.0425</v>
      </c>
      <c r="M24" s="119">
        <f t="shared" si="8"/>
        <v>8452402.7300000004</v>
      </c>
    </row>
    <row r="25" spans="1:13" ht="15.75" x14ac:dyDescent="0.25">
      <c r="A25" s="68" t="s">
        <v>211</v>
      </c>
      <c r="B25" s="117" t="s">
        <v>131</v>
      </c>
      <c r="C25" s="117" t="s">
        <v>190</v>
      </c>
      <c r="D25" s="69">
        <v>44915359.280000001</v>
      </c>
      <c r="E25" s="69"/>
      <c r="F25" s="69"/>
      <c r="G25" s="69">
        <f t="shared" si="3"/>
        <v>44915359.280000001</v>
      </c>
      <c r="H25" s="69">
        <f t="shared" si="4"/>
        <v>46330417.670000002</v>
      </c>
      <c r="I25" s="69">
        <f t="shared" si="5"/>
        <v>46330417.670000002</v>
      </c>
      <c r="J25" s="70">
        <f t="shared" si="9"/>
        <v>1.0205</v>
      </c>
      <c r="K25" s="119">
        <f t="shared" si="6"/>
        <v>47280191.229999997</v>
      </c>
      <c r="L25" s="71">
        <f t="shared" si="7"/>
        <v>1.0425</v>
      </c>
      <c r="M25" s="119">
        <f t="shared" si="8"/>
        <v>49289599.359999999</v>
      </c>
    </row>
    <row r="26" spans="1:13" ht="21" customHeight="1" x14ac:dyDescent="0.25">
      <c r="A26" s="64" t="s">
        <v>204</v>
      </c>
      <c r="B26" s="113" t="s">
        <v>43</v>
      </c>
      <c r="C26" s="113" t="s">
        <v>44</v>
      </c>
      <c r="D26" s="65">
        <f>D27+D28</f>
        <v>27126549.800000001</v>
      </c>
      <c r="E26" s="69"/>
      <c r="F26" s="69"/>
      <c r="G26" s="65">
        <f>G27+G28</f>
        <v>27126549.800000001</v>
      </c>
      <c r="H26" s="65">
        <f>H27+H28</f>
        <v>27262182.550000001</v>
      </c>
      <c r="I26" s="65">
        <f>I27+I28</f>
        <v>27262182.550000001</v>
      </c>
      <c r="J26" s="70"/>
      <c r="K26" s="65">
        <f>K27+K28</f>
        <v>27821057.289999999</v>
      </c>
      <c r="L26" s="71"/>
      <c r="M26" s="65">
        <f>M27+M28</f>
        <v>29003452.219999999</v>
      </c>
    </row>
    <row r="27" spans="1:13" ht="15.75" x14ac:dyDescent="0.25">
      <c r="A27" s="68" t="s">
        <v>212</v>
      </c>
      <c r="B27" s="118" t="s">
        <v>191</v>
      </c>
      <c r="C27" s="118" t="s">
        <v>192</v>
      </c>
      <c r="D27" s="69">
        <v>20170886.050000001</v>
      </c>
      <c r="E27" s="69"/>
      <c r="F27" s="69"/>
      <c r="G27" s="69">
        <f>F27+E27+D27</f>
        <v>20170886.050000001</v>
      </c>
      <c r="H27" s="69">
        <f>G27*1.005</f>
        <v>20271740.48</v>
      </c>
      <c r="I27" s="69">
        <f>H27</f>
        <v>20271740.48</v>
      </c>
      <c r="J27" s="70">
        <f t="shared" si="9"/>
        <v>1.0205</v>
      </c>
      <c r="K27" s="119">
        <f t="shared" ref="K27:K33" si="10">I27*J27</f>
        <v>20687311.16</v>
      </c>
      <c r="L27" s="71">
        <f t="shared" ref="L27:L33" si="11">$F$83</f>
        <v>1.0425</v>
      </c>
      <c r="M27" s="119">
        <f t="shared" ref="M27:M32" si="12">K27*L27</f>
        <v>21566521.879999999</v>
      </c>
    </row>
    <row r="28" spans="1:13" ht="15.75" x14ac:dyDescent="0.25">
      <c r="A28" s="68" t="s">
        <v>213</v>
      </c>
      <c r="B28" s="118" t="s">
        <v>193</v>
      </c>
      <c r="C28" s="118" t="s">
        <v>194</v>
      </c>
      <c r="D28" s="69">
        <v>6955663.75</v>
      </c>
      <c r="E28" s="69"/>
      <c r="F28" s="69"/>
      <c r="G28" s="69">
        <f>F28+E28+D28</f>
        <v>6955663.75</v>
      </c>
      <c r="H28" s="69">
        <f>G28*1.005</f>
        <v>6990442.0700000003</v>
      </c>
      <c r="I28" s="69">
        <f>H28</f>
        <v>6990442.0700000003</v>
      </c>
      <c r="J28" s="70">
        <f t="shared" si="9"/>
        <v>1.0205</v>
      </c>
      <c r="K28" s="119">
        <f t="shared" si="10"/>
        <v>7133746.1299999999</v>
      </c>
      <c r="L28" s="71">
        <f t="shared" si="11"/>
        <v>1.0425</v>
      </c>
      <c r="M28" s="119">
        <f t="shared" si="12"/>
        <v>7436930.3399999999</v>
      </c>
    </row>
    <row r="29" spans="1:13" ht="78.75" x14ac:dyDescent="0.25">
      <c r="A29" s="64" t="s">
        <v>203</v>
      </c>
      <c r="B29" s="113" t="s">
        <v>52</v>
      </c>
      <c r="C29" s="113" t="s">
        <v>53</v>
      </c>
      <c r="D29" s="69"/>
      <c r="E29" s="69"/>
      <c r="F29" s="69"/>
      <c r="G29" s="69"/>
      <c r="H29" s="69"/>
      <c r="I29" s="65">
        <v>2856559.22</v>
      </c>
      <c r="J29" s="62">
        <f>$F$53</f>
        <v>1.0205</v>
      </c>
      <c r="K29" s="61">
        <f t="shared" si="10"/>
        <v>2915118.68</v>
      </c>
      <c r="L29" s="66">
        <f t="shared" si="11"/>
        <v>1.0425</v>
      </c>
      <c r="M29" s="61">
        <f t="shared" si="12"/>
        <v>3039011.22</v>
      </c>
    </row>
    <row r="30" spans="1:13" ht="31.5" x14ac:dyDescent="0.25">
      <c r="A30" s="64" t="s">
        <v>202</v>
      </c>
      <c r="B30" s="113" t="s">
        <v>54</v>
      </c>
      <c r="C30" s="113" t="s">
        <v>55</v>
      </c>
      <c r="D30" s="69"/>
      <c r="E30" s="69"/>
      <c r="F30" s="69"/>
      <c r="G30" s="69"/>
      <c r="H30" s="69"/>
      <c r="I30" s="65">
        <f>0.06*1000</f>
        <v>60</v>
      </c>
      <c r="J30" s="62">
        <f>$F$53</f>
        <v>1.0205</v>
      </c>
      <c r="K30" s="61">
        <f t="shared" si="10"/>
        <v>61.23</v>
      </c>
      <c r="L30" s="66">
        <f t="shared" si="11"/>
        <v>1.0425</v>
      </c>
      <c r="M30" s="61">
        <f t="shared" si="12"/>
        <v>63.83</v>
      </c>
    </row>
    <row r="31" spans="1:13" ht="31.5" x14ac:dyDescent="0.25">
      <c r="A31" s="64" t="s">
        <v>214</v>
      </c>
      <c r="B31" s="113" t="s">
        <v>54</v>
      </c>
      <c r="C31" s="113" t="s">
        <v>56</v>
      </c>
      <c r="D31" s="69"/>
      <c r="E31" s="69"/>
      <c r="F31" s="69"/>
      <c r="G31" s="69"/>
      <c r="H31" s="69"/>
      <c r="I31" s="65">
        <f>21.82*1000</f>
        <v>21820</v>
      </c>
      <c r="J31" s="62">
        <f>$F$53</f>
        <v>1.0205</v>
      </c>
      <c r="K31" s="61">
        <f t="shared" si="10"/>
        <v>22267.31</v>
      </c>
      <c r="L31" s="66">
        <f t="shared" si="11"/>
        <v>1.0425</v>
      </c>
      <c r="M31" s="61">
        <f t="shared" si="12"/>
        <v>23213.67</v>
      </c>
    </row>
    <row r="32" spans="1:13" ht="31.5" x14ac:dyDescent="0.25">
      <c r="A32" s="64" t="s">
        <v>215</v>
      </c>
      <c r="B32" s="113" t="s">
        <v>54</v>
      </c>
      <c r="C32" s="113" t="s">
        <v>57</v>
      </c>
      <c r="D32" s="69"/>
      <c r="E32" s="69"/>
      <c r="F32" s="69"/>
      <c r="G32" s="69"/>
      <c r="H32" s="69"/>
      <c r="I32" s="212">
        <f>105.07*1000</f>
        <v>105070</v>
      </c>
      <c r="J32" s="62">
        <f>$F$53</f>
        <v>1.0205</v>
      </c>
      <c r="K32" s="61">
        <f t="shared" si="10"/>
        <v>107223.94</v>
      </c>
      <c r="L32" s="66">
        <f t="shared" si="11"/>
        <v>1.0425</v>
      </c>
      <c r="M32" s="61">
        <f t="shared" si="12"/>
        <v>111780.96</v>
      </c>
    </row>
    <row r="33" spans="1:15" ht="47.25" x14ac:dyDescent="0.25">
      <c r="A33" s="64" t="s">
        <v>216</v>
      </c>
      <c r="B33" s="114" t="s">
        <v>84</v>
      </c>
      <c r="C33" s="114" t="s">
        <v>132</v>
      </c>
      <c r="D33" s="69"/>
      <c r="E33" s="69"/>
      <c r="F33" s="69"/>
      <c r="G33" s="69"/>
      <c r="H33" s="69"/>
      <c r="I33" s="65">
        <f>(I16+I17+I18+I19+I26+I29+I30+I31+I32)*0.03</f>
        <v>15238654.439999999</v>
      </c>
      <c r="J33" s="62">
        <f>$F$53</f>
        <v>1.0205</v>
      </c>
      <c r="K33" s="61">
        <f t="shared" si="10"/>
        <v>15551046.859999999</v>
      </c>
      <c r="L33" s="66">
        <f t="shared" si="11"/>
        <v>1.0425</v>
      </c>
      <c r="M33" s="61">
        <f>K33*L33</f>
        <v>16211966.35</v>
      </c>
    </row>
    <row r="34" spans="1:15" ht="19.5" customHeight="1" x14ac:dyDescent="0.25">
      <c r="A34" s="112"/>
      <c r="B34" s="115"/>
      <c r="C34" s="116" t="s">
        <v>195</v>
      </c>
      <c r="D34" s="72"/>
      <c r="E34" s="72"/>
      <c r="F34" s="72"/>
      <c r="G34" s="72"/>
      <c r="H34" s="72"/>
      <c r="I34" s="73">
        <f>I12+I15</f>
        <v>542069834.86000001</v>
      </c>
      <c r="J34" s="73"/>
      <c r="K34" s="73">
        <f>K12+K15</f>
        <v>553182266.47000003</v>
      </c>
      <c r="L34" s="73"/>
      <c r="M34" s="73">
        <f>M12+M15</f>
        <v>576232127.33000004</v>
      </c>
    </row>
    <row r="35" spans="1:15" ht="15.75" x14ac:dyDescent="0.25">
      <c r="A35" s="112"/>
      <c r="B35" s="115"/>
      <c r="C35" s="116" t="s">
        <v>133</v>
      </c>
      <c r="D35" s="72"/>
      <c r="E35" s="72"/>
      <c r="F35" s="72"/>
      <c r="G35" s="72"/>
      <c r="H35" s="72"/>
      <c r="I35" s="73">
        <f>I34*0.2</f>
        <v>108413966.97</v>
      </c>
      <c r="J35" s="73"/>
      <c r="K35" s="73">
        <f>K34*0.2</f>
        <v>110636453.29000001</v>
      </c>
      <c r="L35" s="73"/>
      <c r="M35" s="73">
        <f>M34*0.2</f>
        <v>115246425.47</v>
      </c>
    </row>
    <row r="36" spans="1:15" ht="20.25" customHeight="1" x14ac:dyDescent="0.25">
      <c r="A36" s="112"/>
      <c r="B36" s="115"/>
      <c r="C36" s="116" t="s">
        <v>196</v>
      </c>
      <c r="D36" s="72"/>
      <c r="E36" s="72"/>
      <c r="F36" s="72"/>
      <c r="G36" s="72"/>
      <c r="H36" s="72"/>
      <c r="I36" s="73">
        <f>I34+I35</f>
        <v>650483801.83000004</v>
      </c>
      <c r="J36" s="73"/>
      <c r="K36" s="73">
        <f>K34+K35</f>
        <v>663818719.75999999</v>
      </c>
      <c r="L36" s="73"/>
      <c r="M36" s="73">
        <f>M34+M35</f>
        <v>691478552.79999995</v>
      </c>
    </row>
    <row r="37" spans="1:15" ht="15.75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15" ht="15.75" x14ac:dyDescent="0.25">
      <c r="A38" s="74"/>
      <c r="B38" s="74"/>
      <c r="C38" s="74"/>
      <c r="D38" s="74"/>
      <c r="E38" s="74"/>
      <c r="F38" s="74"/>
      <c r="G38" s="74"/>
      <c r="H38" s="74"/>
      <c r="I38" s="75"/>
      <c r="J38" s="74" t="s">
        <v>197</v>
      </c>
      <c r="K38" s="74"/>
      <c r="L38" s="74"/>
      <c r="M38" s="76">
        <f>F53*F67</f>
        <v>1.0395000000000001</v>
      </c>
    </row>
    <row r="39" spans="1:15" ht="15.75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 t="s">
        <v>198</v>
      </c>
      <c r="K39" s="74"/>
      <c r="L39" s="74"/>
      <c r="M39" s="76">
        <f>F53*F83</f>
        <v>1.0639000000000001</v>
      </c>
    </row>
    <row r="40" spans="1:15" ht="15.75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6"/>
    </row>
    <row r="41" spans="1:15" ht="15.75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6"/>
    </row>
    <row r="42" spans="1:15" ht="15.75" x14ac:dyDescent="0.25">
      <c r="A42" s="262" t="s">
        <v>137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</row>
    <row r="43" spans="1:15" ht="15.75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5" ht="51" customHeight="1" x14ac:dyDescent="0.25">
      <c r="A44" s="77"/>
      <c r="B44" s="263" t="s">
        <v>199</v>
      </c>
      <c r="C44" s="263"/>
      <c r="D44" s="263"/>
      <c r="E44" s="263"/>
      <c r="F44" s="264"/>
      <c r="G44" s="264"/>
      <c r="H44" s="264"/>
      <c r="I44" s="264"/>
      <c r="J44" s="264"/>
      <c r="K44" s="264"/>
      <c r="L44" s="264"/>
      <c r="M44" s="264"/>
    </row>
    <row r="45" spans="1:15" ht="15.75" x14ac:dyDescent="0.25">
      <c r="A45" s="77"/>
      <c r="B45" s="265" t="s">
        <v>138</v>
      </c>
      <c r="C45" s="265"/>
      <c r="D45" s="266"/>
      <c r="E45" s="266"/>
      <c r="F45" s="267"/>
      <c r="G45" s="267"/>
      <c r="H45" s="267"/>
      <c r="I45" s="267"/>
      <c r="J45" s="267"/>
      <c r="K45" s="267"/>
      <c r="L45" s="267"/>
      <c r="M45" s="267"/>
    </row>
    <row r="46" spans="1:15" ht="15.75" x14ac:dyDescent="0.25">
      <c r="A46" s="77"/>
      <c r="B46" s="268"/>
      <c r="C46" s="268" t="s">
        <v>139</v>
      </c>
      <c r="D46" s="269">
        <v>2023</v>
      </c>
      <c r="E46" s="269" t="s">
        <v>140</v>
      </c>
      <c r="F46" s="269" t="s">
        <v>140</v>
      </c>
      <c r="G46" s="269" t="s">
        <v>140</v>
      </c>
      <c r="H46" s="269" t="s">
        <v>140</v>
      </c>
      <c r="I46" s="269" t="s">
        <v>140</v>
      </c>
      <c r="J46" s="269" t="s">
        <v>140</v>
      </c>
      <c r="K46" s="269" t="s">
        <v>140</v>
      </c>
      <c r="L46" s="269" t="s">
        <v>140</v>
      </c>
      <c r="M46" s="269" t="s">
        <v>140</v>
      </c>
      <c r="N46" s="269" t="s">
        <v>140</v>
      </c>
      <c r="O46" s="269" t="s">
        <v>140</v>
      </c>
    </row>
    <row r="47" spans="1:15" ht="15.75" x14ac:dyDescent="0.25">
      <c r="A47" s="77"/>
      <c r="B47" s="268"/>
      <c r="C47" s="268"/>
      <c r="D47" s="78" t="s">
        <v>141</v>
      </c>
      <c r="E47" s="78" t="s">
        <v>142</v>
      </c>
      <c r="F47" s="78" t="s">
        <v>143</v>
      </c>
      <c r="G47" s="78" t="s">
        <v>144</v>
      </c>
      <c r="H47" s="78" t="s">
        <v>145</v>
      </c>
      <c r="I47" s="78" t="s">
        <v>146</v>
      </c>
      <c r="J47" s="78" t="s">
        <v>147</v>
      </c>
      <c r="K47" s="78" t="s">
        <v>148</v>
      </c>
      <c r="L47" s="78" t="s">
        <v>149</v>
      </c>
      <c r="M47" s="78" t="s">
        <v>150</v>
      </c>
      <c r="N47" s="78" t="s">
        <v>151</v>
      </c>
      <c r="O47" s="78" t="s">
        <v>152</v>
      </c>
    </row>
    <row r="48" spans="1:15" ht="15.75" x14ac:dyDescent="0.25">
      <c r="A48" s="74"/>
      <c r="B48" s="268"/>
      <c r="C48" s="268"/>
      <c r="D48" s="79">
        <v>100.31</v>
      </c>
      <c r="E48" s="79">
        <v>100.9</v>
      </c>
      <c r="F48" s="79">
        <v>99.77</v>
      </c>
      <c r="G48" s="79">
        <v>100.8</v>
      </c>
      <c r="H48" s="79">
        <v>100.13</v>
      </c>
      <c r="I48" s="79"/>
      <c r="J48" s="80"/>
      <c r="K48" s="79"/>
      <c r="L48" s="79"/>
      <c r="M48" s="79"/>
      <c r="N48" s="79"/>
      <c r="O48" s="79"/>
    </row>
    <row r="49" spans="1:15" ht="15.75" x14ac:dyDescent="0.25">
      <c r="A49" s="74"/>
      <c r="B49" s="74"/>
      <c r="C49" s="81" t="s">
        <v>153</v>
      </c>
      <c r="D49" s="82">
        <f t="shared" ref="D49" si="13">D48/100</f>
        <v>1.0031000000000001</v>
      </c>
      <c r="E49" s="82">
        <f t="shared" ref="E49:O49" si="14">E48/100</f>
        <v>1.0089999999999999</v>
      </c>
      <c r="F49" s="82">
        <f t="shared" si="14"/>
        <v>0.99770000000000003</v>
      </c>
      <c r="G49" s="82">
        <f t="shared" si="14"/>
        <v>1.008</v>
      </c>
      <c r="H49" s="82">
        <f t="shared" si="14"/>
        <v>1.0013000000000001</v>
      </c>
      <c r="I49" s="82">
        <f t="shared" si="14"/>
        <v>0</v>
      </c>
      <c r="J49" s="82">
        <f t="shared" si="14"/>
        <v>0</v>
      </c>
      <c r="K49" s="82">
        <f t="shared" si="14"/>
        <v>0</v>
      </c>
      <c r="L49" s="82">
        <f t="shared" si="14"/>
        <v>0</v>
      </c>
      <c r="M49" s="82">
        <f t="shared" si="14"/>
        <v>0</v>
      </c>
      <c r="N49" s="82">
        <f t="shared" si="14"/>
        <v>0</v>
      </c>
      <c r="O49" s="82">
        <f t="shared" si="14"/>
        <v>0</v>
      </c>
    </row>
    <row r="50" spans="1:15" ht="15.75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1:15" ht="15.75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1:15" ht="15.75" x14ac:dyDescent="0.25">
      <c r="A52" s="256" t="s">
        <v>154</v>
      </c>
      <c r="B52" s="256"/>
      <c r="C52" s="256"/>
      <c r="D52" s="256"/>
      <c r="E52" s="256"/>
      <c r="F52" s="83">
        <v>45108</v>
      </c>
      <c r="G52" s="84"/>
      <c r="H52" s="84"/>
      <c r="I52" s="85"/>
      <c r="J52" s="74"/>
      <c r="K52" s="74"/>
      <c r="L52" s="74"/>
      <c r="M52" s="74"/>
    </row>
    <row r="53" spans="1:15" ht="39" customHeight="1" x14ac:dyDescent="0.25">
      <c r="A53" s="270" t="s">
        <v>155</v>
      </c>
      <c r="B53" s="270"/>
      <c r="C53" s="270"/>
      <c r="D53" s="270"/>
      <c r="E53" s="270"/>
      <c r="F53" s="271">
        <f>D49*E49*F49*G49*H49*H49</f>
        <v>1.0205</v>
      </c>
      <c r="G53" s="86"/>
      <c r="H53" s="86"/>
      <c r="J53" s="74"/>
      <c r="K53" s="74"/>
      <c r="L53" s="74"/>
      <c r="M53" s="74"/>
    </row>
    <row r="54" spans="1:15" x14ac:dyDescent="0.25">
      <c r="A54" s="272" t="str">
        <f>CONCATENATE(D49,"*",E49,"*",F49,"*",G49,"*",H49,"*",H49,)</f>
        <v>1,0031*1,009*0,9977*1,008*1,0013*1,0013</v>
      </c>
      <c r="B54" s="272"/>
      <c r="C54" s="272"/>
      <c r="D54" s="272"/>
      <c r="E54" s="272"/>
      <c r="F54" s="271"/>
      <c r="G54" s="86"/>
      <c r="H54" s="87"/>
    </row>
    <row r="55" spans="1:15" ht="42.75" customHeight="1" x14ac:dyDescent="0.25">
      <c r="A55" s="273" t="s">
        <v>290</v>
      </c>
      <c r="B55" s="273"/>
      <c r="C55" s="273"/>
      <c r="D55" s="273"/>
      <c r="E55" s="273"/>
      <c r="F55" s="273"/>
      <c r="G55" s="88"/>
      <c r="H55" s="88"/>
      <c r="I55" s="88"/>
    </row>
    <row r="56" spans="1:15" ht="27" customHeight="1" x14ac:dyDescent="0.25">
      <c r="A56" s="89"/>
      <c r="B56" s="89"/>
      <c r="C56" s="89"/>
      <c r="D56" s="89"/>
      <c r="E56" s="89"/>
      <c r="F56" s="89"/>
      <c r="G56" s="88"/>
      <c r="H56" s="88"/>
      <c r="I56" s="88"/>
    </row>
    <row r="57" spans="1:15" ht="24" customHeight="1" x14ac:dyDescent="0.25">
      <c r="A57" s="262" t="s">
        <v>200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</row>
    <row r="58" spans="1:15" x14ac:dyDescent="0.25">
      <c r="A58" s="89"/>
      <c r="B58" s="89"/>
      <c r="C58" s="89"/>
      <c r="D58" s="89"/>
      <c r="E58" s="89"/>
      <c r="F58" s="89"/>
      <c r="G58" s="89"/>
      <c r="H58" s="89"/>
      <c r="I58" s="89"/>
    </row>
    <row r="59" spans="1:15" ht="15.75" x14ac:dyDescent="0.25">
      <c r="A59" s="274" t="s">
        <v>156</v>
      </c>
      <c r="B59" s="274"/>
      <c r="C59" s="274"/>
      <c r="D59" s="274"/>
      <c r="E59" s="274"/>
      <c r="F59" s="274"/>
      <c r="G59" s="274"/>
      <c r="H59" s="274"/>
      <c r="I59" s="274"/>
    </row>
    <row r="60" spans="1:15" x14ac:dyDescent="0.25">
      <c r="A60" s="90"/>
      <c r="B60" s="91"/>
      <c r="C60" s="91"/>
      <c r="D60" s="91"/>
      <c r="E60" s="91"/>
      <c r="F60" s="92"/>
      <c r="G60" s="84"/>
      <c r="H60" s="84"/>
      <c r="I60" s="92"/>
    </row>
    <row r="61" spans="1:15" x14ac:dyDescent="0.25">
      <c r="A61" s="256" t="s">
        <v>154</v>
      </c>
      <c r="B61" s="256"/>
      <c r="C61" s="256"/>
      <c r="D61" s="256"/>
      <c r="E61" s="256"/>
      <c r="F61" s="93">
        <f>F52</f>
        <v>45108</v>
      </c>
    </row>
    <row r="62" spans="1:15" ht="15.75" x14ac:dyDescent="0.25">
      <c r="A62" s="275" t="s">
        <v>157</v>
      </c>
      <c r="B62" s="276"/>
      <c r="C62" s="276"/>
      <c r="D62" s="276"/>
      <c r="E62" s="277"/>
      <c r="F62" s="93">
        <v>45170</v>
      </c>
      <c r="G62" s="213"/>
      <c r="H62" s="214"/>
      <c r="I62" s="214"/>
    </row>
    <row r="63" spans="1:15" ht="15.75" x14ac:dyDescent="0.25">
      <c r="A63" s="275" t="s">
        <v>158</v>
      </c>
      <c r="B63" s="276"/>
      <c r="C63" s="276"/>
      <c r="D63" s="276"/>
      <c r="E63" s="277"/>
      <c r="F63" s="93">
        <v>45275</v>
      </c>
      <c r="G63" s="213"/>
      <c r="H63" s="214"/>
      <c r="I63" s="214"/>
    </row>
    <row r="64" spans="1:15" ht="15.75" x14ac:dyDescent="0.25">
      <c r="A64" s="275" t="s">
        <v>159</v>
      </c>
      <c r="B64" s="276"/>
      <c r="C64" s="276"/>
      <c r="D64" s="276"/>
      <c r="E64" s="277"/>
      <c r="F64" s="94">
        <f>ROUNDUP((F63-F61)/30.5,1)</f>
        <v>5.5</v>
      </c>
    </row>
    <row r="65" spans="1:9" ht="15.75" customHeight="1" x14ac:dyDescent="0.25">
      <c r="A65" s="278" t="s">
        <v>160</v>
      </c>
      <c r="B65" s="278"/>
      <c r="C65" s="278"/>
      <c r="D65" s="278"/>
      <c r="E65" s="278"/>
      <c r="F65" s="95">
        <v>1.0589999999999999</v>
      </c>
      <c r="H65" s="107"/>
    </row>
    <row r="66" spans="1:9" ht="15.75" x14ac:dyDescent="0.25">
      <c r="A66" s="255" t="s">
        <v>161</v>
      </c>
      <c r="B66" s="255"/>
      <c r="C66" s="255"/>
      <c r="D66" s="96">
        <f>F65</f>
        <v>1.0589999999999999</v>
      </c>
      <c r="E66" s="97" t="s">
        <v>162</v>
      </c>
      <c r="F66" s="98">
        <f>F65^(1/12)</f>
        <v>1.0047885000000001</v>
      </c>
      <c r="H66" s="107"/>
    </row>
    <row r="67" spans="1:9" ht="15.75" customHeight="1" x14ac:dyDescent="0.25">
      <c r="A67" s="279" t="s">
        <v>163</v>
      </c>
      <c r="B67" s="280"/>
      <c r="C67" s="281" t="str">
        <f>CONCATENATE(F66,"^",ROUNDUP(((F62-F61)/30.5),1),"*((",F66,"^",ROUNDUP((F63-F62)/30.5,1),"-1)/2+1)")</f>
        <v>1,0047885^2,1*((1,0047885^3,5-1)/2+1)</v>
      </c>
      <c r="D67" s="282"/>
      <c r="E67" s="283"/>
      <c r="F67" s="99">
        <f>F66^ROUNDUP(((F62-F61)/30.5),1)*(ROUND(((F66^ROUNDUP((F63-F62)/30.5,1)-1)/2)+1,4))</f>
        <v>1.0185999999999999</v>
      </c>
      <c r="H67" s="100"/>
    </row>
    <row r="68" spans="1:9" x14ac:dyDescent="0.25">
      <c r="A68" s="90"/>
      <c r="B68" s="91"/>
      <c r="C68" s="91"/>
      <c r="D68" s="91"/>
      <c r="E68" s="91"/>
      <c r="I68" s="101"/>
    </row>
    <row r="69" spans="1:9" ht="15.75" x14ac:dyDescent="0.25">
      <c r="A69" s="274" t="s">
        <v>164</v>
      </c>
      <c r="B69" s="274"/>
      <c r="C69" s="274"/>
      <c r="D69" s="274"/>
      <c r="E69" s="274"/>
      <c r="F69" s="274"/>
      <c r="G69" s="274"/>
      <c r="H69" s="274"/>
      <c r="I69" s="274"/>
    </row>
    <row r="70" spans="1:9" x14ac:dyDescent="0.25">
      <c r="A70" s="90"/>
      <c r="B70" s="91"/>
      <c r="C70" s="91"/>
      <c r="D70" s="91"/>
      <c r="E70" s="91"/>
      <c r="F70" s="92"/>
      <c r="I70" s="102"/>
    </row>
    <row r="71" spans="1:9" x14ac:dyDescent="0.25">
      <c r="A71" s="256" t="s">
        <v>154</v>
      </c>
      <c r="B71" s="256"/>
      <c r="C71" s="256"/>
      <c r="D71" s="256"/>
      <c r="E71" s="256"/>
      <c r="F71" s="93">
        <v>45108</v>
      </c>
    </row>
    <row r="72" spans="1:9" ht="15.75" x14ac:dyDescent="0.25">
      <c r="A72" s="275" t="s">
        <v>157</v>
      </c>
      <c r="B72" s="276"/>
      <c r="C72" s="276"/>
      <c r="D72" s="276"/>
      <c r="E72" s="277"/>
      <c r="F72" s="93">
        <v>45170</v>
      </c>
      <c r="G72" s="93">
        <v>45291</v>
      </c>
      <c r="H72" t="s">
        <v>165</v>
      </c>
    </row>
    <row r="73" spans="1:9" ht="15.75" x14ac:dyDescent="0.25">
      <c r="A73" s="275" t="s">
        <v>158</v>
      </c>
      <c r="B73" s="276"/>
      <c r="C73" s="276"/>
      <c r="D73" s="276"/>
      <c r="E73" s="277"/>
      <c r="F73" s="93">
        <v>45611</v>
      </c>
      <c r="G73" s="93">
        <v>45292</v>
      </c>
      <c r="H73" t="s">
        <v>166</v>
      </c>
    </row>
    <row r="74" spans="1:9" ht="15.75" x14ac:dyDescent="0.25">
      <c r="A74" s="275" t="s">
        <v>167</v>
      </c>
      <c r="B74" s="276"/>
      <c r="C74" s="276"/>
      <c r="D74" s="276"/>
      <c r="E74" s="277"/>
      <c r="F74" s="94">
        <f>(F73-F72)/30.5</f>
        <v>14.5</v>
      </c>
    </row>
    <row r="75" spans="1:9" ht="15.75" x14ac:dyDescent="0.25">
      <c r="A75" s="284" t="s">
        <v>168</v>
      </c>
      <c r="B75" s="284"/>
      <c r="C75" s="284"/>
      <c r="D75" s="284"/>
      <c r="E75" s="284"/>
      <c r="F75" s="103">
        <f>(G72-F72)/30.5/F74</f>
        <v>0.27</v>
      </c>
    </row>
    <row r="76" spans="1:9" ht="15.75" x14ac:dyDescent="0.25">
      <c r="A76" s="285" t="s">
        <v>169</v>
      </c>
      <c r="B76" s="285"/>
      <c r="C76" s="285"/>
      <c r="D76" s="285"/>
      <c r="E76" s="285"/>
      <c r="F76" s="103">
        <f>1-F75</f>
        <v>0.73</v>
      </c>
    </row>
    <row r="77" spans="1:9" ht="15.75" x14ac:dyDescent="0.25">
      <c r="A77" s="278" t="s">
        <v>160</v>
      </c>
      <c r="B77" s="278"/>
      <c r="C77" s="278"/>
      <c r="D77" s="278"/>
      <c r="E77" s="278"/>
      <c r="F77" s="104">
        <v>1.0589999999999999</v>
      </c>
    </row>
    <row r="78" spans="1:9" ht="15.75" x14ac:dyDescent="0.25">
      <c r="A78" s="255" t="s">
        <v>161</v>
      </c>
      <c r="B78" s="255"/>
      <c r="C78" s="255"/>
      <c r="D78" s="96">
        <f>F77</f>
        <v>1.0589999999999999</v>
      </c>
      <c r="E78" s="97" t="s">
        <v>162</v>
      </c>
      <c r="F78" s="98">
        <f>F77^(1/12)</f>
        <v>1.0047885000000001</v>
      </c>
    </row>
    <row r="79" spans="1:9" ht="15.75" x14ac:dyDescent="0.25">
      <c r="A79" s="278" t="s">
        <v>170</v>
      </c>
      <c r="B79" s="278"/>
      <c r="C79" s="278"/>
      <c r="D79" s="278"/>
      <c r="E79" s="278"/>
      <c r="F79" s="95">
        <v>1.0529999999999999</v>
      </c>
    </row>
    <row r="80" spans="1:9" ht="15.75" x14ac:dyDescent="0.25">
      <c r="A80" s="255" t="s">
        <v>171</v>
      </c>
      <c r="B80" s="255"/>
      <c r="C80" s="255"/>
      <c r="D80" s="96">
        <f>F79</f>
        <v>1.0529999999999999</v>
      </c>
      <c r="E80" s="97" t="s">
        <v>162</v>
      </c>
      <c r="F80" s="98">
        <f>F79^(1/12)</f>
        <v>1.0043129</v>
      </c>
    </row>
    <row r="81" spans="1:8" ht="15.75" customHeight="1" x14ac:dyDescent="0.25">
      <c r="A81" s="105" t="s">
        <v>172</v>
      </c>
      <c r="B81" s="105"/>
      <c r="C81" s="287" t="str">
        <f>CONCATENATE("(",F78,"^",ROUNDUP((G72-F71)/30.5,1),"-1)/2+1")</f>
        <v>(1,0047885^6-1)/2+1</v>
      </c>
      <c r="D81" s="288"/>
      <c r="E81" s="289"/>
      <c r="F81" s="106">
        <f>(F78^ROUNDUP((G72-F71)/30.5,1)-1)/2+1</f>
        <v>1.0145386000000001</v>
      </c>
      <c r="H81" s="107"/>
    </row>
    <row r="82" spans="1:8" ht="15.75" x14ac:dyDescent="0.25">
      <c r="A82" s="105" t="s">
        <v>173</v>
      </c>
      <c r="B82" s="105"/>
      <c r="C82" s="287" t="str">
        <f>CONCATENATE(F78,"^",ROUNDUP((G72-F71)/30.5,1),"*((",F80,"^",ROUNDUP((F73-G73)/30.5,1),"-1)/2+1)")</f>
        <v>1,0047885^6*((1,0043129^10,5-1)/2+1)</v>
      </c>
      <c r="D82" s="288"/>
      <c r="E82" s="289"/>
      <c r="F82" s="106">
        <f>F78^ROUNDUP((G72-F71)/30.5,1)*((F80^ROUNDUP((F73-G73)/30.5,1)-1)/2+1)</f>
        <v>1.0528614999999999</v>
      </c>
      <c r="H82" s="107"/>
    </row>
    <row r="83" spans="1:8" ht="15.75" customHeight="1" x14ac:dyDescent="0.25">
      <c r="A83" s="279" t="s">
        <v>163</v>
      </c>
      <c r="B83" s="280"/>
      <c r="C83" s="287" t="str">
        <f>CONCATENATE(F75,"*",F81,"+",F76,"*",F82)</f>
        <v>0,27*1,0145386+0,73*1,0528615</v>
      </c>
      <c r="D83" s="288"/>
      <c r="E83" s="289"/>
      <c r="F83" s="99">
        <f>F75*F81+F76*F82</f>
        <v>1.0425</v>
      </c>
      <c r="H83" s="100"/>
    </row>
    <row r="87" spans="1:8" ht="45.75" customHeight="1" x14ac:dyDescent="0.25">
      <c r="A87" s="286" t="s">
        <v>174</v>
      </c>
      <c r="B87" s="286"/>
      <c r="C87" s="286"/>
      <c r="D87" s="108"/>
      <c r="E87" s="109" t="s">
        <v>175</v>
      </c>
    </row>
  </sheetData>
  <mergeCells count="42">
    <mergeCell ref="A87:C87"/>
    <mergeCell ref="A80:C80"/>
    <mergeCell ref="C81:E81"/>
    <mergeCell ref="C82:E82"/>
    <mergeCell ref="A83:B83"/>
    <mergeCell ref="C83:E83"/>
    <mergeCell ref="A63:E63"/>
    <mergeCell ref="A64:E64"/>
    <mergeCell ref="A65:E65"/>
    <mergeCell ref="A79:E79"/>
    <mergeCell ref="A67:B67"/>
    <mergeCell ref="C67:E67"/>
    <mergeCell ref="A69:I69"/>
    <mergeCell ref="A71:E71"/>
    <mergeCell ref="A72:E72"/>
    <mergeCell ref="A73:E73"/>
    <mergeCell ref="A74:E74"/>
    <mergeCell ref="A75:E75"/>
    <mergeCell ref="A76:E76"/>
    <mergeCell ref="A77:E77"/>
    <mergeCell ref="A78:C78"/>
    <mergeCell ref="A55:F55"/>
    <mergeCell ref="A57:M57"/>
    <mergeCell ref="A59:I59"/>
    <mergeCell ref="A61:E61"/>
    <mergeCell ref="A62:E62"/>
    <mergeCell ref="A66:C66"/>
    <mergeCell ref="A52:E52"/>
    <mergeCell ref="A1:M1"/>
    <mergeCell ref="A3:M3"/>
    <mergeCell ref="A5:M5"/>
    <mergeCell ref="A8:M8"/>
    <mergeCell ref="A9:M9"/>
    <mergeCell ref="A42:M42"/>
    <mergeCell ref="B44:M44"/>
    <mergeCell ref="B45:M45"/>
    <mergeCell ref="B46:B48"/>
    <mergeCell ref="C46:C48"/>
    <mergeCell ref="D46:O46"/>
    <mergeCell ref="A53:E53"/>
    <mergeCell ref="F53:F54"/>
    <mergeCell ref="A54:E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55" workbookViewId="0">
      <selection activeCell="H33" sqref="H33"/>
    </sheetView>
  </sheetViews>
  <sheetFormatPr defaultRowHeight="15" x14ac:dyDescent="0.25"/>
  <cols>
    <col min="1" max="1" width="6.7109375" customWidth="1"/>
    <col min="2" max="2" width="20.140625" customWidth="1"/>
    <col min="3" max="3" width="32.7109375" customWidth="1"/>
    <col min="4" max="8" width="14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2" t="s">
        <v>0</v>
      </c>
    </row>
    <row r="2" spans="1:8" x14ac:dyDescent="0.25">
      <c r="A2" s="3"/>
      <c r="B2" s="3"/>
      <c r="C2" s="3"/>
      <c r="D2" s="3"/>
      <c r="E2" s="3"/>
      <c r="F2" s="3"/>
      <c r="G2" s="3"/>
      <c r="H2" s="2" t="s">
        <v>1</v>
      </c>
    </row>
    <row r="3" spans="1:8" x14ac:dyDescent="0.25">
      <c r="A3" s="3"/>
      <c r="B3" s="3"/>
      <c r="C3" s="3"/>
      <c r="D3" s="3"/>
      <c r="E3" s="3"/>
      <c r="F3" s="3"/>
      <c r="G3" s="3"/>
      <c r="H3" s="2"/>
    </row>
    <row r="4" spans="1:8" x14ac:dyDescent="0.25">
      <c r="A4" s="3"/>
      <c r="B4" s="3" t="s">
        <v>2</v>
      </c>
      <c r="C4" s="291" t="s">
        <v>3</v>
      </c>
      <c r="D4" s="291"/>
      <c r="E4" s="291"/>
      <c r="F4" s="291"/>
      <c r="G4" s="291"/>
      <c r="H4" s="3"/>
    </row>
    <row r="5" spans="1:8" x14ac:dyDescent="0.25">
      <c r="A5" s="3"/>
      <c r="B5" s="3"/>
      <c r="C5" s="292" t="s">
        <v>4</v>
      </c>
      <c r="D5" s="292"/>
      <c r="E5" s="292"/>
      <c r="F5" s="292"/>
      <c r="G5" s="292"/>
      <c r="H5" s="3"/>
    </row>
    <row r="6" spans="1:8" x14ac:dyDescent="0.25">
      <c r="A6" s="3"/>
      <c r="B6" s="3" t="s">
        <v>5</v>
      </c>
      <c r="C6" s="4"/>
      <c r="D6" s="4"/>
      <c r="E6" s="4"/>
      <c r="F6" s="4"/>
      <c r="G6" s="4"/>
      <c r="H6" s="3"/>
    </row>
    <row r="7" spans="1:8" x14ac:dyDescent="0.25">
      <c r="A7" s="3"/>
      <c r="B7" s="3"/>
      <c r="C7" s="4"/>
      <c r="D7" s="4"/>
      <c r="E7" s="4"/>
      <c r="F7" s="4"/>
      <c r="G7" s="4"/>
      <c r="H7" s="3"/>
    </row>
    <row r="8" spans="1:8" x14ac:dyDescent="0.25">
      <c r="A8" s="3"/>
      <c r="B8" s="5" t="s">
        <v>6</v>
      </c>
      <c r="C8" s="4"/>
      <c r="D8" s="4"/>
      <c r="E8" s="4"/>
      <c r="F8" s="4"/>
      <c r="G8" s="4"/>
      <c r="H8" s="3"/>
    </row>
    <row r="9" spans="1:8" x14ac:dyDescent="0.25">
      <c r="A9" s="3"/>
      <c r="B9" s="3"/>
      <c r="C9" s="293"/>
      <c r="D9" s="293"/>
      <c r="E9" s="293"/>
      <c r="F9" s="293"/>
      <c r="G9" s="293"/>
      <c r="H9" s="3"/>
    </row>
    <row r="10" spans="1:8" ht="18" x14ac:dyDescent="0.25">
      <c r="A10" s="6"/>
      <c r="B10" s="6"/>
      <c r="C10" s="292" t="s">
        <v>7</v>
      </c>
      <c r="D10" s="292"/>
      <c r="E10" s="292"/>
      <c r="F10" s="292"/>
      <c r="G10" s="292"/>
      <c r="H10" s="6"/>
    </row>
    <row r="11" spans="1:8" ht="18" x14ac:dyDescent="0.25">
      <c r="A11" s="6"/>
      <c r="B11" s="6"/>
      <c r="C11" s="4"/>
      <c r="D11" s="4"/>
      <c r="E11" s="4"/>
      <c r="F11" s="4"/>
      <c r="G11" s="4"/>
      <c r="H11" s="6"/>
    </row>
    <row r="12" spans="1:8" ht="18" x14ac:dyDescent="0.25">
      <c r="A12" s="6"/>
      <c r="B12" s="294" t="s">
        <v>8</v>
      </c>
      <c r="C12" s="294"/>
      <c r="D12" s="294"/>
      <c r="E12" s="294"/>
      <c r="F12" s="294"/>
      <c r="G12" s="294"/>
      <c r="H12" s="6"/>
    </row>
    <row r="13" spans="1:8" ht="18" x14ac:dyDescent="0.25">
      <c r="A13" s="6"/>
      <c r="B13" s="6"/>
      <c r="C13" s="4"/>
      <c r="D13" s="4"/>
      <c r="E13" s="4"/>
      <c r="F13" s="4"/>
      <c r="G13" s="4"/>
      <c r="H13" s="6"/>
    </row>
    <row r="14" spans="1:8" ht="18" x14ac:dyDescent="0.25">
      <c r="A14" s="6"/>
      <c r="B14" s="6"/>
      <c r="C14" s="4"/>
      <c r="D14" s="4"/>
      <c r="E14" s="4"/>
      <c r="F14" s="4"/>
      <c r="G14" s="4"/>
      <c r="H14" s="6"/>
    </row>
    <row r="15" spans="1:8" ht="18" x14ac:dyDescent="0.25">
      <c r="A15" s="6"/>
      <c r="B15" s="6"/>
      <c r="C15" s="4"/>
      <c r="D15" s="4"/>
      <c r="E15" s="4"/>
      <c r="F15" s="4"/>
      <c r="G15" s="4"/>
      <c r="H15" s="6"/>
    </row>
    <row r="16" spans="1:8" x14ac:dyDescent="0.25">
      <c r="A16" s="7"/>
      <c r="B16" s="290" t="s">
        <v>9</v>
      </c>
      <c r="C16" s="290"/>
      <c r="D16" s="290"/>
      <c r="E16" s="290"/>
      <c r="F16" s="290"/>
      <c r="G16" s="290"/>
      <c r="H16" s="7"/>
    </row>
    <row r="17" spans="1:8" x14ac:dyDescent="0.25">
      <c r="A17" s="8"/>
      <c r="B17" s="298" t="s">
        <v>10</v>
      </c>
      <c r="C17" s="298"/>
      <c r="D17" s="298"/>
      <c r="E17" s="298"/>
      <c r="F17" s="298"/>
      <c r="G17" s="298"/>
      <c r="H17" s="8"/>
    </row>
    <row r="18" spans="1:8" x14ac:dyDescent="0.25">
      <c r="A18" s="3"/>
      <c r="B18" s="3"/>
      <c r="C18" s="3"/>
      <c r="D18" s="9"/>
      <c r="E18" s="9"/>
      <c r="F18" s="9"/>
      <c r="G18" s="10"/>
      <c r="H18" s="10"/>
    </row>
    <row r="19" spans="1:8" x14ac:dyDescent="0.25">
      <c r="A19" s="11"/>
      <c r="B19" s="299" t="s">
        <v>11</v>
      </c>
      <c r="C19" s="299"/>
      <c r="D19" s="299"/>
      <c r="E19" s="299"/>
      <c r="F19" s="299"/>
      <c r="G19" s="299"/>
      <c r="H19" s="4"/>
    </row>
    <row r="20" spans="1:8" x14ac:dyDescent="0.25">
      <c r="A20" s="3"/>
      <c r="B20" s="3"/>
      <c r="C20" s="3"/>
      <c r="D20" s="4"/>
      <c r="E20" s="4"/>
      <c r="F20" s="4"/>
      <c r="G20" s="4"/>
      <c r="H20" s="4"/>
    </row>
    <row r="21" spans="1:8" x14ac:dyDescent="0.25">
      <c r="A21" s="300" t="s">
        <v>12</v>
      </c>
      <c r="B21" s="300" t="s">
        <v>13</v>
      </c>
      <c r="C21" s="300" t="s">
        <v>14</v>
      </c>
      <c r="D21" s="303" t="s">
        <v>15</v>
      </c>
      <c r="E21" s="304"/>
      <c r="F21" s="304"/>
      <c r="G21" s="304"/>
      <c r="H21" s="305"/>
    </row>
    <row r="22" spans="1:8" x14ac:dyDescent="0.25">
      <c r="A22" s="301"/>
      <c r="B22" s="301"/>
      <c r="C22" s="301"/>
      <c r="D22" s="300" t="s">
        <v>16</v>
      </c>
      <c r="E22" s="300" t="s">
        <v>17</v>
      </c>
      <c r="F22" s="300" t="s">
        <v>18</v>
      </c>
      <c r="G22" s="300" t="s">
        <v>19</v>
      </c>
      <c r="H22" s="300" t="s">
        <v>20</v>
      </c>
    </row>
    <row r="23" spans="1:8" x14ac:dyDescent="0.25">
      <c r="A23" s="302"/>
      <c r="B23" s="302"/>
      <c r="C23" s="302"/>
      <c r="D23" s="302"/>
      <c r="E23" s="302"/>
      <c r="F23" s="302"/>
      <c r="G23" s="302"/>
      <c r="H23" s="302"/>
    </row>
    <row r="24" spans="1:8" x14ac:dyDescent="0.2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</row>
    <row r="25" spans="1:8" x14ac:dyDescent="0.25">
      <c r="A25" s="295" t="s">
        <v>21</v>
      </c>
      <c r="B25" s="296"/>
      <c r="C25" s="296"/>
      <c r="D25" s="296"/>
      <c r="E25" s="296"/>
      <c r="F25" s="296"/>
      <c r="G25" s="296"/>
      <c r="H25" s="297"/>
    </row>
    <row r="26" spans="1:8" ht="90" x14ac:dyDescent="0.25">
      <c r="A26" s="13">
        <v>1</v>
      </c>
      <c r="B26" s="14" t="s">
        <v>22</v>
      </c>
      <c r="C26" s="14" t="s">
        <v>23</v>
      </c>
      <c r="D26" s="15"/>
      <c r="E26" s="15"/>
      <c r="F26" s="15"/>
      <c r="G26" s="16">
        <v>7671.56</v>
      </c>
      <c r="H26" s="16">
        <v>7671.56</v>
      </c>
    </row>
    <row r="27" spans="1:8" x14ac:dyDescent="0.25">
      <c r="A27" s="12"/>
      <c r="B27" s="14"/>
      <c r="C27" s="14"/>
      <c r="D27" s="15"/>
      <c r="E27" s="15"/>
      <c r="F27" s="15"/>
      <c r="G27" s="15" t="s">
        <v>24</v>
      </c>
      <c r="H27" s="15"/>
    </row>
    <row r="28" spans="1:8" x14ac:dyDescent="0.25">
      <c r="A28" s="13">
        <v>2</v>
      </c>
      <c r="B28" s="14" t="s">
        <v>25</v>
      </c>
      <c r="C28" s="14" t="s">
        <v>26</v>
      </c>
      <c r="D28" s="17">
        <v>2647.8</v>
      </c>
      <c r="E28" s="15"/>
      <c r="F28" s="15"/>
      <c r="G28" s="15"/>
      <c r="H28" s="17">
        <v>2647.8</v>
      </c>
    </row>
    <row r="29" spans="1:8" ht="22.5" x14ac:dyDescent="0.25">
      <c r="A29" s="13">
        <v>3</v>
      </c>
      <c r="B29" s="14" t="s">
        <v>27</v>
      </c>
      <c r="C29" s="14" t="s">
        <v>28</v>
      </c>
      <c r="D29" s="15"/>
      <c r="E29" s="15"/>
      <c r="F29" s="15"/>
      <c r="G29" s="18">
        <v>141.76</v>
      </c>
      <c r="H29" s="18">
        <v>141.76</v>
      </c>
    </row>
    <row r="30" spans="1:8" x14ac:dyDescent="0.25">
      <c r="A30" s="13">
        <v>4</v>
      </c>
      <c r="B30" s="14" t="s">
        <v>29</v>
      </c>
      <c r="C30" s="14" t="s">
        <v>30</v>
      </c>
      <c r="D30" s="16">
        <v>1274.8699999999999</v>
      </c>
      <c r="E30" s="15"/>
      <c r="F30" s="15"/>
      <c r="G30" s="15"/>
      <c r="H30" s="16">
        <v>1274.8699999999999</v>
      </c>
    </row>
    <row r="31" spans="1:8" x14ac:dyDescent="0.25">
      <c r="A31" s="19"/>
      <c r="B31" s="306" t="s">
        <v>31</v>
      </c>
      <c r="C31" s="307"/>
      <c r="D31" s="20">
        <v>3922.67</v>
      </c>
      <c r="E31" s="21"/>
      <c r="F31" s="22"/>
      <c r="G31" s="23">
        <v>7813.32</v>
      </c>
      <c r="H31" s="23">
        <v>11735.99</v>
      </c>
    </row>
    <row r="32" spans="1:8" x14ac:dyDescent="0.25">
      <c r="A32" s="295" t="s">
        <v>32</v>
      </c>
      <c r="B32" s="296"/>
      <c r="C32" s="296"/>
      <c r="D32" s="296"/>
      <c r="E32" s="296"/>
      <c r="F32" s="296"/>
      <c r="G32" s="296"/>
      <c r="H32" s="297"/>
    </row>
    <row r="33" spans="1:8" x14ac:dyDescent="0.25">
      <c r="A33" s="13">
        <v>5</v>
      </c>
      <c r="B33" s="14" t="s">
        <v>33</v>
      </c>
      <c r="C33" s="14" t="s">
        <v>34</v>
      </c>
      <c r="D33" s="16">
        <v>451748.22</v>
      </c>
      <c r="E33" s="18">
        <v>578.17999999999995</v>
      </c>
      <c r="F33" s="16">
        <v>6944.51</v>
      </c>
      <c r="G33" s="15"/>
      <c r="H33" s="16">
        <v>459270.91</v>
      </c>
    </row>
    <row r="34" spans="1:8" x14ac:dyDescent="0.25">
      <c r="A34" s="19"/>
      <c r="B34" s="306" t="s">
        <v>35</v>
      </c>
      <c r="C34" s="307"/>
      <c r="D34" s="20">
        <v>451748.22</v>
      </c>
      <c r="E34" s="24">
        <v>578.17999999999995</v>
      </c>
      <c r="F34" s="23">
        <v>6944.51</v>
      </c>
      <c r="G34" s="22"/>
      <c r="H34" s="23">
        <v>459270.91</v>
      </c>
    </row>
    <row r="35" spans="1:8" x14ac:dyDescent="0.25">
      <c r="A35" s="295" t="s">
        <v>36</v>
      </c>
      <c r="B35" s="296"/>
      <c r="C35" s="296"/>
      <c r="D35" s="296"/>
      <c r="E35" s="296"/>
      <c r="F35" s="296"/>
      <c r="G35" s="296"/>
      <c r="H35" s="297"/>
    </row>
    <row r="36" spans="1:8" x14ac:dyDescent="0.25">
      <c r="A36" s="19"/>
      <c r="B36" s="308" t="s">
        <v>37</v>
      </c>
      <c r="C36" s="309"/>
      <c r="D36" s="20">
        <v>455670.89</v>
      </c>
      <c r="E36" s="24">
        <v>578.17999999999995</v>
      </c>
      <c r="F36" s="23">
        <v>6944.51</v>
      </c>
      <c r="G36" s="23">
        <v>7813.32</v>
      </c>
      <c r="H36" s="25">
        <v>471006.9</v>
      </c>
    </row>
    <row r="37" spans="1:8" x14ac:dyDescent="0.25">
      <c r="A37" s="295" t="s">
        <v>38</v>
      </c>
      <c r="B37" s="296"/>
      <c r="C37" s="296"/>
      <c r="D37" s="296"/>
      <c r="E37" s="296"/>
      <c r="F37" s="296"/>
      <c r="G37" s="296"/>
      <c r="H37" s="297"/>
    </row>
    <row r="38" spans="1:8" ht="45" x14ac:dyDescent="0.25">
      <c r="A38" s="13">
        <v>6</v>
      </c>
      <c r="B38" s="14" t="s">
        <v>39</v>
      </c>
      <c r="C38" s="14" t="s">
        <v>40</v>
      </c>
      <c r="D38" s="17">
        <v>14125.8</v>
      </c>
      <c r="E38" s="18">
        <v>17.920000000000002</v>
      </c>
      <c r="F38" s="15"/>
      <c r="G38" s="15"/>
      <c r="H38" s="16">
        <v>14143.72</v>
      </c>
    </row>
    <row r="39" spans="1:8" x14ac:dyDescent="0.25">
      <c r="A39" s="12"/>
      <c r="B39" s="14"/>
      <c r="C39" s="14"/>
      <c r="D39" s="15" t="s">
        <v>41</v>
      </c>
      <c r="E39" s="15" t="s">
        <v>42</v>
      </c>
      <c r="F39" s="15"/>
      <c r="G39" s="15"/>
      <c r="H39" s="15"/>
    </row>
    <row r="40" spans="1:8" x14ac:dyDescent="0.25">
      <c r="A40" s="13">
        <v>7</v>
      </c>
      <c r="B40" s="14" t="s">
        <v>43</v>
      </c>
      <c r="C40" s="14" t="s">
        <v>44</v>
      </c>
      <c r="D40" s="16">
        <v>27126.55</v>
      </c>
      <c r="E40" s="15"/>
      <c r="F40" s="15"/>
      <c r="G40" s="15"/>
      <c r="H40" s="16">
        <v>27126.55</v>
      </c>
    </row>
    <row r="41" spans="1:8" x14ac:dyDescent="0.25">
      <c r="A41" s="19"/>
      <c r="B41" s="306" t="s">
        <v>45</v>
      </c>
      <c r="C41" s="307"/>
      <c r="D41" s="20">
        <v>41252.35</v>
      </c>
      <c r="E41" s="24">
        <v>17.920000000000002</v>
      </c>
      <c r="F41" s="22"/>
      <c r="G41" s="22"/>
      <c r="H41" s="23">
        <v>41270.269999999997</v>
      </c>
    </row>
    <row r="42" spans="1:8" x14ac:dyDescent="0.25">
      <c r="A42" s="19"/>
      <c r="B42" s="308" t="s">
        <v>46</v>
      </c>
      <c r="C42" s="309"/>
      <c r="D42" s="20">
        <v>496923.24</v>
      </c>
      <c r="E42" s="26">
        <v>596.1</v>
      </c>
      <c r="F42" s="23">
        <v>6944.51</v>
      </c>
      <c r="G42" s="23">
        <v>7813.32</v>
      </c>
      <c r="H42" s="23">
        <v>512277.17</v>
      </c>
    </row>
    <row r="43" spans="1:8" x14ac:dyDescent="0.25">
      <c r="A43" s="295" t="s">
        <v>47</v>
      </c>
      <c r="B43" s="296"/>
      <c r="C43" s="296"/>
      <c r="D43" s="296"/>
      <c r="E43" s="296"/>
      <c r="F43" s="296"/>
      <c r="G43" s="296"/>
      <c r="H43" s="297"/>
    </row>
    <row r="44" spans="1:8" ht="45" x14ac:dyDescent="0.25">
      <c r="A44" s="13">
        <v>8</v>
      </c>
      <c r="B44" s="14" t="s">
        <v>48</v>
      </c>
      <c r="C44" s="14" t="s">
        <v>49</v>
      </c>
      <c r="D44" s="16">
        <v>2484.62</v>
      </c>
      <c r="E44" s="18">
        <v>2.98</v>
      </c>
      <c r="F44" s="15"/>
      <c r="G44" s="15"/>
      <c r="H44" s="17">
        <v>2487.6</v>
      </c>
    </row>
    <row r="45" spans="1:8" x14ac:dyDescent="0.25">
      <c r="A45" s="12"/>
      <c r="B45" s="14"/>
      <c r="C45" s="14"/>
      <c r="D45" s="15" t="s">
        <v>50</v>
      </c>
      <c r="E45" s="15" t="s">
        <v>51</v>
      </c>
      <c r="F45" s="15"/>
      <c r="G45" s="15"/>
      <c r="H45" s="15"/>
    </row>
    <row r="46" spans="1:8" ht="67.5" x14ac:dyDescent="0.25">
      <c r="A46" s="13">
        <v>9</v>
      </c>
      <c r="B46" s="14" t="s">
        <v>52</v>
      </c>
      <c r="C46" s="14" t="s">
        <v>53</v>
      </c>
      <c r="D46" s="15"/>
      <c r="E46" s="15"/>
      <c r="F46" s="15"/>
      <c r="G46" s="16">
        <v>2856.56</v>
      </c>
      <c r="H46" s="16">
        <v>2856.56</v>
      </c>
    </row>
    <row r="47" spans="1:8" ht="22.5" x14ac:dyDescent="0.25">
      <c r="A47" s="13">
        <v>10</v>
      </c>
      <c r="B47" s="14" t="s">
        <v>54</v>
      </c>
      <c r="C47" s="14" t="s">
        <v>55</v>
      </c>
      <c r="D47" s="15"/>
      <c r="E47" s="15"/>
      <c r="F47" s="15"/>
      <c r="G47" s="18">
        <v>0.06</v>
      </c>
      <c r="H47" s="18">
        <v>0.06</v>
      </c>
    </row>
    <row r="48" spans="1:8" x14ac:dyDescent="0.25">
      <c r="A48" s="13">
        <v>11</v>
      </c>
      <c r="B48" s="14" t="s">
        <v>54</v>
      </c>
      <c r="C48" s="14" t="s">
        <v>56</v>
      </c>
      <c r="D48" s="15"/>
      <c r="E48" s="15"/>
      <c r="F48" s="15"/>
      <c r="G48" s="18">
        <v>21.82</v>
      </c>
      <c r="H48" s="18">
        <v>21.82</v>
      </c>
    </row>
    <row r="49" spans="1:8" ht="22.5" x14ac:dyDescent="0.25">
      <c r="A49" s="13">
        <v>12</v>
      </c>
      <c r="B49" s="14" t="s">
        <v>54</v>
      </c>
      <c r="C49" s="14" t="s">
        <v>57</v>
      </c>
      <c r="D49" s="15"/>
      <c r="E49" s="15"/>
      <c r="F49" s="15"/>
      <c r="G49" s="18">
        <v>105.07</v>
      </c>
      <c r="H49" s="18">
        <v>105.07</v>
      </c>
    </row>
    <row r="50" spans="1:8" x14ac:dyDescent="0.25">
      <c r="A50" s="19"/>
      <c r="B50" s="306" t="s">
        <v>58</v>
      </c>
      <c r="C50" s="307"/>
      <c r="D50" s="20">
        <v>2484.62</v>
      </c>
      <c r="E50" s="24">
        <v>2.98</v>
      </c>
      <c r="F50" s="22"/>
      <c r="G50" s="23">
        <v>2983.51</v>
      </c>
      <c r="H50" s="23">
        <v>5471.11</v>
      </c>
    </row>
    <row r="51" spans="1:8" x14ac:dyDescent="0.25">
      <c r="A51" s="19"/>
      <c r="B51" s="308" t="s">
        <v>59</v>
      </c>
      <c r="C51" s="309"/>
      <c r="D51" s="20">
        <v>499407.86</v>
      </c>
      <c r="E51" s="24">
        <v>599.08000000000004</v>
      </c>
      <c r="F51" s="23">
        <v>6944.51</v>
      </c>
      <c r="G51" s="23">
        <v>10796.83</v>
      </c>
      <c r="H51" s="23">
        <v>517748.28</v>
      </c>
    </row>
    <row r="52" spans="1:8" x14ac:dyDescent="0.25">
      <c r="A52" s="295" t="s">
        <v>60</v>
      </c>
      <c r="B52" s="296"/>
      <c r="C52" s="296"/>
      <c r="D52" s="296"/>
      <c r="E52" s="296"/>
      <c r="F52" s="296"/>
      <c r="G52" s="296"/>
      <c r="H52" s="297"/>
    </row>
    <row r="53" spans="1:8" ht="123.75" x14ac:dyDescent="0.25">
      <c r="A53" s="13">
        <v>13</v>
      </c>
      <c r="B53" s="14" t="s">
        <v>61</v>
      </c>
      <c r="C53" s="14" t="s">
        <v>62</v>
      </c>
      <c r="D53" s="15"/>
      <c r="E53" s="15"/>
      <c r="F53" s="15"/>
      <c r="G53" s="16">
        <v>9371.24</v>
      </c>
      <c r="H53" s="16">
        <v>9371.24</v>
      </c>
    </row>
    <row r="54" spans="1:8" x14ac:dyDescent="0.25">
      <c r="A54" s="12"/>
      <c r="B54" s="14"/>
      <c r="C54" s="14"/>
      <c r="D54" s="15"/>
      <c r="E54" s="15"/>
      <c r="F54" s="15"/>
      <c r="G54" s="15" t="s">
        <v>63</v>
      </c>
      <c r="H54" s="15"/>
    </row>
    <row r="55" spans="1:8" x14ac:dyDescent="0.25">
      <c r="A55" s="19"/>
      <c r="B55" s="306" t="s">
        <v>64</v>
      </c>
      <c r="C55" s="307"/>
      <c r="D55" s="21"/>
      <c r="E55" s="21"/>
      <c r="F55" s="22"/>
      <c r="G55" s="23">
        <v>9371.24</v>
      </c>
      <c r="H55" s="23">
        <v>9371.24</v>
      </c>
    </row>
    <row r="56" spans="1:8" ht="75.75" customHeight="1" x14ac:dyDescent="0.25">
      <c r="A56" s="295" t="s">
        <v>65</v>
      </c>
      <c r="B56" s="296"/>
      <c r="C56" s="296"/>
      <c r="D56" s="296"/>
      <c r="E56" s="296"/>
      <c r="F56" s="296"/>
      <c r="G56" s="296"/>
      <c r="H56" s="297"/>
    </row>
    <row r="57" spans="1:8" x14ac:dyDescent="0.25">
      <c r="A57" s="13">
        <v>14</v>
      </c>
      <c r="B57" s="14" t="s">
        <v>66</v>
      </c>
      <c r="C57" s="14" t="s">
        <v>67</v>
      </c>
      <c r="D57" s="15"/>
      <c r="E57" s="15"/>
      <c r="F57" s="15"/>
      <c r="G57" s="16">
        <v>10693.05</v>
      </c>
      <c r="H57" s="16">
        <v>10693.05</v>
      </c>
    </row>
    <row r="58" spans="1:8" x14ac:dyDescent="0.25">
      <c r="A58" s="13">
        <v>15</v>
      </c>
      <c r="B58" s="14" t="s">
        <v>68</v>
      </c>
      <c r="C58" s="14" t="s">
        <v>69</v>
      </c>
      <c r="D58" s="15"/>
      <c r="E58" s="15"/>
      <c r="F58" s="15"/>
      <c r="G58" s="16">
        <v>18326.25</v>
      </c>
      <c r="H58" s="16">
        <v>18326.25</v>
      </c>
    </row>
    <row r="59" spans="1:8" ht="33.75" x14ac:dyDescent="0.25">
      <c r="A59" s="13">
        <v>16</v>
      </c>
      <c r="B59" s="14" t="s">
        <v>70</v>
      </c>
      <c r="C59" s="14" t="s">
        <v>71</v>
      </c>
      <c r="D59" s="15"/>
      <c r="E59" s="15"/>
      <c r="F59" s="15"/>
      <c r="G59" s="27">
        <v>273.89999999999998</v>
      </c>
      <c r="H59" s="27">
        <v>273.89999999999998</v>
      </c>
    </row>
    <row r="60" spans="1:8" ht="33.75" x14ac:dyDescent="0.25">
      <c r="A60" s="13">
        <v>17</v>
      </c>
      <c r="B60" s="14" t="s">
        <v>72</v>
      </c>
      <c r="C60" s="14" t="s">
        <v>73</v>
      </c>
      <c r="D60" s="15"/>
      <c r="E60" s="15"/>
      <c r="F60" s="15"/>
      <c r="G60" s="17">
        <v>1035.5</v>
      </c>
      <c r="H60" s="17">
        <v>1035.5</v>
      </c>
    </row>
    <row r="61" spans="1:8" x14ac:dyDescent="0.25">
      <c r="A61" s="12"/>
      <c r="B61" s="14"/>
      <c r="C61" s="14"/>
      <c r="D61" s="15"/>
      <c r="E61" s="15"/>
      <c r="F61" s="15"/>
      <c r="G61" s="15" t="s">
        <v>74</v>
      </c>
      <c r="H61" s="15"/>
    </row>
    <row r="62" spans="1:8" ht="123.75" x14ac:dyDescent="0.25">
      <c r="A62" s="13">
        <v>18</v>
      </c>
      <c r="B62" s="14" t="s">
        <v>75</v>
      </c>
      <c r="C62" s="14" t="s">
        <v>76</v>
      </c>
      <c r="D62" s="15"/>
      <c r="E62" s="15"/>
      <c r="F62" s="15"/>
      <c r="G62" s="18">
        <v>65.13</v>
      </c>
      <c r="H62" s="18">
        <v>65.13</v>
      </c>
    </row>
    <row r="63" spans="1:8" ht="22.5" x14ac:dyDescent="0.25">
      <c r="A63" s="12"/>
      <c r="B63" s="14"/>
      <c r="C63" s="14"/>
      <c r="D63" s="15"/>
      <c r="E63" s="15"/>
      <c r="F63" s="15"/>
      <c r="G63" s="15" t="s">
        <v>77</v>
      </c>
      <c r="H63" s="15"/>
    </row>
    <row r="64" spans="1:8" ht="45" x14ac:dyDescent="0.25">
      <c r="A64" s="13">
        <v>19</v>
      </c>
      <c r="B64" s="14" t="s">
        <v>78</v>
      </c>
      <c r="C64" s="14" t="s">
        <v>79</v>
      </c>
      <c r="D64" s="15"/>
      <c r="E64" s="15"/>
      <c r="F64" s="15"/>
      <c r="G64" s="16">
        <v>1503.96</v>
      </c>
      <c r="H64" s="16">
        <v>1503.96</v>
      </c>
    </row>
    <row r="65" spans="1:8" ht="22.5" x14ac:dyDescent="0.25">
      <c r="A65" s="12"/>
      <c r="B65" s="14"/>
      <c r="C65" s="14"/>
      <c r="D65" s="15"/>
      <c r="E65" s="15"/>
      <c r="F65" s="15"/>
      <c r="G65" s="15" t="s">
        <v>80</v>
      </c>
      <c r="H65" s="15"/>
    </row>
    <row r="66" spans="1:8" x14ac:dyDescent="0.25">
      <c r="A66" s="19"/>
      <c r="B66" s="306" t="s">
        <v>81</v>
      </c>
      <c r="C66" s="307"/>
      <c r="D66" s="21"/>
      <c r="E66" s="21"/>
      <c r="F66" s="22"/>
      <c r="G66" s="23">
        <v>31897.79</v>
      </c>
      <c r="H66" s="23">
        <v>31897.79</v>
      </c>
    </row>
    <row r="67" spans="1:8" x14ac:dyDescent="0.25">
      <c r="A67" s="19"/>
      <c r="B67" s="308" t="s">
        <v>82</v>
      </c>
      <c r="C67" s="309"/>
      <c r="D67" s="20">
        <v>499407.86</v>
      </c>
      <c r="E67" s="24">
        <v>599.08000000000004</v>
      </c>
      <c r="F67" s="23">
        <v>6944.51</v>
      </c>
      <c r="G67" s="23">
        <v>52065.86</v>
      </c>
      <c r="H67" s="23">
        <v>559017.31000000006</v>
      </c>
    </row>
    <row r="68" spans="1:8" x14ac:dyDescent="0.25">
      <c r="A68" s="295" t="s">
        <v>83</v>
      </c>
      <c r="B68" s="296"/>
      <c r="C68" s="296"/>
      <c r="D68" s="296"/>
      <c r="E68" s="296"/>
      <c r="F68" s="296"/>
      <c r="G68" s="296"/>
      <c r="H68" s="297"/>
    </row>
    <row r="69" spans="1:8" ht="33.75" x14ac:dyDescent="0.25">
      <c r="A69" s="13">
        <v>20</v>
      </c>
      <c r="B69" s="14" t="s">
        <v>84</v>
      </c>
      <c r="C69" s="14" t="s">
        <v>85</v>
      </c>
      <c r="D69" s="16">
        <v>14982.24</v>
      </c>
      <c r="E69" s="18">
        <v>17.97</v>
      </c>
      <c r="F69" s="18">
        <v>208.34</v>
      </c>
      <c r="G69" s="16">
        <v>1561.98</v>
      </c>
      <c r="H69" s="16">
        <v>16770.53</v>
      </c>
    </row>
    <row r="70" spans="1:8" x14ac:dyDescent="0.25">
      <c r="A70" s="12"/>
      <c r="B70" s="14"/>
      <c r="C70" s="14"/>
      <c r="D70" s="15" t="s">
        <v>86</v>
      </c>
      <c r="E70" s="15" t="s">
        <v>87</v>
      </c>
      <c r="F70" s="15" t="s">
        <v>88</v>
      </c>
      <c r="G70" s="15" t="s">
        <v>89</v>
      </c>
      <c r="H70" s="15"/>
    </row>
    <row r="71" spans="1:8" x14ac:dyDescent="0.25">
      <c r="A71" s="19"/>
      <c r="B71" s="306" t="s">
        <v>90</v>
      </c>
      <c r="C71" s="307"/>
      <c r="D71" s="20">
        <v>14982.24</v>
      </c>
      <c r="E71" s="24">
        <v>17.97</v>
      </c>
      <c r="F71" s="28">
        <v>208.34</v>
      </c>
      <c r="G71" s="23">
        <v>1561.98</v>
      </c>
      <c r="H71" s="23">
        <v>16770.53</v>
      </c>
    </row>
    <row r="72" spans="1:8" x14ac:dyDescent="0.25">
      <c r="A72" s="19"/>
      <c r="B72" s="308" t="s">
        <v>91</v>
      </c>
      <c r="C72" s="309"/>
      <c r="D72" s="29">
        <v>514390.1</v>
      </c>
      <c r="E72" s="24">
        <v>617.04999999999995</v>
      </c>
      <c r="F72" s="23">
        <v>7152.85</v>
      </c>
      <c r="G72" s="23">
        <v>53627.839999999997</v>
      </c>
      <c r="H72" s="23">
        <v>575787.84</v>
      </c>
    </row>
    <row r="73" spans="1:8" x14ac:dyDescent="0.25">
      <c r="A73" s="295" t="s">
        <v>92</v>
      </c>
      <c r="B73" s="296"/>
      <c r="C73" s="296"/>
      <c r="D73" s="296"/>
      <c r="E73" s="296"/>
      <c r="F73" s="296"/>
      <c r="G73" s="296"/>
      <c r="H73" s="297"/>
    </row>
    <row r="74" spans="1:8" x14ac:dyDescent="0.25">
      <c r="A74" s="13">
        <v>21</v>
      </c>
      <c r="B74" s="14" t="s">
        <v>93</v>
      </c>
      <c r="C74" s="14" t="s">
        <v>94</v>
      </c>
      <c r="D74" s="16">
        <v>102878.02</v>
      </c>
      <c r="E74" s="18">
        <v>123.41</v>
      </c>
      <c r="F74" s="16">
        <v>1430.57</v>
      </c>
      <c r="G74" s="16">
        <v>10725.57</v>
      </c>
      <c r="H74" s="16">
        <v>115157.57</v>
      </c>
    </row>
    <row r="75" spans="1:8" x14ac:dyDescent="0.25">
      <c r="A75" s="12"/>
      <c r="B75" s="14"/>
      <c r="C75" s="14"/>
      <c r="D75" s="15" t="s">
        <v>95</v>
      </c>
      <c r="E75" s="15" t="s">
        <v>96</v>
      </c>
      <c r="F75" s="15" t="s">
        <v>97</v>
      </c>
      <c r="G75" s="15" t="s">
        <v>98</v>
      </c>
      <c r="H75" s="15"/>
    </row>
    <row r="76" spans="1:8" x14ac:dyDescent="0.25">
      <c r="A76" s="19"/>
      <c r="B76" s="306" t="s">
        <v>99</v>
      </c>
      <c r="C76" s="307"/>
      <c r="D76" s="20">
        <v>102878.02</v>
      </c>
      <c r="E76" s="24">
        <v>123.41</v>
      </c>
      <c r="F76" s="23">
        <v>1430.57</v>
      </c>
      <c r="G76" s="23">
        <v>10725.57</v>
      </c>
      <c r="H76" s="23">
        <v>115157.57</v>
      </c>
    </row>
    <row r="77" spans="1:8" x14ac:dyDescent="0.25">
      <c r="A77" s="19"/>
      <c r="B77" s="308" t="s">
        <v>100</v>
      </c>
      <c r="C77" s="309"/>
      <c r="D77" s="20">
        <v>617268.12</v>
      </c>
      <c r="E77" s="24">
        <v>740.46</v>
      </c>
      <c r="F77" s="23">
        <v>8583.42</v>
      </c>
      <c r="G77" s="23">
        <v>64353.41</v>
      </c>
      <c r="H77" s="23">
        <v>690945.41</v>
      </c>
    </row>
    <row r="78" spans="1:8" x14ac:dyDescent="0.25">
      <c r="A78" s="30"/>
      <c r="B78" s="30" t="s">
        <v>101</v>
      </c>
      <c r="C78" s="30"/>
      <c r="D78" s="30"/>
      <c r="E78" s="30"/>
      <c r="F78" s="30"/>
      <c r="G78" s="30"/>
      <c r="H78" s="31">
        <v>29019.3</v>
      </c>
    </row>
    <row r="81" spans="1:8" x14ac:dyDescent="0.25">
      <c r="A81" s="310" t="s">
        <v>102</v>
      </c>
      <c r="B81" s="310"/>
      <c r="C81" s="32" t="s">
        <v>103</v>
      </c>
      <c r="D81" s="33"/>
      <c r="E81" s="34"/>
      <c r="F81" s="35"/>
      <c r="G81" s="32" t="s">
        <v>104</v>
      </c>
      <c r="H81" s="34"/>
    </row>
    <row r="82" spans="1:8" x14ac:dyDescent="0.25">
      <c r="A82" s="33"/>
      <c r="B82" s="33"/>
      <c r="C82" s="36"/>
      <c r="D82" s="36" t="s">
        <v>105</v>
      </c>
      <c r="E82" s="36"/>
      <c r="F82" s="36"/>
      <c r="G82" s="36"/>
      <c r="H82" s="36"/>
    </row>
    <row r="83" spans="1:8" x14ac:dyDescent="0.25">
      <c r="A83" s="37" t="s">
        <v>106</v>
      </c>
      <c r="B83" s="33"/>
      <c r="C83" s="38" t="s">
        <v>103</v>
      </c>
      <c r="D83" s="33"/>
      <c r="E83" s="38"/>
      <c r="F83" s="38"/>
      <c r="G83" s="32" t="s">
        <v>107</v>
      </c>
      <c r="H83" s="34"/>
    </row>
    <row r="84" spans="1:8" x14ac:dyDescent="0.25">
      <c r="A84" s="33"/>
      <c r="B84" s="33"/>
      <c r="C84" s="36"/>
      <c r="D84" s="36" t="s">
        <v>105</v>
      </c>
      <c r="E84" s="36"/>
      <c r="F84" s="36"/>
      <c r="G84" s="36"/>
      <c r="H84" s="36"/>
    </row>
    <row r="85" spans="1:8" ht="23.25" x14ac:dyDescent="0.25">
      <c r="A85" s="39" t="s">
        <v>2</v>
      </c>
      <c r="B85" s="33"/>
      <c r="C85" s="40" t="s">
        <v>108</v>
      </c>
      <c r="D85" s="35"/>
      <c r="E85" s="34"/>
      <c r="F85" s="35"/>
      <c r="G85" s="311" t="s">
        <v>109</v>
      </c>
      <c r="H85" s="311"/>
    </row>
  </sheetData>
  <mergeCells count="42">
    <mergeCell ref="A81:B81"/>
    <mergeCell ref="G85:H85"/>
    <mergeCell ref="A68:H68"/>
    <mergeCell ref="B71:C71"/>
    <mergeCell ref="B72:C72"/>
    <mergeCell ref="A73:H73"/>
    <mergeCell ref="B76:C76"/>
    <mergeCell ref="B77:C77"/>
    <mergeCell ref="B67:C67"/>
    <mergeCell ref="B36:C36"/>
    <mergeCell ref="A37:H37"/>
    <mergeCell ref="B41:C41"/>
    <mergeCell ref="B42:C42"/>
    <mergeCell ref="A43:H43"/>
    <mergeCell ref="B50:C50"/>
    <mergeCell ref="B51:C51"/>
    <mergeCell ref="A52:H52"/>
    <mergeCell ref="B55:C55"/>
    <mergeCell ref="A56:H56"/>
    <mergeCell ref="B66:C66"/>
    <mergeCell ref="A35:H35"/>
    <mergeCell ref="B17:G17"/>
    <mergeCell ref="B19:G19"/>
    <mergeCell ref="A21:A23"/>
    <mergeCell ref="B21:B23"/>
    <mergeCell ref="C21:C23"/>
    <mergeCell ref="D21:H21"/>
    <mergeCell ref="D22:D23"/>
    <mergeCell ref="E22:E23"/>
    <mergeCell ref="F22:F23"/>
    <mergeCell ref="G22:G23"/>
    <mergeCell ref="H22:H23"/>
    <mergeCell ref="A25:H25"/>
    <mergeCell ref="B31:C31"/>
    <mergeCell ref="A32:H32"/>
    <mergeCell ref="B34:C34"/>
    <mergeCell ref="B16:G16"/>
    <mergeCell ref="C4:G4"/>
    <mergeCell ref="C5:G5"/>
    <mergeCell ref="C9:G9"/>
    <mergeCell ref="C10:G10"/>
    <mergeCell ref="B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ПЗ</vt:lpstr>
      <vt:lpstr>Протокол</vt:lpstr>
      <vt:lpstr>НМЦ</vt:lpstr>
      <vt:lpstr>Проект сметы контракта</vt:lpstr>
      <vt:lpstr>ВОР</vt:lpstr>
      <vt:lpstr>НМЦК</vt:lpstr>
      <vt:lpstr>ССРСС 4 кв.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2023-07-24T08:23:04Z</dcterms:modified>
</cp:coreProperties>
</file>