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2\4. Благоустройство Эльбрус\"/>
    </mc:Choice>
  </mc:AlternateContent>
  <bookViews>
    <workbookView xWindow="0" yWindow="0" windowWidth="28800" windowHeight="13800" tabRatio="771" activeTab="12"/>
  </bookViews>
  <sheets>
    <sheet name="титул" sheetId="11" r:id="rId1"/>
    <sheet name="Содержание " sheetId="10" r:id="rId2"/>
    <sheet name="ССР БЦ" sheetId="12" r:id="rId3"/>
    <sheet name="скан бц " sheetId="14" r:id="rId4"/>
    <sheet name="ССР ТЦ" sheetId="13" r:id="rId5"/>
    <sheet name="скан тц " sheetId="15" r:id="rId6"/>
    <sheet name="стоимость экспертизы " sheetId="16" r:id="rId7"/>
    <sheet name="НМЦК" sheetId="17" r:id="rId8"/>
    <sheet name="НМЦ" sheetId="18" r:id="rId9"/>
    <sheet name="ВОР" sheetId="19" r:id="rId10"/>
    <sheet name="Протокол" sheetId="20" r:id="rId11"/>
    <sheet name="Смета контракта" sheetId="21" r:id="rId12"/>
    <sheet name="ПЗ" sheetId="22" r:id="rId13"/>
  </sheets>
  <definedNames>
    <definedName name="Print_Titles" localSheetId="9">ВОР!$10:$10</definedName>
    <definedName name="Print_Titles" localSheetId="7">НМЦК!$13:$13</definedName>
    <definedName name="Print_Titles" localSheetId="11">'Смета контракта'!$11:$11</definedName>
    <definedName name="Print_Titles" localSheetId="1">'Содержание '!$8:$8</definedName>
    <definedName name="Print_Titles" localSheetId="4">'ССР ТЦ'!$23:$23</definedName>
    <definedName name="_xlnm.Print_Titles" localSheetId="9">ВОР!$10:$10</definedName>
    <definedName name="_xlnm.Print_Titles" localSheetId="7">НМЦК!$13:$13</definedName>
    <definedName name="_xlnm.Print_Titles" localSheetId="11">'Смета контракта'!$11:$11</definedName>
    <definedName name="_xlnm.Print_Titles" localSheetId="1">'Содержание '!$8:$8</definedName>
    <definedName name="_xlnm.Print_Titles" localSheetId="4">'ССР ТЦ'!$23:$23</definedName>
    <definedName name="_xlnm.Print_Area" localSheetId="9">ВОР!$A$1:$F$37</definedName>
    <definedName name="_xlnm.Print_Area" localSheetId="8">НМЦ!$A$1:$F$27</definedName>
    <definedName name="_xlnm.Print_Area" localSheetId="7">НМЦК!$A$1:$J$42</definedName>
    <definedName name="_xlnm.Print_Area" localSheetId="12">ПЗ!$A$1:$C$21</definedName>
    <definedName name="_xlnm.Print_Area" localSheetId="11">'Смета контракта'!$B$1:$I$40</definedName>
    <definedName name="_xlnm.Print_Area" localSheetId="4">'ССР ТЦ'!$A$1:$I$97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4" i="17" l="1"/>
  <c r="H39" i="17" l="1"/>
  <c r="I39" i="17"/>
  <c r="J39" i="17"/>
  <c r="K39" i="17"/>
  <c r="L39" i="17"/>
  <c r="M39" i="17"/>
  <c r="N39" i="17"/>
  <c r="P39" i="17"/>
  <c r="G39" i="17"/>
  <c r="F39" i="17"/>
  <c r="E39" i="17"/>
  <c r="H84" i="13" l="1"/>
  <c r="D7" i="18" l="1"/>
  <c r="H64" i="17"/>
  <c r="D8" i="18"/>
  <c r="H35" i="21" l="1"/>
  <c r="I35" i="21" s="1"/>
  <c r="H36" i="21"/>
  <c r="I36" i="21" s="1"/>
  <c r="I12" i="21"/>
  <c r="H12" i="21"/>
  <c r="D6" i="18"/>
  <c r="K37" i="17"/>
  <c r="L37" i="17" s="1"/>
  <c r="K38" i="17"/>
  <c r="L38" i="17" s="1"/>
  <c r="O15" i="17"/>
  <c r="H67" i="17"/>
  <c r="F67" i="17"/>
  <c r="H63" i="17"/>
  <c r="H56" i="17"/>
  <c r="F56" i="17"/>
  <c r="O45" i="17"/>
  <c r="O37" i="17" s="1"/>
  <c r="I38" i="17"/>
  <c r="I37" i="17"/>
  <c r="I36" i="17"/>
  <c r="I35" i="17"/>
  <c r="O32" i="17" l="1"/>
  <c r="O20" i="17"/>
  <c r="O24" i="17"/>
  <c r="O38" i="17"/>
  <c r="H68" i="17"/>
  <c r="O28" i="17"/>
  <c r="O16" i="17"/>
  <c r="O21" i="17"/>
  <c r="O25" i="17"/>
  <c r="O29" i="17"/>
  <c r="O35" i="17"/>
  <c r="O33" i="17"/>
  <c r="O18" i="17"/>
  <c r="O22" i="17"/>
  <c r="O26" i="17"/>
  <c r="O30" i="17"/>
  <c r="O36" i="17"/>
  <c r="O19" i="17"/>
  <c r="O23" i="17"/>
  <c r="O27" i="17"/>
  <c r="O31" i="17"/>
  <c r="M38" i="17"/>
  <c r="M37" i="17"/>
  <c r="H54" i="17"/>
  <c r="H52" i="17" s="1"/>
  <c r="E68" i="17"/>
  <c r="I32" i="17"/>
  <c r="H31" i="17"/>
  <c r="H30" i="17"/>
  <c r="F31" i="17"/>
  <c r="G31" i="17" s="1"/>
  <c r="F30" i="17"/>
  <c r="E30" i="17"/>
  <c r="E29" i="17"/>
  <c r="G29" i="17" s="1"/>
  <c r="K29" i="17" s="1"/>
  <c r="E28" i="17"/>
  <c r="G28" i="17" s="1"/>
  <c r="J28" i="17" s="1"/>
  <c r="E27" i="17"/>
  <c r="G27" i="17" s="1"/>
  <c r="K27" i="17" s="1"/>
  <c r="L27" i="17" s="1"/>
  <c r="E26" i="17"/>
  <c r="F25" i="17"/>
  <c r="E25" i="17"/>
  <c r="E24" i="17"/>
  <c r="G24" i="17" s="1"/>
  <c r="F23" i="17"/>
  <c r="E23" i="17"/>
  <c r="H22" i="17"/>
  <c r="H21" i="17"/>
  <c r="F22" i="17"/>
  <c r="E22" i="17"/>
  <c r="F21" i="17"/>
  <c r="J33" i="17"/>
  <c r="J34" i="17"/>
  <c r="J37" i="17"/>
  <c r="J38" i="17"/>
  <c r="E20" i="17"/>
  <c r="I19" i="17"/>
  <c r="E18" i="17"/>
  <c r="G18" i="17" s="1"/>
  <c r="K18" i="17" s="1"/>
  <c r="K34" i="17"/>
  <c r="L34" i="17" s="1"/>
  <c r="K33" i="17"/>
  <c r="M33" i="17" s="1"/>
  <c r="I15" i="17"/>
  <c r="T14" i="17"/>
  <c r="M14" i="17"/>
  <c r="L14" i="17"/>
  <c r="K14" i="17"/>
  <c r="G36" i="17"/>
  <c r="K36" i="17" s="1"/>
  <c r="M36" i="17" s="1"/>
  <c r="G35" i="17"/>
  <c r="K35" i="17" s="1"/>
  <c r="L35" i="17" s="1"/>
  <c r="G32" i="17"/>
  <c r="K32" i="17" s="1"/>
  <c r="G26" i="17"/>
  <c r="G20" i="17"/>
  <c r="J20" i="17" s="1"/>
  <c r="G19" i="17"/>
  <c r="K19" i="17" s="1"/>
  <c r="M19" i="17" s="1"/>
  <c r="F17" i="17" l="1"/>
  <c r="F40" i="17" s="1"/>
  <c r="F41" i="17" s="1"/>
  <c r="F42" i="17" s="1"/>
  <c r="E17" i="17"/>
  <c r="E40" i="17" s="1"/>
  <c r="G23" i="17"/>
  <c r="J23" i="17" s="1"/>
  <c r="I16" i="17"/>
  <c r="J16" i="17" s="1"/>
  <c r="N16" i="17" s="1"/>
  <c r="P16" i="17" s="1"/>
  <c r="I17" i="17"/>
  <c r="H17" i="17"/>
  <c r="H40" i="17" s="1"/>
  <c r="H57" i="17"/>
  <c r="Q16" i="17" s="1"/>
  <c r="G30" i="17"/>
  <c r="K30" i="17" s="1"/>
  <c r="L30" i="17" s="1"/>
  <c r="G25" i="17"/>
  <c r="J25" i="17" s="1"/>
  <c r="G21" i="17"/>
  <c r="J21" i="17" s="1"/>
  <c r="J32" i="17"/>
  <c r="K28" i="17"/>
  <c r="M28" i="17" s="1"/>
  <c r="J27" i="17"/>
  <c r="N38" i="17"/>
  <c r="P38" i="17" s="1"/>
  <c r="Q21" i="17"/>
  <c r="Q25" i="17"/>
  <c r="Q29" i="17"/>
  <c r="Q38" i="17"/>
  <c r="Q22" i="17"/>
  <c r="Q26" i="17"/>
  <c r="Q30" i="17"/>
  <c r="Q33" i="17"/>
  <c r="Q35" i="17"/>
  <c r="Q18" i="17"/>
  <c r="Q19" i="17"/>
  <c r="Q23" i="17"/>
  <c r="Q27" i="17"/>
  <c r="Q31" i="17"/>
  <c r="Q36" i="17"/>
  <c r="Q20" i="17"/>
  <c r="Q24" i="17"/>
  <c r="Q28" i="17"/>
  <c r="Q32" i="17"/>
  <c r="Q37" i="17"/>
  <c r="L33" i="17"/>
  <c r="N33" i="17" s="1"/>
  <c r="P33" i="17" s="1"/>
  <c r="M34" i="17"/>
  <c r="N34" i="17" s="1"/>
  <c r="P34" i="17" s="1"/>
  <c r="R34" i="17" s="1"/>
  <c r="J19" i="17"/>
  <c r="J36" i="17"/>
  <c r="N37" i="17"/>
  <c r="P37" i="17" s="1"/>
  <c r="E57" i="17"/>
  <c r="M35" i="17"/>
  <c r="J35" i="17"/>
  <c r="J26" i="17"/>
  <c r="K20" i="17"/>
  <c r="M20" i="17" s="1"/>
  <c r="K26" i="17"/>
  <c r="L26" i="17" s="1"/>
  <c r="K31" i="17"/>
  <c r="L31" i="17" s="1"/>
  <c r="J31" i="17"/>
  <c r="J30" i="17"/>
  <c r="J29" i="17"/>
  <c r="M27" i="17"/>
  <c r="K25" i="17"/>
  <c r="M25" i="17" s="1"/>
  <c r="J24" i="17"/>
  <c r="K24" i="17"/>
  <c r="M24" i="17" s="1"/>
  <c r="G22" i="17"/>
  <c r="K21" i="17"/>
  <c r="M21" i="17" s="1"/>
  <c r="M29" i="17"/>
  <c r="L29" i="17"/>
  <c r="M32" i="17"/>
  <c r="L32" i="17"/>
  <c r="L36" i="17"/>
  <c r="L19" i="17"/>
  <c r="J15" i="17"/>
  <c r="F7" i="16"/>
  <c r="I26" i="13"/>
  <c r="I27" i="13" s="1"/>
  <c r="I50" i="13" s="1"/>
  <c r="E27" i="13"/>
  <c r="E50" i="13" s="1"/>
  <c r="H27" i="13"/>
  <c r="H50" i="13" s="1"/>
  <c r="H54" i="13" s="1"/>
  <c r="F50" i="13"/>
  <c r="F52" i="13" s="1"/>
  <c r="F53" i="13" s="1"/>
  <c r="G50" i="13"/>
  <c r="G54" i="13" s="1"/>
  <c r="G65" i="13" s="1"/>
  <c r="G78" i="13" s="1"/>
  <c r="I58" i="13"/>
  <c r="I59" i="13"/>
  <c r="I60" i="13"/>
  <c r="H61" i="13"/>
  <c r="I61" i="13" s="1"/>
  <c r="I62" i="13"/>
  <c r="I63" i="13"/>
  <c r="I70" i="13"/>
  <c r="I71" i="13"/>
  <c r="I72" i="13"/>
  <c r="I74" i="13"/>
  <c r="H75" i="13"/>
  <c r="I75" i="13" s="1"/>
  <c r="I76" i="13"/>
  <c r="H26" i="12"/>
  <c r="H27" i="12" s="1"/>
  <c r="H50" i="12" s="1"/>
  <c r="D27" i="12"/>
  <c r="D50" i="12" s="1"/>
  <c r="G27" i="12"/>
  <c r="G50" i="12" s="1"/>
  <c r="G54" i="12" s="1"/>
  <c r="E50" i="12"/>
  <c r="E52" i="12" s="1"/>
  <c r="E53" i="12" s="1"/>
  <c r="F50" i="12"/>
  <c r="F54" i="12" s="1"/>
  <c r="F65" i="12" s="1"/>
  <c r="F78" i="12" s="1"/>
  <c r="H58" i="12"/>
  <c r="H59" i="12"/>
  <c r="H60" i="12"/>
  <c r="G61" i="12"/>
  <c r="H61" i="12" s="1"/>
  <c r="G62" i="12"/>
  <c r="H62" i="12"/>
  <c r="G63" i="12"/>
  <c r="H63" i="12"/>
  <c r="H70" i="12"/>
  <c r="H71" i="12"/>
  <c r="H72" i="12"/>
  <c r="H74" i="12"/>
  <c r="G75" i="12"/>
  <c r="H75" i="12"/>
  <c r="G76" i="12"/>
  <c r="H76" i="12"/>
  <c r="L25" i="17" l="1"/>
  <c r="K23" i="17"/>
  <c r="L23" i="17" s="1"/>
  <c r="I14" i="17"/>
  <c r="I40" i="17" s="1"/>
  <c r="I41" i="17" s="1"/>
  <c r="I42" i="17" s="1"/>
  <c r="G17" i="17"/>
  <c r="G40" i="17" s="1"/>
  <c r="G41" i="17" s="1"/>
  <c r="G42" i="17" s="1"/>
  <c r="Q15" i="17"/>
  <c r="R16" i="17"/>
  <c r="M30" i="17"/>
  <c r="N30" i="17" s="1"/>
  <c r="P30" i="17" s="1"/>
  <c r="R30" i="17" s="1"/>
  <c r="L28" i="17"/>
  <c r="R33" i="17"/>
  <c r="L21" i="17"/>
  <c r="N21" i="17" s="1"/>
  <c r="P21" i="17" s="1"/>
  <c r="R21" i="17" s="1"/>
  <c r="J18" i="17"/>
  <c r="L24" i="17"/>
  <c r="N27" i="17"/>
  <c r="P27" i="17" s="1"/>
  <c r="R27" i="17" s="1"/>
  <c r="N28" i="17"/>
  <c r="P28" i="17" s="1"/>
  <c r="R28" i="17" s="1"/>
  <c r="N32" i="17"/>
  <c r="P32" i="17" s="1"/>
  <c r="M18" i="17"/>
  <c r="K22" i="17"/>
  <c r="L22" i="17" s="1"/>
  <c r="R38" i="17"/>
  <c r="H64" i="13"/>
  <c r="H65" i="13" s="1"/>
  <c r="N19" i="17"/>
  <c r="L20" i="17"/>
  <c r="N20" i="17" s="1"/>
  <c r="P20" i="17" s="1"/>
  <c r="R20" i="17" s="1"/>
  <c r="N35" i="17"/>
  <c r="P35" i="17" s="1"/>
  <c r="R35" i="17" s="1"/>
  <c r="R37" i="17"/>
  <c r="E41" i="17"/>
  <c r="E42" i="17" s="1"/>
  <c r="H41" i="17"/>
  <c r="H42" i="17" s="1"/>
  <c r="F32" i="21"/>
  <c r="G32" i="21" s="1"/>
  <c r="N36" i="17"/>
  <c r="P36" i="17" s="1"/>
  <c r="R36" i="17" s="1"/>
  <c r="N29" i="17"/>
  <c r="P29" i="17" s="1"/>
  <c r="J22" i="17"/>
  <c r="L18" i="17"/>
  <c r="M26" i="17"/>
  <c r="N26" i="17" s="1"/>
  <c r="P26" i="17" s="1"/>
  <c r="R26" i="17" s="1"/>
  <c r="N24" i="17"/>
  <c r="P24" i="17" s="1"/>
  <c r="R24" i="17" s="1"/>
  <c r="M31" i="17"/>
  <c r="N31" i="17" s="1"/>
  <c r="P31" i="17" s="1"/>
  <c r="R31" i="17" s="1"/>
  <c r="N25" i="17"/>
  <c r="P25" i="17" s="1"/>
  <c r="R25" i="17" s="1"/>
  <c r="M23" i="17"/>
  <c r="N23" i="17" s="1"/>
  <c r="P23" i="17" s="1"/>
  <c r="R23" i="17" s="1"/>
  <c r="M22" i="17"/>
  <c r="R29" i="17"/>
  <c r="R32" i="17"/>
  <c r="J14" i="17"/>
  <c r="N15" i="17"/>
  <c r="E52" i="13"/>
  <c r="G80" i="13"/>
  <c r="G81" i="13" s="1"/>
  <c r="G82" i="13" s="1"/>
  <c r="F54" i="13"/>
  <c r="F57" i="13" s="1"/>
  <c r="F64" i="13" s="1"/>
  <c r="F65" i="13" s="1"/>
  <c r="F78" i="13" s="1"/>
  <c r="D52" i="12"/>
  <c r="F80" i="12"/>
  <c r="F81" i="12" s="1"/>
  <c r="F82" i="12" s="1"/>
  <c r="F83" i="12" s="1"/>
  <c r="G64" i="12"/>
  <c r="G65" i="12" s="1"/>
  <c r="E54" i="12"/>
  <c r="E57" i="12" s="1"/>
  <c r="E64" i="12" s="1"/>
  <c r="E65" i="12" s="1"/>
  <c r="E78" i="12" s="1"/>
  <c r="F22" i="21" l="1"/>
  <c r="G22" i="21" s="1"/>
  <c r="S24" i="17"/>
  <c r="S23" i="17"/>
  <c r="F21" i="21" s="1"/>
  <c r="G21" i="21" s="1"/>
  <c r="F34" i="21"/>
  <c r="G34" i="21" s="1"/>
  <c r="S36" i="17"/>
  <c r="S37" i="17"/>
  <c r="F35" i="21" s="1"/>
  <c r="G35" i="21" s="1"/>
  <c r="F28" i="21"/>
  <c r="G28" i="21" s="1"/>
  <c r="S30" i="17"/>
  <c r="S32" i="17"/>
  <c r="U32" i="17" s="1"/>
  <c r="T32" i="17" s="1"/>
  <c r="F23" i="21"/>
  <c r="G23" i="21" s="1"/>
  <c r="S25" i="17"/>
  <c r="S35" i="17"/>
  <c r="U35" i="17" s="1"/>
  <c r="T35" i="17" s="1"/>
  <c r="H33" i="21" s="1"/>
  <c r="I33" i="21" s="1"/>
  <c r="F36" i="21"/>
  <c r="G36" i="21" s="1"/>
  <c r="S38" i="17"/>
  <c r="S28" i="17"/>
  <c r="U28" i="17" s="1"/>
  <c r="F19" i="21"/>
  <c r="G19" i="21" s="1"/>
  <c r="S21" i="17"/>
  <c r="S26" i="17"/>
  <c r="F24" i="21" s="1"/>
  <c r="G24" i="21" s="1"/>
  <c r="F27" i="21"/>
  <c r="G27" i="21" s="1"/>
  <c r="S29" i="17"/>
  <c r="S31" i="17"/>
  <c r="F29" i="21" s="1"/>
  <c r="G29" i="21" s="1"/>
  <c r="F18" i="21"/>
  <c r="G18" i="21" s="1"/>
  <c r="S20" i="17"/>
  <c r="S27" i="17"/>
  <c r="U27" i="17" s="1"/>
  <c r="F31" i="21"/>
  <c r="G31" i="21" s="1"/>
  <c r="S33" i="17"/>
  <c r="S16" i="17"/>
  <c r="F14" i="21" s="1"/>
  <c r="G14" i="21" s="1"/>
  <c r="L17" i="17"/>
  <c r="M17" i="17"/>
  <c r="M40" i="17" s="1"/>
  <c r="M41" i="17" s="1"/>
  <c r="M42" i="17" s="1"/>
  <c r="K17" i="17"/>
  <c r="K40" i="17" s="1"/>
  <c r="K41" i="17" s="1"/>
  <c r="K42" i="17" s="1"/>
  <c r="J17" i="17"/>
  <c r="J40" i="17" s="1"/>
  <c r="J41" i="17" s="1"/>
  <c r="J42" i="17" s="1"/>
  <c r="P19" i="17"/>
  <c r="U25" i="17"/>
  <c r="U31" i="17"/>
  <c r="T31" i="17" s="1"/>
  <c r="U29" i="17"/>
  <c r="T29" i="17" s="1"/>
  <c r="U24" i="17"/>
  <c r="U20" i="17"/>
  <c r="U33" i="17"/>
  <c r="T33" i="17" s="1"/>
  <c r="H31" i="21" s="1"/>
  <c r="I31" i="21" s="1"/>
  <c r="U23" i="17"/>
  <c r="U21" i="17"/>
  <c r="U30" i="17"/>
  <c r="T30" i="17" s="1"/>
  <c r="U36" i="17"/>
  <c r="T36" i="17" s="1"/>
  <c r="H34" i="21" s="1"/>
  <c r="I34" i="21" s="1"/>
  <c r="N18" i="17"/>
  <c r="N22" i="17"/>
  <c r="P22" i="17" s="1"/>
  <c r="R22" i="17" s="1"/>
  <c r="U34" i="17"/>
  <c r="T34" i="17" s="1"/>
  <c r="H32" i="21" s="1"/>
  <c r="I32" i="21" s="1"/>
  <c r="L40" i="17"/>
  <c r="N14" i="17"/>
  <c r="P15" i="17"/>
  <c r="G84" i="13"/>
  <c r="G85" i="13" s="1"/>
  <c r="G86" i="13" s="1"/>
  <c r="F80" i="13"/>
  <c r="F81" i="13" s="1"/>
  <c r="F82" i="13" s="1"/>
  <c r="F84" i="13" s="1"/>
  <c r="I52" i="13"/>
  <c r="I53" i="13" s="1"/>
  <c r="I54" i="13" s="1"/>
  <c r="E53" i="13"/>
  <c r="E54" i="13" s="1"/>
  <c r="E57" i="13" s="1"/>
  <c r="E80" i="12"/>
  <c r="E81" i="12" s="1"/>
  <c r="E82" i="12"/>
  <c r="E83" i="12" s="1"/>
  <c r="H52" i="12"/>
  <c r="H53" i="12" s="1"/>
  <c r="H54" i="12" s="1"/>
  <c r="D53" i="12"/>
  <c r="D54" i="12" s="1"/>
  <c r="D57" i="12" s="1"/>
  <c r="F25" i="21" l="1"/>
  <c r="G25" i="21" s="1"/>
  <c r="F26" i="21"/>
  <c r="G26" i="21" s="1"/>
  <c r="F33" i="21"/>
  <c r="G33" i="21" s="1"/>
  <c r="F30" i="21"/>
  <c r="G30" i="21" s="1"/>
  <c r="U26" i="17"/>
  <c r="S22" i="17"/>
  <c r="F20" i="21" s="1"/>
  <c r="G20" i="21" s="1"/>
  <c r="D14" i="18"/>
  <c r="E14" i="18" s="1"/>
  <c r="F14" i="18" s="1"/>
  <c r="T26" i="17"/>
  <c r="V26" i="17"/>
  <c r="T25" i="17"/>
  <c r="H23" i="21" s="1"/>
  <c r="I23" i="21" s="1"/>
  <c r="V25" i="17"/>
  <c r="T21" i="17"/>
  <c r="V21" i="17"/>
  <c r="T27" i="17"/>
  <c r="H25" i="21" s="1"/>
  <c r="I25" i="21" s="1"/>
  <c r="V27" i="17"/>
  <c r="T23" i="17"/>
  <c r="V23" i="17"/>
  <c r="T20" i="17"/>
  <c r="H18" i="21" s="1"/>
  <c r="I18" i="21" s="1"/>
  <c r="V20" i="17"/>
  <c r="T24" i="17"/>
  <c r="V24" i="17"/>
  <c r="T28" i="17"/>
  <c r="H26" i="21" s="1"/>
  <c r="I26" i="21" s="1"/>
  <c r="V28" i="17"/>
  <c r="H30" i="21"/>
  <c r="I30" i="21" s="1"/>
  <c r="H28" i="21"/>
  <c r="I28" i="21" s="1"/>
  <c r="H24" i="21"/>
  <c r="I24" i="21" s="1"/>
  <c r="H22" i="21"/>
  <c r="I22" i="21" s="1"/>
  <c r="H29" i="21"/>
  <c r="I29" i="21" s="1"/>
  <c r="H19" i="21"/>
  <c r="I19" i="21" s="1"/>
  <c r="H27" i="21"/>
  <c r="I27" i="21" s="1"/>
  <c r="H21" i="21"/>
  <c r="I21" i="21" s="1"/>
  <c r="N17" i="17"/>
  <c r="N40" i="17" s="1"/>
  <c r="N41" i="17" s="1"/>
  <c r="N42" i="17" s="1"/>
  <c r="R19" i="17"/>
  <c r="P18" i="17"/>
  <c r="L41" i="17"/>
  <c r="L42" i="17" s="1"/>
  <c r="P14" i="17"/>
  <c r="R15" i="17"/>
  <c r="F85" i="13"/>
  <c r="F86" i="13" s="1"/>
  <c r="I57" i="13"/>
  <c r="I64" i="13" s="1"/>
  <c r="I65" i="13" s="1"/>
  <c r="E64" i="13"/>
  <c r="E65" i="13" s="1"/>
  <c r="D64" i="12"/>
  <c r="H57" i="12"/>
  <c r="S19" i="17" l="1"/>
  <c r="F17" i="21" s="1"/>
  <c r="G17" i="21" s="1"/>
  <c r="U22" i="17"/>
  <c r="T22" i="17" s="1"/>
  <c r="H20" i="21" s="1"/>
  <c r="I20" i="21" s="1"/>
  <c r="R14" i="17"/>
  <c r="S15" i="17"/>
  <c r="V22" i="17"/>
  <c r="P17" i="17"/>
  <c r="P40" i="17" s="1"/>
  <c r="P41" i="17" s="1"/>
  <c r="P42" i="17" s="1"/>
  <c r="R18" i="17"/>
  <c r="U19" i="17"/>
  <c r="H73" i="13"/>
  <c r="H67" i="13"/>
  <c r="E78" i="13"/>
  <c r="H64" i="12"/>
  <c r="D65" i="12"/>
  <c r="S18" i="17" l="1"/>
  <c r="S39" i="17" s="1"/>
  <c r="D19" i="18" s="1"/>
  <c r="R39" i="17"/>
  <c r="T19" i="17"/>
  <c r="V19" i="17"/>
  <c r="U18" i="17"/>
  <c r="T18" i="17" s="1"/>
  <c r="H17" i="21"/>
  <c r="I17" i="21" s="1"/>
  <c r="R17" i="17"/>
  <c r="R40" i="17" s="1"/>
  <c r="R41" i="17" s="1"/>
  <c r="R42" i="17" s="1"/>
  <c r="S14" i="17"/>
  <c r="D15" i="18" s="1"/>
  <c r="F13" i="21"/>
  <c r="H68" i="13"/>
  <c r="I67" i="13"/>
  <c r="I68" i="13" s="1"/>
  <c r="I73" i="13"/>
  <c r="I77" i="13" s="1"/>
  <c r="H77" i="13"/>
  <c r="E80" i="13"/>
  <c r="E81" i="13" s="1"/>
  <c r="E82" i="13" s="1"/>
  <c r="D78" i="12"/>
  <c r="H65" i="12"/>
  <c r="G67" i="12"/>
  <c r="F16" i="21" l="1"/>
  <c r="F15" i="21" s="1"/>
  <c r="H16" i="21"/>
  <c r="T39" i="17"/>
  <c r="S17" i="17"/>
  <c r="S40" i="17" s="1"/>
  <c r="F37" i="21"/>
  <c r="G37" i="21" s="1"/>
  <c r="H37" i="21"/>
  <c r="I37" i="21" s="1"/>
  <c r="D12" i="18"/>
  <c r="E12" i="18" s="1"/>
  <c r="G13" i="21"/>
  <c r="G12" i="21" s="1"/>
  <c r="F12" i="21"/>
  <c r="E19" i="18"/>
  <c r="F19" i="18" s="1"/>
  <c r="D24" i="18"/>
  <c r="E24" i="18" s="1"/>
  <c r="F24" i="18" s="1"/>
  <c r="E15" i="18"/>
  <c r="F15" i="18" s="1"/>
  <c r="H78" i="13"/>
  <c r="H80" i="13" s="1"/>
  <c r="E84" i="13"/>
  <c r="E85" i="13" s="1"/>
  <c r="E86" i="13" s="1"/>
  <c r="I78" i="13"/>
  <c r="H67" i="12"/>
  <c r="H68" i="12" s="1"/>
  <c r="G68" i="12"/>
  <c r="G73" i="12"/>
  <c r="D80" i="12"/>
  <c r="D81" i="12" s="1"/>
  <c r="D82" i="12" s="1"/>
  <c r="D83" i="12" s="1"/>
  <c r="F38" i="21" l="1"/>
  <c r="G16" i="21"/>
  <c r="G15" i="21" s="1"/>
  <c r="D20" i="18"/>
  <c r="E20" i="18" s="1"/>
  <c r="F20" i="18" s="1"/>
  <c r="D16" i="18"/>
  <c r="E16" i="18" s="1"/>
  <c r="F16" i="18" s="1"/>
  <c r="S41" i="17"/>
  <c r="S42" i="17" s="1"/>
  <c r="U42" i="17" s="1"/>
  <c r="T17" i="17"/>
  <c r="D18" i="18" s="1"/>
  <c r="E18" i="18" s="1"/>
  <c r="F18" i="18" s="1"/>
  <c r="H15" i="21"/>
  <c r="H38" i="21" s="1"/>
  <c r="H39" i="21" s="1"/>
  <c r="H40" i="21" s="1"/>
  <c r="G38" i="21"/>
  <c r="G39" i="21" s="1"/>
  <c r="G40" i="21" s="1"/>
  <c r="I16" i="21"/>
  <c r="F12" i="18"/>
  <c r="E11" i="18"/>
  <c r="E21" i="18" s="1"/>
  <c r="H81" i="13"/>
  <c r="H82" i="13" s="1"/>
  <c r="I80" i="13"/>
  <c r="I81" i="13" s="1"/>
  <c r="I82" i="13" s="1"/>
  <c r="H73" i="12"/>
  <c r="H77" i="12" s="1"/>
  <c r="H78" i="12" s="1"/>
  <c r="G77" i="12"/>
  <c r="G78" i="12"/>
  <c r="F11" i="18" l="1"/>
  <c r="B19" i="22" s="1"/>
  <c r="D25" i="18"/>
  <c r="D11" i="18"/>
  <c r="D21" i="18" s="1"/>
  <c r="I15" i="21"/>
  <c r="I38" i="21" s="1"/>
  <c r="I39" i="21" s="1"/>
  <c r="I40" i="21" s="1"/>
  <c r="D23" i="18"/>
  <c r="E23" i="18" s="1"/>
  <c r="F23" i="18" s="1"/>
  <c r="T40" i="17"/>
  <c r="T41" i="17" s="1"/>
  <c r="T42" i="17" s="1"/>
  <c r="F21" i="18"/>
  <c r="G6" i="20"/>
  <c r="F39" i="21"/>
  <c r="F40" i="21" s="1"/>
  <c r="E25" i="18"/>
  <c r="F25" i="18" s="1"/>
  <c r="G80" i="12"/>
  <c r="H85" i="13" l="1"/>
  <c r="H86" i="13" s="1"/>
  <c r="I84" i="13"/>
  <c r="I85" i="13" s="1"/>
  <c r="G81" i="12"/>
  <c r="H80" i="12"/>
  <c r="H81" i="12" l="1"/>
  <c r="G82" i="12"/>
  <c r="H82" i="12" l="1"/>
  <c r="G83" i="12"/>
</calcChain>
</file>

<file path=xl/comments1.xml><?xml version="1.0" encoding="utf-8"?>
<comments xmlns="http://schemas.openxmlformats.org/spreadsheetml/2006/main">
  <authors>
    <author>Alex</author>
  </authors>
  <commentList>
    <comment ref="B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8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4.xml><?xml version="1.0" encoding="utf-8"?>
<comments xmlns="http://schemas.openxmlformats.org/spreadsheetml/2006/main">
  <authors>
    <author>Alex</author>
  </authors>
  <commentList>
    <comment ref="B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sharedStrings.xml><?xml version="1.0" encoding="utf-8"?>
<sst xmlns="http://schemas.openxmlformats.org/spreadsheetml/2006/main" count="859" uniqueCount="348">
  <si>
    <t xml:space="preserve">Заказчик </t>
  </si>
  <si>
    <t>(наименование организации)</t>
  </si>
  <si>
    <t>(ссылка на документ об утверждении)</t>
  </si>
  <si>
    <t>(наименование стройки)</t>
  </si>
  <si>
    <t>№ пп</t>
  </si>
  <si>
    <t>монтажных работ</t>
  </si>
  <si>
    <t>Утверждено приказом № 421 от 4 августа 2020 г. Минстроя РФ</t>
  </si>
  <si>
    <t>Приложение № 6</t>
  </si>
  <si>
    <t xml:space="preserve">Сводный сметный расчет сметной стоимостью   </t>
  </si>
  <si>
    <t>"Утвержден" «     »______________________20__ г.</t>
  </si>
  <si>
    <t>СВОДНЫЙ СМЕТНЫЙ РАСЧЕТ СТОИМОСТИ СТРОИТЕЛЬСТВА № ССРСС-</t>
  </si>
  <si>
    <t>Обоснование</t>
  </si>
  <si>
    <t>Наименование глав, объектов капитального строительства, работ и затрат</t>
  </si>
  <si>
    <t xml:space="preserve">строительных
(ремонтно- строительных, ремонтно- реставрационных) работ
</t>
  </si>
  <si>
    <t>оборудования</t>
  </si>
  <si>
    <t>прочих затрат</t>
  </si>
  <si>
    <t>всего</t>
  </si>
  <si>
    <t>Глава 1. Подготовка территории строительства</t>
  </si>
  <si>
    <t>01-01-02</t>
  </si>
  <si>
    <t/>
  </si>
  <si>
    <t>Итого по Главе 1. "Подготовка территории строительства"</t>
  </si>
  <si>
    <t>Глава 2. Основные объекты строительства</t>
  </si>
  <si>
    <t>02-01-02</t>
  </si>
  <si>
    <t>Итого по Главе 2. "Основные объекты строительства"</t>
  </si>
  <si>
    <t>Глава 5. Объекты транспортного хозяйства и связи</t>
  </si>
  <si>
    <t>05-01-01</t>
  </si>
  <si>
    <t>Наружные сети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</si>
  <si>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</si>
  <si>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</si>
  <si>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06-01-01</t>
  </si>
  <si>
    <t>Система водоотведения</t>
  </si>
  <si>
    <t>06-01-02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</si>
  <si>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</si>
  <si>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</si>
  <si>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07-01-01</t>
  </si>
  <si>
    <t>Наружное освещение</t>
  </si>
  <si>
    <t>07-01-02</t>
  </si>
  <si>
    <t>Благоустройство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</si>
  <si>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</si>
  <si>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</si>
  <si>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</si>
  <si>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Итого по Главам 1-8</t>
  </si>
  <si>
    <t>Глава 9. Прочие работы и затраты</t>
  </si>
  <si>
    <t>09-01-01</t>
  </si>
  <si>
    <t>Пусконаладочные работы</t>
  </si>
  <si>
    <t>Итого по Главе 9. "Прочие работы и затраты"</t>
  </si>
  <si>
    <t>Итого по Главам 1-9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</si>
  <si>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</si>
  <si>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по Главам 1-12</t>
  </si>
  <si>
    <t>Непредвиденные затраты</t>
  </si>
  <si>
    <t>Итого с учетом "Непредвиденные затраты"</t>
  </si>
  <si>
    <t>Налоги и обязательные платежи</t>
  </si>
  <si>
    <t>Итого по сводному расчету</t>
  </si>
  <si>
    <t>01-01-01</t>
  </si>
  <si>
    <t>Создание геодезической разбивочной основы и вынос в натуру основных осей линейного сооружения.</t>
  </si>
  <si>
    <t>Сметная стоимость, тыс.руб.</t>
  </si>
  <si>
    <t>Итого по Главе 8. "Временные здания и сооружения"</t>
  </si>
  <si>
    <t>СР-1</t>
  </si>
  <si>
    <t xml:space="preserve">Расходы на командировки рабочих, привлекаемых для строительства  </t>
  </si>
  <si>
    <t>Расходы на утилизацию отходов</t>
  </si>
  <si>
    <t>Размер платы выбросов загрязняющих веществ в атмо-
сферный воздух источниками в период строительства</t>
  </si>
  <si>
    <t>Размер платы экологического мониторинга на период строительства (Санитарно-химический мониторинг почво-грунтов)</t>
  </si>
  <si>
    <t>Дополнительные затрат при производстве строительно-монтажных работ в зимнее время  0,5 % от СМР 1-8</t>
  </si>
  <si>
    <t>Глава 10. Содержание службы заказчика-застройщика (технического надзора) строящегося предприятия</t>
  </si>
  <si>
    <t>Постановление правительства РФ от 21 июня 2010 года №468</t>
  </si>
  <si>
    <t>Итого по главе 10</t>
  </si>
  <si>
    <t>Разработка проектной документации</t>
  </si>
  <si>
    <t>Разработка рабочей документации</t>
  </si>
  <si>
    <t>Авторский надзор 0,2%</t>
  </si>
  <si>
    <t>СР-2</t>
  </si>
  <si>
    <t>Расходы на проезд специалистов, осуществляющих авторский надзор</t>
  </si>
  <si>
    <t>Итого по главе 12</t>
  </si>
  <si>
    <t>дог.0342Д-22/ГГЭ-31081/13-01/БС</t>
  </si>
  <si>
    <t xml:space="preserve">Стоимость проведения экологической экспертизы 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</si>
  <si>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</si>
  <si>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</si>
  <si>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</si>
  <si>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№ 303-ФЗ от 3.08.2018</t>
  </si>
  <si>
    <t>НДС - 20%</t>
  </si>
  <si>
    <t>Итого "Налоги и обязательные платежи"</t>
  </si>
  <si>
    <t>тыс. руб.</t>
  </si>
  <si>
    <t>Размер платы выбросов загрязняющих веществ в атмосферный воздух источниками в период строительства</t>
  </si>
  <si>
    <t>Подготовка технического плана инженерного сооружения</t>
  </si>
  <si>
    <t>СР-6</t>
  </si>
  <si>
    <t>"Всесезонный туристско 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сценой"</t>
  </si>
  <si>
    <t>"Всесезонный туристско 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сценой."</t>
  </si>
  <si>
    <t>Глава 4. Объекты энергетического хозяйства.</t>
  </si>
  <si>
    <t>Итого по Главе 4. "Объекты энергетического хозяйства"</t>
  </si>
  <si>
    <t>Демонтажные работы</t>
  </si>
  <si>
    <t>Конструктивные решения</t>
  </si>
  <si>
    <t>04-01-01</t>
  </si>
  <si>
    <t>Наружное электроснабжение</t>
  </si>
  <si>
    <t>Система водоснабжения</t>
  </si>
  <si>
    <t>Озелененеие</t>
  </si>
  <si>
    <t>07-01-03</t>
  </si>
  <si>
    <t>МАФ</t>
  </si>
  <si>
    <t>07-01-04</t>
  </si>
  <si>
    <t>Вертикальная планировка территорри</t>
  </si>
  <si>
    <t>07-01-05</t>
  </si>
  <si>
    <t>Затраты на изыскательские работы</t>
  </si>
  <si>
    <t>СР-4</t>
  </si>
  <si>
    <t>Приказ от 19.06.2020 № 332/пр прил.1 п.54</t>
  </si>
  <si>
    <t>Временные здания и сооружения - Санатории, санатории-профилактории, профилактории, дома отдыха и базы отдыха, пансионаты, лечебно-оздоровительные комплексы, санаторные, оздоровительные и спортивные детские лагеря - 2,3%</t>
  </si>
  <si>
    <t>ЭЛ-20-1-П-ООС-ПЗ (л.151)</t>
  </si>
  <si>
    <t>ЭЛ-20-1-П-ООС-ПЗ (л.148-149)</t>
  </si>
  <si>
    <t>ЭЛ-20-1-П-ООС-ПЗ (л.153)</t>
  </si>
  <si>
    <t>Внутренние сети связи</t>
  </si>
  <si>
    <t>Расчет</t>
  </si>
  <si>
    <t>02-01-03</t>
  </si>
  <si>
    <t>Приказ от 25.05.2021 № 325/пр п.85 Прил.№1</t>
  </si>
  <si>
    <t>Б.Г.Шлом</t>
  </si>
  <si>
    <t>Д.М. Дыченко</t>
  </si>
  <si>
    <t>Ю.Ю. Юров</t>
  </si>
  <si>
    <t>Х.Х. Тимижев</t>
  </si>
  <si>
    <t>Акционерное общество "КАВКАЗ.РФ"</t>
  </si>
  <si>
    <t>Озеленение</t>
  </si>
  <si>
    <t>Вертикальная планировка территории</t>
  </si>
  <si>
    <t>07-01-06</t>
  </si>
  <si>
    <t>Некапитальные сооружения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</si>
  <si>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</si>
  <si>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</si>
  <si>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</si>
  <si>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</si>
  <si>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</si>
  <si>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</si>
  <si>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</si>
  <si>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</si>
  <si>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</si>
  <si>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</si>
  <si>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28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</si>
  <si>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</si>
  <si>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</si>
  <si>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</si>
  <si>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</si>
  <si>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</si>
  <si>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</si>
  <si>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</si>
  <si>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</si>
  <si>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</si>
  <si>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</si>
  <si>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</si>
  <si>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</si>
  <si>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</si>
  <si>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</si>
  <si>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</si>
  <si>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</si>
  <si>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</si>
  <si>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</si>
  <si>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</si>
  <si>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32</t>
  </si>
  <si>
    <t>33</t>
  </si>
  <si>
    <t>Строительный контроль заказчика, 1,93%</t>
  </si>
  <si>
    <t>Расходы на технологическое присоединение к инженерным сетям</t>
  </si>
  <si>
    <t>Стоимость проведения экспертизы проектно-изыскательских работ ((576,67*1,19+922,48*1,266)*11,88%*5,71)</t>
  </si>
  <si>
    <t>Стоимость проведения экспертизы проектно-изыскательских работ ((576,67+922,48)*11,88%)</t>
  </si>
  <si>
    <t xml:space="preserve"> Приказ от 4.08.2020 № 421/пр.</t>
  </si>
  <si>
    <t>Смета на ПИР</t>
  </si>
  <si>
    <t xml:space="preserve">Главный инженер проекта: </t>
  </si>
  <si>
    <t>(должность, подпись, расшифровка)</t>
  </si>
  <si>
    <t xml:space="preserve">Генеральный директор
ООО "НКД"
</t>
  </si>
  <si>
    <t>(должность, подпись, расшифровка)
м.п.</t>
  </si>
  <si>
    <t xml:space="preserve">Заказчик: 
Акционерное общество "КАВКАЗ.РФ"
Генеральный директор  </t>
  </si>
  <si>
    <t xml:space="preserve">Составил: Начальник сметного отдела:  </t>
  </si>
  <si>
    <t xml:space="preserve">СОДЕРЖАНИЕ </t>
  </si>
  <si>
    <t>Глава 1</t>
  </si>
  <si>
    <t>Глава 2</t>
  </si>
  <si>
    <t>Глава 4</t>
  </si>
  <si>
    <t>Глава 5</t>
  </si>
  <si>
    <t xml:space="preserve">Примечание </t>
  </si>
  <si>
    <t>Наименование работ и затрат</t>
  </si>
  <si>
    <t>Глава 6</t>
  </si>
  <si>
    <t>Глава 7</t>
  </si>
  <si>
    <t>Глава 9</t>
  </si>
  <si>
    <t>Глава 12</t>
  </si>
  <si>
    <t>Составлен(а) в базисном уровне цен  01.01.2000г.</t>
  </si>
  <si>
    <t>Составлен(а) в текущем уровне цен  4кв. 2021г.</t>
  </si>
  <si>
    <t>Стоимость проведения экспертизы проектно-изыскательских работ ((576,67*1,19+922,48*1,266)*11,88%*5,71)  в ценах 4кв. 2021г.</t>
  </si>
  <si>
    <t xml:space="preserve">тыс. руб  без НДС </t>
  </si>
  <si>
    <t>ВЗИС - 2,3%</t>
  </si>
  <si>
    <t>Возврат от разборки ВЗИС-15%</t>
  </si>
  <si>
    <t>ЗУ-0,5%</t>
  </si>
  <si>
    <t xml:space="preserve">Индекс фактической инфляции* </t>
  </si>
  <si>
    <r>
      <t xml:space="preserve">Стоимость работ в ценах на дату формирования начальной (максимальной) цены контракта - </t>
    </r>
    <r>
      <rPr>
        <b/>
        <sz val="12"/>
        <color rgb="FFFF0000"/>
        <rFont val="Times New Roman"/>
        <family val="1"/>
        <charset val="204"/>
      </rPr>
      <t>апрель 2022 г.</t>
    </r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</si>
  <si>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</si>
  <si>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</si>
  <si>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в том числе Оборудование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</si>
  <si>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</si>
  <si>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</si>
  <si>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</si>
  <si>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гора Эльбрус, Эльбрусский муниципальный район, Кабардино-Балкарская Республика, Российская Федерация</t>
  </si>
  <si>
    <t>Основания для расчета:</t>
  </si>
  <si>
    <t>1. Приказ об утверждении проектной документации, включая сводный сметный расчет стоимости строительства от __________ № ____________.</t>
  </si>
  <si>
    <t>СМР</t>
  </si>
  <si>
    <t>1.1</t>
  </si>
  <si>
    <t xml:space="preserve">Разработка рабочей документации. </t>
  </si>
  <si>
    <t>Смета №2</t>
  </si>
  <si>
    <t xml:space="preserve">Проектные работы (Стадия РД) </t>
  </si>
  <si>
    <t>Непредвиденные работы и затраты</t>
  </si>
  <si>
    <t>Стоимость работ в ценах утверждения сметной документации- 
4 квартала 2021 г.</t>
  </si>
  <si>
    <t xml:space="preserve">Строительство (строительные работы, оборудование, прочие затраты). </t>
  </si>
  <si>
    <t>1.2</t>
  </si>
  <si>
    <t>Затрат на перевозки работников</t>
  </si>
  <si>
    <t>Затрат на оплату проживания и суточных работников</t>
  </si>
  <si>
    <t>*Индекс фактической инфляции по данным Росстата ("Строительство ", Кабардино-Балкарская республика) от цен утверждения сметной документации до даты формирования НМЦК (октябрь 2021 к апрель 2022)</t>
  </si>
  <si>
    <t>** поскольку индекс Росстата за  январь, март 2022 отсутствует, он принимается равным 1.</t>
  </si>
  <si>
    <t>Разработка РД</t>
  </si>
  <si>
    <t>Дата формирования НМЦК</t>
  </si>
  <si>
    <t>Продолжительность выполнения работ, мес.</t>
  </si>
  <si>
    <t>Начало работ</t>
  </si>
  <si>
    <t>Окончание работ</t>
  </si>
  <si>
    <t>Индекс Минэкономразвития РФ на 2022 г. (Письмо Минэкономразвития России от 30.09.2020 г. № 32028-ПК/Д03и)</t>
  </si>
  <si>
    <t>ежемесячный прогнозный индекс на 2021 год</t>
  </si>
  <si>
    <t>^(1/12)</t>
  </si>
  <si>
    <t>Индекс прогнозной инфляции</t>
  </si>
  <si>
    <t>Стоимость без учета НДС</t>
  </si>
  <si>
    <t>НДС-20%</t>
  </si>
  <si>
    <t>Стоимость с учетом НДС</t>
  </si>
  <si>
    <t>СР-1 раздел 1</t>
  </si>
  <si>
    <t>СР-1 раздел 2</t>
  </si>
  <si>
    <t>РАСЧЕТ НАЧАЛЬНОЙ МАКСИМАЛЬНОЙ ЦЕНЫ ДОГОВОРА</t>
  </si>
  <si>
    <t>по объекту:</t>
  </si>
  <si>
    <t xml:space="preserve">Продолжительность работ </t>
  </si>
  <si>
    <t>мес.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</si>
  <si>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</si>
  <si>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</si>
  <si>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</si>
  <si>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</si>
  <si>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>без учета НДС</t>
  </si>
  <si>
    <t>НДС-20 %</t>
  </si>
  <si>
    <t>с учетом НДС</t>
  </si>
  <si>
    <t>1</t>
  </si>
  <si>
    <t>В том числе:</t>
  </si>
  <si>
    <t xml:space="preserve">Инфляционная составляющая за период выполнения работ </t>
  </si>
  <si>
    <t>Строительство (строительные работы, оборудование, прочие затраты)</t>
  </si>
  <si>
    <t xml:space="preserve">Оборудование </t>
  </si>
  <si>
    <t xml:space="preserve">Непредвиденные затраты </t>
  </si>
  <si>
    <t>Инфляционная составляющая за период выполнения работ</t>
  </si>
  <si>
    <t>ВСЕГО:</t>
  </si>
  <si>
    <t xml:space="preserve">непредвиденные расходы </t>
  </si>
  <si>
    <t xml:space="preserve">инфляционная составляющая за период выполнения работ </t>
  </si>
  <si>
    <t>Составлен(а) в текущем уровне цен  4 кв. 2021г.</t>
  </si>
  <si>
    <t>1.1.1</t>
  </si>
  <si>
    <t>1.1.2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</si>
  <si>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</si>
  <si>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</si>
  <si>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</si>
  <si>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</si>
  <si>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</si>
  <si>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</si>
  <si>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</si>
  <si>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</si>
  <si>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</si>
  <si>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</si>
  <si>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</si>
  <si>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</si>
  <si>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</si>
  <si>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</si>
  <si>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</si>
  <si>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</si>
  <si>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</si>
  <si>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</si>
  <si>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</si>
  <si>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</si>
  <si>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</si>
  <si>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</si>
  <si>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Единица измерения</t>
  </si>
  <si>
    <t>Количество (объем работ)</t>
  </si>
  <si>
    <t>Ведомость объемов конструктивных решений (элементов) и комплексов (видов) работ</t>
  </si>
  <si>
    <t>комплекс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</si>
  <si>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</si>
  <si>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</si>
  <si>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</si>
  <si>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</si>
  <si>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</si>
  <si>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</si>
  <si>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Определение и закрепление основных осей зданий и сооружений;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</si>
  <si>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</si>
  <si>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</si>
  <si>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</si>
  <si>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</si>
  <si>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</si>
  <si>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</si>
  <si>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</si>
  <si>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</si>
  <si>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удорожание работ в зимнее время;</t>
  </si>
  <si>
    <t>- затраты, связанные с проживанием строительных рабочих и машинистов строительной техники для производства СМР;</t>
  </si>
  <si>
    <t>- затраты, связанные с суточными расходами строительных рабочих и машинистов строительной техники для производства СМР</t>
  </si>
  <si>
    <t>- затраты, связанные с перевозкой рабочих;</t>
  </si>
  <si>
    <t xml:space="preserve">- затраты на проведение производственного экологического мониторинга; </t>
  </si>
  <si>
    <t>- плата за негативное воздействие на окружающую среду;</t>
  </si>
  <si>
    <t>- затраты на авторский надзор;</t>
  </si>
  <si>
    <t>- резерв средств на непредвиденные работы и затраты;</t>
  </si>
  <si>
    <t>-индексы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</si>
  <si>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</si>
  <si>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</si>
  <si>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</si>
  <si>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</si>
  <si>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</si>
  <si>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</si>
  <si>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ПРОЕКТ СМЕТЫ КОНТРАКТА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</si>
  <si>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</si>
  <si>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</si>
  <si>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</si>
  <si>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</si>
  <si>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</si>
  <si>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</si>
  <si>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</si>
  <si>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</si>
  <si>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</si>
  <si>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</si>
  <si>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</si>
  <si>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</si>
  <si>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</si>
  <si>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</si>
  <si>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</si>
  <si>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</si>
  <si>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</si>
  <si>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</si>
  <si>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</si>
  <si>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</si>
  <si>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</si>
  <si>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</si>
  <si>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Цена, руб.</t>
  </si>
  <si>
    <t>На единицу измерения</t>
  </si>
  <si>
    <t>Всего</t>
  </si>
  <si>
    <t>2. Заключение Федерального автономного учреждения "Главное управление государственной экспертизы" (ФАУ "ГЛАВГОСЭКСПЕРТИЗА РОССИИ") от 05.04.2022 № 07-1-1-3-020476-2022</t>
  </si>
  <si>
    <t>ПОЯСНИТЕЛЬНАЯ ЗАПИСКА</t>
  </si>
  <si>
    <t>К РАСЧЕТУ НАЧАЛЬНОЙ МАКСИМАЛЬНОЙ ЦЕНЫ ДОГОВОРА</t>
  </si>
  <si>
    <t>Расчет стоимости строительства выполнен проектно- 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</si>
  <si>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</si>
  <si>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</si>
  <si>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>Размер суточных- 100 руб. в сутки на человека, компенсация за проживание - 550 руб. в сутки на человека (согласно Постановлению Правительства РФ от 02.10.2002 г. № 729).</t>
  </si>
  <si>
    <t xml:space="preserve">Индекс-дефлятор определен в соответствии с данными Минэкономразвития РФ.  </t>
  </si>
  <si>
    <t>В расчете учтены временные здания и сооружения в размере 2,3%, зимнее удорожание в размере 0,5%,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</si>
  <si>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</si>
  <si>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</si>
  <si>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</si>
  <si>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</si>
  <si>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(Двести пятьдесят пять миллионов сто семь тысяч сто пять рублей тридцать шесть копеек)</t>
  </si>
  <si>
    <t>Всесезонный туристско-рекреационный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</t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</si>
  <si>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сценой"</t>
  </si>
  <si>
    <t>Всесезонный туристско-рекреационный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сценой"</t>
  </si>
  <si>
    <t>3. Утвержденный сводный сметный расчет стоимости строительства "Всесезонный туристско рекреационный комплекс «Эльбрус», Кабардино-Балкарская Республика. Благоустройство центральной части Поляны Азау. Этап 1. Площадь с торговыми павильонами и сценой." в ценах 4 квартала 2021 г.</t>
  </si>
  <si>
    <t>1. Приказ об утверждении проектной документации, включая сводный сметный расчет стоимости строительства от 06.04.2022 № Пр-22-107</t>
  </si>
  <si>
    <r>
      <t xml:space="preserve">Для расчета цены строительства  использован сводный сметный расчет в ценах 4 квартала 2021 г., локальные сметные расчеты в ценах 4 кв. 2021 г., </t>
    </r>
    <r>
      <rPr>
        <sz val="10"/>
        <rFont val="Calibri"/>
        <family val="2"/>
        <charset val="204"/>
      </rPr>
      <t xml:space="preserve"> получившие положительное заключение ФАУ "Главгосэкспертиза России" от 05.04.2022 № 07-1-1-3-020476-2022</t>
    </r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</si>
  <si>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50%</t>
  </si>
  <si>
    <t>Индексы-дефляторы определены с учетом авансирования в размере 50%.</t>
  </si>
  <si>
    <r>
      <t>Начальная максимальная цена договора ( далее - НМЦД) определена в соответствии с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строительства», требованием Федерального Закона  от</t>
    </r>
    <r>
      <rPr>
        <sz val="10"/>
        <rFont val="Calibri"/>
        <family val="2"/>
        <charset val="204"/>
      </rPr>
      <t xml:space="preserve"> 05.04.2013 г. № 44 "О контрактной системе в сфере закупок товаров, работ, услуг для обеспечения государственных и муниципальных нужд", требованием Положения о договорной работе, утвержденного  Приказом акционерного общества "Курорты Северного Кавказа"  от 21.07.2020  № Пр-20-133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</si>
</sst>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\-??_р_._-;_-@_-"/>
    <numFmt numFmtId="166" formatCode="_-* #,##0_-;\-* #,##0_-;_-* &quot;-&quot;??_-;_-@_-"/>
    <numFmt numFmtId="167" formatCode="0.0000000"/>
    <numFmt numFmtId="168" formatCode="0.0"/>
    <numFmt numFmtId="169" formatCode="0.0%"/>
    <numFmt numFmtId="170" formatCode="#,##0.0000000"/>
    <numFmt numFmtId="171" formatCode="0.000000000"/>
  </numFmts>
  <fonts count="4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9"/>
      <name val="Times New Roman"/>
      <family val="1"/>
      <charset val="204"/>
    </font>
    <font>
      <sz val="10"/>
      <name val="Times New Roman"/>
      <family val="1"/>
    </font>
    <font>
      <sz val="10"/>
      <name val="Arial Cyr"/>
    </font>
    <font>
      <sz val="9"/>
      <name val="Times New Roman"/>
      <family val="1"/>
    </font>
    <font>
      <sz val="11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4" fillId="0" borderId="1">
      <alignment horizontal="center"/>
    </xf>
    <xf numFmtId="0" fontId="2" fillId="0" borderId="0">
      <alignment vertical="top"/>
    </xf>
    <xf numFmtId="0" fontId="4" fillId="0" borderId="1">
      <alignment horizontal="center"/>
    </xf>
    <xf numFmtId="0" fontId="4" fillId="0" borderId="0">
      <alignment vertical="top"/>
    </xf>
    <xf numFmtId="0" fontId="2" fillId="0" borderId="0"/>
    <xf numFmtId="0" fontId="4" fillId="0" borderId="0">
      <alignment horizontal="right" vertical="top" wrapText="1"/>
    </xf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1">
      <alignment horizontal="center" wrapText="1"/>
    </xf>
    <xf numFmtId="0" fontId="2" fillId="0" borderId="0">
      <alignment vertical="top"/>
    </xf>
    <xf numFmtId="0" fontId="2" fillId="0" borderId="0"/>
    <xf numFmtId="0" fontId="2" fillId="0" borderId="0"/>
    <xf numFmtId="0" fontId="4" fillId="0" borderId="0"/>
    <xf numFmtId="0" fontId="4" fillId="0" borderId="1">
      <alignment horizontal="center" wrapText="1"/>
    </xf>
    <xf numFmtId="0" fontId="4" fillId="0" borderId="1">
      <alignment horizontal="center"/>
    </xf>
    <xf numFmtId="0" fontId="5" fillId="0" borderId="0"/>
    <xf numFmtId="0" fontId="4" fillId="0" borderId="1">
      <alignment horizontal="center" wrapText="1"/>
    </xf>
    <xf numFmtId="0" fontId="2" fillId="0" borderId="0"/>
    <xf numFmtId="0" fontId="4" fillId="0" borderId="0">
      <alignment horizontal="center"/>
    </xf>
    <xf numFmtId="0" fontId="4" fillId="0" borderId="0">
      <alignment horizontal="left" vertical="top"/>
    </xf>
    <xf numFmtId="0" fontId="5" fillId="0" borderId="0"/>
    <xf numFmtId="0" fontId="4" fillId="0" borderId="0"/>
    <xf numFmtId="0" fontId="15" fillId="0" borderId="0"/>
    <xf numFmtId="0" fontId="15" fillId="0" borderId="0"/>
    <xf numFmtId="0" fontId="18" fillId="0" borderId="0"/>
    <xf numFmtId="164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5" fontId="19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2" fillId="0" borderId="0"/>
    <xf numFmtId="0" fontId="24" fillId="0" borderId="0"/>
    <xf numFmtId="9" fontId="2" fillId="0" borderId="0" applyFont="0" applyFill="0" applyBorder="0" applyAlignment="0" applyProtection="0"/>
    <xf numFmtId="0" fontId="27" fillId="0" borderId="0"/>
    <xf numFmtId="0" fontId="2" fillId="0" borderId="0"/>
    <xf numFmtId="0" fontId="24" fillId="0" borderId="0"/>
  </cellStyleXfs>
  <cellXfs count="345">
    <xf numFmtId="0" fontId="0" fillId="0" borderId="0" xfId="0"/>
    <xf numFmtId="0" fontId="8" fillId="0" borderId="1" xfId="0" applyFont="1" applyBorder="1" applyAlignment="1">
      <alignment horizontal="left" vertical="top" wrapText="1"/>
    </xf>
    <xf numFmtId="4" fontId="8" fillId="0" borderId="1" xfId="27" applyNumberFormat="1" applyFont="1" applyBorder="1" applyAlignment="1">
      <alignment horizontal="right" vertical="top"/>
    </xf>
    <xf numFmtId="4" fontId="17" fillId="0" borderId="1" xfId="27" applyNumberFormat="1" applyFont="1" applyBorder="1" applyAlignment="1">
      <alignment horizontal="right" vertical="top"/>
    </xf>
    <xf numFmtId="49" fontId="17" fillId="0" borderId="1" xfId="27" applyNumberFormat="1" applyFont="1" applyFill="1" applyBorder="1" applyAlignment="1">
      <alignment horizontal="center" vertical="center" wrapText="1"/>
    </xf>
    <xf numFmtId="49" fontId="8" fillId="0" borderId="4" xfId="27" applyNumberFormat="1" applyFont="1" applyFill="1" applyBorder="1" applyAlignment="1">
      <alignment horizontal="left" vertical="center" wrapText="1"/>
    </xf>
    <xf numFmtId="49" fontId="17" fillId="0" borderId="1" xfId="27" applyNumberFormat="1" applyFont="1" applyBorder="1" applyAlignment="1">
      <alignment horizontal="center" vertical="center" wrapText="1"/>
    </xf>
    <xf numFmtId="4" fontId="8" fillId="0" borderId="1" xfId="27" applyNumberFormat="1" applyFont="1" applyBorder="1" applyAlignment="1">
      <alignment horizontal="center" vertical="center"/>
    </xf>
    <xf numFmtId="0" fontId="17" fillId="0" borderId="1" xfId="27" applyFont="1" applyBorder="1" applyAlignment="1">
      <alignment horizontal="left" vertical="center" wrapText="1"/>
    </xf>
    <xf numFmtId="49" fontId="8" fillId="0" borderId="1" xfId="27" quotePrefix="1" applyNumberFormat="1" applyFont="1" applyFill="1" applyBorder="1" applyAlignment="1">
      <alignment horizontal="left" vertical="top" wrapText="1"/>
    </xf>
    <xf numFmtId="49" fontId="17" fillId="2" borderId="1" xfId="27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49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11" fillId="0" borderId="0" xfId="11" applyFont="1"/>
    <xf numFmtId="0" fontId="11" fillId="0" borderId="0" xfId="0" applyFont="1" applyAlignment="1">
      <alignment horizontal="left" vertical="top"/>
    </xf>
    <xf numFmtId="0" fontId="8" fillId="0" borderId="7" xfId="22" applyFont="1" applyBorder="1" applyAlignment="1">
      <alignment horizontal="center"/>
    </xf>
    <xf numFmtId="49" fontId="8" fillId="2" borderId="4" xfId="27" applyNumberFormat="1" applyFont="1" applyFill="1" applyBorder="1" applyAlignment="1">
      <alignment horizontal="left" vertical="center" wrapText="1"/>
    </xf>
    <xf numFmtId="49" fontId="20" fillId="0" borderId="1" xfId="0" applyNumberFormat="1" applyFont="1" applyBorder="1" applyAlignment="1">
      <alignment horizontal="left" vertical="top" wrapText="1"/>
    </xf>
    <xf numFmtId="0" fontId="0" fillId="0" borderId="0" xfId="0" applyBorder="1"/>
    <xf numFmtId="0" fontId="0" fillId="0" borderId="0" xfId="0"/>
    <xf numFmtId="49" fontId="8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left" vertical="top" wrapText="1"/>
    </xf>
    <xf numFmtId="166" fontId="21" fillId="2" borderId="0" xfId="41" applyNumberFormat="1" applyFont="1" applyFill="1" applyAlignment="1">
      <alignment horizontal="center" vertical="top" wrapText="1"/>
    </xf>
    <xf numFmtId="4" fontId="21" fillId="2" borderId="0" xfId="42" applyNumberFormat="1" applyFont="1" applyFill="1" applyAlignment="1">
      <alignment horizontal="right" vertical="top" wrapText="1"/>
    </xf>
    <xf numFmtId="166" fontId="21" fillId="2" borderId="0" xfId="41" applyNumberFormat="1" applyFont="1" applyFill="1"/>
    <xf numFmtId="166" fontId="21" fillId="2" borderId="0" xfId="41" applyNumberFormat="1" applyFont="1" applyFill="1" applyAlignment="1">
      <alignment vertical="top"/>
    </xf>
    <xf numFmtId="4" fontId="21" fillId="2" borderId="0" xfId="42" applyNumberFormat="1" applyFont="1" applyFill="1" applyAlignment="1">
      <alignment vertical="top" wrapText="1"/>
    </xf>
    <xf numFmtId="4" fontId="8" fillId="0" borderId="1" xfId="27" applyNumberFormat="1" applyFont="1" applyBorder="1" applyAlignment="1">
      <alignment horizontal="right" vertical="top" wrapText="1"/>
    </xf>
    <xf numFmtId="4" fontId="21" fillId="2" borderId="0" xfId="42" applyNumberFormat="1" applyFont="1" applyFill="1" applyAlignment="1">
      <alignment wrapText="1"/>
    </xf>
    <xf numFmtId="4" fontId="21" fillId="2" borderId="0" xfId="42" applyNumberFormat="1" applyFont="1" applyFill="1" applyAlignment="1">
      <alignment horizontal="center" wrapText="1"/>
    </xf>
    <xf numFmtId="4" fontId="22" fillId="2" borderId="0" xfId="42" applyNumberFormat="1" applyFill="1" applyAlignment="1">
      <alignment wrapText="1"/>
    </xf>
    <xf numFmtId="4" fontId="0" fillId="0" borderId="0" xfId="0" applyNumberFormat="1" applyAlignment="1">
      <alignment wrapText="1"/>
    </xf>
    <xf numFmtId="4" fontId="8" fillId="0" borderId="0" xfId="0" applyNumberFormat="1" applyFont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top" wrapText="1"/>
    </xf>
    <xf numFmtId="4" fontId="8" fillId="0" borderId="1" xfId="27" applyNumberFormat="1" applyFont="1" applyFill="1" applyBorder="1" applyAlignment="1">
      <alignment horizontal="right" vertical="top" wrapText="1"/>
    </xf>
    <xf numFmtId="49" fontId="23" fillId="2" borderId="0" xfId="42" applyNumberFormat="1" applyFont="1" applyFill="1" applyAlignment="1">
      <alignment horizontal="left" vertical="top" wrapText="1"/>
    </xf>
    <xf numFmtId="0" fontId="23" fillId="2" borderId="0" xfId="42" applyFont="1" applyFill="1" applyAlignment="1">
      <alignment horizontal="left" vertical="top" wrapText="1"/>
    </xf>
    <xf numFmtId="4" fontId="23" fillId="2" borderId="0" xfId="42" applyNumberFormat="1" applyFont="1" applyFill="1" applyAlignment="1">
      <alignment horizontal="right" vertical="top" wrapText="1"/>
    </xf>
    <xf numFmtId="0" fontId="23" fillId="2" borderId="0" xfId="42" applyFont="1" applyFill="1"/>
    <xf numFmtId="4" fontId="23" fillId="2" borderId="2" xfId="42" applyNumberFormat="1" applyFont="1" applyFill="1" applyBorder="1" applyAlignment="1">
      <alignment wrapText="1"/>
    </xf>
    <xf numFmtId="4" fontId="23" fillId="2" borderId="0" xfId="42" applyNumberFormat="1" applyFont="1" applyFill="1" applyAlignment="1">
      <alignment wrapText="1"/>
    </xf>
    <xf numFmtId="0" fontId="23" fillId="2" borderId="0" xfId="42" applyFont="1" applyFill="1" applyAlignment="1">
      <alignment horizontal="center"/>
    </xf>
    <xf numFmtId="4" fontId="23" fillId="2" borderId="0" xfId="42" applyNumberFormat="1" applyFont="1" applyFill="1" applyAlignment="1">
      <alignment horizontal="center" wrapText="1"/>
    </xf>
    <xf numFmtId="0" fontId="23" fillId="2" borderId="0" xfId="42" applyFont="1" applyFill="1" applyAlignment="1">
      <alignment vertical="top" wrapText="1"/>
    </xf>
    <xf numFmtId="0" fontId="23" fillId="2" borderId="0" xfId="42" applyFont="1" applyFill="1" applyAlignment="1">
      <alignment vertical="top"/>
    </xf>
    <xf numFmtId="4" fontId="23" fillId="2" borderId="0" xfId="42" applyNumberFormat="1" applyFont="1" applyFill="1" applyAlignment="1">
      <alignment vertical="top" wrapText="1"/>
    </xf>
    <xf numFmtId="0" fontId="23" fillId="2" borderId="0" xfId="42" applyFont="1" applyFill="1" applyAlignment="1">
      <alignment wrapText="1"/>
    </xf>
    <xf numFmtId="4" fontId="11" fillId="0" borderId="0" xfId="23" applyNumberFormat="1" applyFont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/>
    </xf>
    <xf numFmtId="49" fontId="13" fillId="0" borderId="1" xfId="0" applyNumberFormat="1" applyFont="1" applyBorder="1" applyAlignment="1">
      <alignment horizontal="left" vertical="top" wrapText="1"/>
    </xf>
    <xf numFmtId="4" fontId="8" fillId="0" borderId="7" xfId="0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9" fontId="8" fillId="0" borderId="1" xfId="0" applyNumberFormat="1" applyFont="1" applyBorder="1" applyAlignment="1">
      <alignment vertical="center" wrapText="1"/>
    </xf>
    <xf numFmtId="0" fontId="3" fillId="0" borderId="0" xfId="0" applyFont="1"/>
    <xf numFmtId="2" fontId="8" fillId="0" borderId="1" xfId="0" applyNumberFormat="1" applyFont="1" applyBorder="1" applyAlignment="1">
      <alignment horizontal="right" vertical="top" wrapText="1"/>
    </xf>
    <xf numFmtId="2" fontId="8" fillId="0" borderId="1" xfId="27" applyNumberFormat="1" applyFont="1" applyBorder="1" applyAlignment="1">
      <alignment horizontal="right" vertical="top"/>
    </xf>
    <xf numFmtId="4" fontId="4" fillId="0" borderId="1" xfId="27" applyNumberFormat="1" applyFont="1" applyBorder="1" applyAlignment="1">
      <alignment horizontal="center" vertical="center"/>
    </xf>
    <xf numFmtId="49" fontId="16" fillId="0" borderId="1" xfId="27" applyNumberFormat="1" applyFont="1" applyBorder="1" applyAlignment="1">
      <alignment horizontal="center" vertical="center" wrapText="1"/>
    </xf>
    <xf numFmtId="49" fontId="8" fillId="0" borderId="1" xfId="27" quotePrefix="1" applyNumberFormat="1" applyFont="1" applyBorder="1" applyAlignment="1">
      <alignment horizontal="left" vertical="top" wrapText="1"/>
    </xf>
    <xf numFmtId="49" fontId="8" fillId="0" borderId="4" xfId="27" applyNumberFormat="1" applyFont="1" applyBorder="1" applyAlignment="1">
      <alignment horizontal="left" vertical="center" wrapText="1"/>
    </xf>
    <xf numFmtId="49" fontId="8" fillId="0" borderId="1" xfId="27" applyNumberFormat="1" applyFont="1" applyBorder="1" applyAlignment="1">
      <alignment horizontal="left" vertical="top" wrapText="1"/>
    </xf>
    <xf numFmtId="4" fontId="8" fillId="0" borderId="1" xfId="27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right" vertical="top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top"/>
    </xf>
    <xf numFmtId="0" fontId="11" fillId="0" borderId="0" xfId="23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2" fontId="4" fillId="0" borderId="1" xfId="27" applyNumberFormat="1" applyFont="1" applyBorder="1" applyAlignment="1">
      <alignment horizontal="center" vertical="center"/>
    </xf>
    <xf numFmtId="2" fontId="8" fillId="0" borderId="1" xfId="27" applyNumberFormat="1" applyFont="1" applyBorder="1" applyAlignment="1">
      <alignment horizontal="center" vertical="center"/>
    </xf>
    <xf numFmtId="49" fontId="25" fillId="0" borderId="1" xfId="27" applyNumberFormat="1" applyFont="1" applyBorder="1" applyAlignment="1">
      <alignment horizontal="center" vertical="top" wrapText="1"/>
    </xf>
    <xf numFmtId="0" fontId="0" fillId="0" borderId="1" xfId="0" applyBorder="1"/>
    <xf numFmtId="2" fontId="26" fillId="0" borderId="1" xfId="27" applyNumberFormat="1" applyFont="1" applyBorder="1" applyAlignment="1">
      <alignment horizontal="center" vertical="top" wrapText="1"/>
    </xf>
    <xf numFmtId="0" fontId="25" fillId="0" borderId="0" xfId="39" applyFont="1"/>
    <xf numFmtId="0" fontId="25" fillId="0" borderId="0" xfId="39" applyFont="1" applyAlignment="1">
      <alignment vertical="top"/>
    </xf>
    <xf numFmtId="0" fontId="28" fillId="0" borderId="0" xfId="45" applyFont="1" applyAlignment="1">
      <alignment horizontal="center" vertical="center" wrapText="1"/>
    </xf>
    <xf numFmtId="0" fontId="26" fillId="0" borderId="0" xfId="45" applyFont="1" applyFill="1"/>
    <xf numFmtId="0" fontId="25" fillId="0" borderId="0" xfId="45" applyFont="1"/>
    <xf numFmtId="0" fontId="26" fillId="0" borderId="0" xfId="45" applyFont="1" applyFill="1" applyAlignment="1">
      <alignment vertical="center"/>
    </xf>
    <xf numFmtId="0" fontId="26" fillId="0" borderId="0" xfId="39" applyFont="1" applyFill="1"/>
    <xf numFmtId="0" fontId="26" fillId="0" borderId="0" xfId="39" applyFont="1" applyFill="1" applyAlignment="1">
      <alignment vertical="top"/>
    </xf>
    <xf numFmtId="0" fontId="26" fillId="0" borderId="0" xfId="0" applyFont="1"/>
    <xf numFmtId="0" fontId="26" fillId="0" borderId="0" xfId="0" applyFont="1" applyAlignment="1">
      <alignment vertical="top"/>
    </xf>
    <xf numFmtId="0" fontId="26" fillId="0" borderId="1" xfId="0" applyFont="1" applyBorder="1"/>
    <xf numFmtId="0" fontId="26" fillId="0" borderId="7" xfId="22" applyFont="1" applyFill="1" applyBorder="1" applyAlignment="1">
      <alignment horizontal="center"/>
    </xf>
    <xf numFmtId="0" fontId="26" fillId="0" borderId="0" xfId="0" applyFont="1" applyFill="1" applyAlignment="1">
      <alignment vertical="top"/>
    </xf>
    <xf numFmtId="4" fontId="26" fillId="0" borderId="1" xfId="0" applyNumberFormat="1" applyFont="1" applyFill="1" applyBorder="1" applyAlignment="1">
      <alignment horizontal="center" vertical="center" wrapText="1"/>
    </xf>
    <xf numFmtId="167" fontId="30" fillId="0" borderId="1" xfId="0" applyNumberFormat="1" applyFont="1" applyFill="1" applyBorder="1" applyAlignment="1">
      <alignment vertical="top"/>
    </xf>
    <xf numFmtId="0" fontId="26" fillId="0" borderId="1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45" applyFont="1" applyAlignment="1">
      <alignment vertical="center"/>
    </xf>
    <xf numFmtId="0" fontId="26" fillId="0" borderId="0" xfId="45" applyFont="1"/>
    <xf numFmtId="0" fontId="32" fillId="4" borderId="1" xfId="46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26" fillId="0" borderId="7" xfId="22" applyFont="1" applyFill="1" applyBorder="1" applyAlignment="1">
      <alignment horizontal="center" vertical="center"/>
    </xf>
    <xf numFmtId="0" fontId="26" fillId="2" borderId="1" xfId="46" applyFont="1" applyFill="1" applyBorder="1" applyAlignment="1">
      <alignment vertical="center" wrapText="1"/>
    </xf>
    <xf numFmtId="0" fontId="26" fillId="2" borderId="1" xfId="46" applyFont="1" applyFill="1" applyBorder="1" applyAlignment="1">
      <alignment vertical="center"/>
    </xf>
    <xf numFmtId="0" fontId="26" fillId="0" borderId="0" xfId="0" applyFont="1" applyAlignment="1">
      <alignment horizontal="center" vertical="top"/>
    </xf>
    <xf numFmtId="49" fontId="26" fillId="0" borderId="0" xfId="0" applyNumberFormat="1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horizontal="center" vertical="center"/>
    </xf>
    <xf numFmtId="0" fontId="26" fillId="0" borderId="7" xfId="22" applyFont="1" applyBorder="1" applyAlignment="1">
      <alignment horizontal="center"/>
    </xf>
    <xf numFmtId="49" fontId="26" fillId="0" borderId="1" xfId="0" applyNumberFormat="1" applyFont="1" applyBorder="1" applyAlignment="1">
      <alignment horizontal="center" vertical="top" wrapText="1"/>
    </xf>
    <xf numFmtId="49" fontId="26" fillId="0" borderId="1" xfId="0" applyNumberFormat="1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2" fontId="26" fillId="0" borderId="1" xfId="0" applyNumberFormat="1" applyFont="1" applyBorder="1" applyAlignment="1">
      <alignment horizontal="right" vertical="top" wrapText="1"/>
    </xf>
    <xf numFmtId="0" fontId="26" fillId="0" borderId="1" xfId="0" applyFont="1" applyBorder="1" applyAlignment="1">
      <alignment horizontal="right" vertical="top" wrapText="1"/>
    </xf>
    <xf numFmtId="49" fontId="26" fillId="2" borderId="4" xfId="27" applyNumberFormat="1" applyFont="1" applyFill="1" applyBorder="1" applyAlignment="1">
      <alignment horizontal="left" vertical="center" wrapText="1"/>
    </xf>
    <xf numFmtId="49" fontId="26" fillId="0" borderId="4" xfId="27" applyNumberFormat="1" applyFont="1" applyBorder="1" applyAlignment="1">
      <alignment horizontal="left" vertical="center" wrapText="1"/>
    </xf>
    <xf numFmtId="2" fontId="26" fillId="0" borderId="1" xfId="27" applyNumberFormat="1" applyFont="1" applyBorder="1" applyAlignment="1">
      <alignment horizontal="right" vertical="top"/>
    </xf>
    <xf numFmtId="2" fontId="26" fillId="0" borderId="1" xfId="27" applyNumberFormat="1" applyFont="1" applyBorder="1" applyAlignment="1">
      <alignment horizontal="center" vertical="center"/>
    </xf>
    <xf numFmtId="4" fontId="26" fillId="0" borderId="1" xfId="27" applyNumberFormat="1" applyFont="1" applyBorder="1" applyAlignment="1">
      <alignment horizontal="center" vertical="center"/>
    </xf>
    <xf numFmtId="4" fontId="26" fillId="0" borderId="1" xfId="27" applyNumberFormat="1" applyFont="1" applyBorder="1" applyAlignment="1">
      <alignment horizontal="right" vertical="top"/>
    </xf>
    <xf numFmtId="49" fontId="26" fillId="0" borderId="1" xfId="27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4" borderId="1" xfId="0" applyFont="1" applyFill="1" applyBorder="1" applyAlignment="1">
      <alignment vertical="top" wrapText="1"/>
    </xf>
    <xf numFmtId="49" fontId="26" fillId="0" borderId="7" xfId="22" applyNumberFormat="1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horizontal="right" vertical="top" wrapText="1"/>
    </xf>
    <xf numFmtId="4" fontId="26" fillId="0" borderId="1" xfId="0" applyNumberFormat="1" applyFont="1" applyBorder="1"/>
    <xf numFmtId="49" fontId="25" fillId="2" borderId="1" xfId="27" applyNumberFormat="1" applyFont="1" applyFill="1" applyBorder="1" applyAlignment="1">
      <alignment horizontal="left" vertical="center" wrapText="1"/>
    </xf>
    <xf numFmtId="0" fontId="31" fillId="0" borderId="0" xfId="0" applyFont="1"/>
    <xf numFmtId="49" fontId="31" fillId="0" borderId="1" xfId="0" applyNumberFormat="1" applyFont="1" applyBorder="1" applyAlignment="1">
      <alignment horizontal="center" vertical="top" wrapText="1"/>
    </xf>
    <xf numFmtId="49" fontId="31" fillId="0" borderId="1" xfId="27" applyNumberFormat="1" applyFont="1" applyBorder="1" applyAlignment="1">
      <alignment horizontal="center" vertical="center" wrapText="1"/>
    </xf>
    <xf numFmtId="4" fontId="31" fillId="0" borderId="1" xfId="27" applyNumberFormat="1" applyFont="1" applyBorder="1" applyAlignment="1">
      <alignment horizontal="right" vertical="top"/>
    </xf>
    <xf numFmtId="2" fontId="31" fillId="0" borderId="1" xfId="27" applyNumberFormat="1" applyFont="1" applyBorder="1" applyAlignment="1">
      <alignment horizontal="right" vertical="top"/>
    </xf>
    <xf numFmtId="4" fontId="31" fillId="0" borderId="1" xfId="0" applyNumberFormat="1" applyFont="1" applyBorder="1" applyAlignment="1">
      <alignment horizontal="right" vertical="top" wrapText="1"/>
    </xf>
    <xf numFmtId="0" fontId="28" fillId="0" borderId="0" xfId="0" applyFont="1" applyFill="1" applyAlignment="1">
      <alignment vertical="center"/>
    </xf>
    <xf numFmtId="49" fontId="28" fillId="4" borderId="7" xfId="22" applyNumberFormat="1" applyFont="1" applyFill="1" applyBorder="1" applyAlignment="1">
      <alignment horizontal="center" vertical="center"/>
    </xf>
    <xf numFmtId="0" fontId="28" fillId="4" borderId="7" xfId="22" applyFont="1" applyFill="1" applyBorder="1" applyAlignment="1">
      <alignment horizontal="center" vertical="center"/>
    </xf>
    <xf numFmtId="4" fontId="28" fillId="4" borderId="7" xfId="22" applyNumberFormat="1" applyFont="1" applyFill="1" applyBorder="1" applyAlignment="1">
      <alignment horizontal="center" vertical="center"/>
    </xf>
    <xf numFmtId="0" fontId="28" fillId="0" borderId="0" xfId="0" applyFont="1"/>
    <xf numFmtId="4" fontId="28" fillId="4" borderId="1" xfId="0" applyNumberFormat="1" applyFont="1" applyFill="1" applyBorder="1" applyAlignment="1">
      <alignment vertical="top" wrapText="1"/>
    </xf>
    <xf numFmtId="0" fontId="28" fillId="0" borderId="0" xfId="0" applyFont="1" applyAlignment="1">
      <alignment vertical="center"/>
    </xf>
    <xf numFmtId="14" fontId="0" fillId="5" borderId="1" xfId="0" applyNumberFormat="1" applyFill="1" applyBorder="1" applyAlignment="1">
      <alignment vertical="center"/>
    </xf>
    <xf numFmtId="168" fontId="0" fillId="0" borderId="1" xfId="0" applyNumberFormat="1" applyBorder="1" applyAlignment="1">
      <alignment vertical="center"/>
    </xf>
    <xf numFmtId="10" fontId="26" fillId="6" borderId="4" xfId="0" applyNumberFormat="1" applyFont="1" applyFill="1" applyBorder="1" applyAlignment="1">
      <alignment vertical="center"/>
    </xf>
    <xf numFmtId="0" fontId="26" fillId="6" borderId="6" xfId="0" applyFont="1" applyFill="1" applyBorder="1" applyAlignment="1">
      <alignment vertical="center"/>
    </xf>
    <xf numFmtId="167" fontId="0" fillId="0" borderId="1" xfId="0" applyNumberFormat="1" applyBorder="1" applyAlignment="1">
      <alignment vertical="center"/>
    </xf>
    <xf numFmtId="167" fontId="0" fillId="7" borderId="1" xfId="0" applyNumberFormat="1" applyFill="1" applyBorder="1" applyAlignment="1">
      <alignment vertical="center"/>
    </xf>
    <xf numFmtId="49" fontId="28" fillId="4" borderId="1" xfId="0" applyNumberFormat="1" applyFont="1" applyFill="1" applyBorder="1" applyAlignment="1">
      <alignment horizontal="left" vertical="center" wrapText="1"/>
    </xf>
    <xf numFmtId="49" fontId="26" fillId="4" borderId="1" xfId="0" applyNumberFormat="1" applyFont="1" applyFill="1" applyBorder="1" applyAlignment="1">
      <alignment horizontal="left" vertical="center" wrapText="1"/>
    </xf>
    <xf numFmtId="49" fontId="26" fillId="4" borderId="1" xfId="0" applyNumberFormat="1" applyFont="1" applyFill="1" applyBorder="1" applyAlignment="1">
      <alignment horizontal="left" vertical="top" wrapText="1"/>
    </xf>
    <xf numFmtId="4" fontId="26" fillId="4" borderId="1" xfId="0" applyNumberFormat="1" applyFont="1" applyFill="1" applyBorder="1" applyAlignment="1">
      <alignment horizontal="right" vertical="top" wrapText="1"/>
    </xf>
    <xf numFmtId="170" fontId="26" fillId="0" borderId="1" xfId="0" applyNumberFormat="1" applyFont="1" applyBorder="1"/>
    <xf numFmtId="49" fontId="25" fillId="0" borderId="1" xfId="27" applyNumberFormat="1" applyFont="1" applyBorder="1" applyAlignment="1">
      <alignment horizontal="left" vertical="center" wrapText="1"/>
    </xf>
    <xf numFmtId="0" fontId="32" fillId="0" borderId="0" xfId="39" applyFont="1" applyAlignment="1">
      <alignment vertical="center"/>
    </xf>
    <xf numFmtId="168" fontId="28" fillId="0" borderId="0" xfId="39" applyNumberFormat="1" applyFont="1" applyAlignment="1">
      <alignment vertical="center"/>
    </xf>
    <xf numFmtId="0" fontId="28" fillId="0" borderId="0" xfId="39" applyFont="1" applyAlignment="1">
      <alignment vertical="center"/>
    </xf>
    <xf numFmtId="0" fontId="26" fillId="0" borderId="0" xfId="39" applyFont="1"/>
    <xf numFmtId="0" fontId="1" fillId="0" borderId="0" xfId="39"/>
    <xf numFmtId="14" fontId="28" fillId="0" borderId="0" xfId="39" applyNumberFormat="1" applyFont="1" applyFill="1" applyAlignment="1">
      <alignment vertical="center"/>
    </xf>
    <xf numFmtId="0" fontId="25" fillId="3" borderId="1" xfId="39" applyFont="1" applyFill="1" applyBorder="1" applyAlignment="1">
      <alignment vertical="center" wrapText="1"/>
    </xf>
    <xf numFmtId="0" fontId="25" fillId="3" borderId="7" xfId="39" applyFont="1" applyFill="1" applyBorder="1" applyAlignment="1">
      <alignment vertical="center" wrapText="1"/>
    </xf>
    <xf numFmtId="0" fontId="25" fillId="3" borderId="1" xfId="39" applyFont="1" applyFill="1" applyBorder="1" applyAlignment="1">
      <alignment horizontal="center" vertical="center" wrapText="1"/>
    </xf>
    <xf numFmtId="0" fontId="26" fillId="0" borderId="0" xfId="0" applyFont="1" applyFill="1"/>
    <xf numFmtId="49" fontId="28" fillId="8" borderId="7" xfId="22" applyNumberFormat="1" applyFont="1" applyFill="1" applyBorder="1" applyAlignment="1">
      <alignment horizontal="center" vertical="center"/>
    </xf>
    <xf numFmtId="0" fontId="32" fillId="8" borderId="1" xfId="46" applyFont="1" applyFill="1" applyBorder="1" applyAlignment="1">
      <alignment horizontal="center" vertical="center" wrapText="1"/>
    </xf>
    <xf numFmtId="4" fontId="28" fillId="8" borderId="7" xfId="22" applyNumberFormat="1" applyFont="1" applyFill="1" applyBorder="1" applyAlignment="1">
      <alignment horizontal="center" vertical="center"/>
    </xf>
    <xf numFmtId="4" fontId="26" fillId="0" borderId="1" xfId="0" applyNumberFormat="1" applyFont="1" applyFill="1" applyBorder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1" fillId="0" borderId="7" xfId="22" applyFont="1" applyFill="1" applyBorder="1" applyAlignment="1">
      <alignment horizontal="center" vertical="center"/>
    </xf>
    <xf numFmtId="0" fontId="34" fillId="0" borderId="1" xfId="39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right" vertical="center"/>
    </xf>
    <xf numFmtId="4" fontId="31" fillId="0" borderId="1" xfId="0" applyNumberFormat="1" applyFont="1" applyFill="1" applyBorder="1" applyAlignment="1">
      <alignment horizontal="right" vertical="center"/>
    </xf>
    <xf numFmtId="0" fontId="31" fillId="2" borderId="1" xfId="39" applyFont="1" applyFill="1" applyBorder="1" applyAlignment="1">
      <alignment horizontal="left" vertical="center" wrapText="1"/>
    </xf>
    <xf numFmtId="4" fontId="31" fillId="0" borderId="7" xfId="0" applyNumberFormat="1" applyFont="1" applyFill="1" applyBorder="1" applyAlignment="1">
      <alignment horizontal="right" vertical="center"/>
    </xf>
    <xf numFmtId="0" fontId="25" fillId="0" borderId="1" xfId="39" applyFont="1" applyFill="1" applyBorder="1" applyAlignment="1">
      <alignment horizontal="left" vertical="center" wrapText="1"/>
    </xf>
    <xf numFmtId="4" fontId="26" fillId="0" borderId="7" xfId="22" applyNumberFormat="1" applyFont="1" applyFill="1" applyBorder="1" applyAlignment="1">
      <alignment horizontal="right" vertical="center"/>
    </xf>
    <xf numFmtId="0" fontId="31" fillId="0" borderId="0" xfId="0" applyFont="1" applyFill="1" applyBorder="1"/>
    <xf numFmtId="49" fontId="31" fillId="0" borderId="1" xfId="0" applyNumberFormat="1" applyFont="1" applyFill="1" applyBorder="1" applyAlignment="1">
      <alignment horizontal="center" vertical="top" wrapText="1"/>
    </xf>
    <xf numFmtId="0" fontId="31" fillId="0" borderId="0" xfId="0" applyFont="1" applyFill="1"/>
    <xf numFmtId="0" fontId="32" fillId="3" borderId="1" xfId="39" applyFont="1" applyFill="1" applyBorder="1" applyAlignment="1">
      <alignment vertical="center" wrapText="1"/>
    </xf>
    <xf numFmtId="4" fontId="32" fillId="3" borderId="1" xfId="39" applyNumberFormat="1" applyFont="1" applyFill="1" applyBorder="1" applyAlignment="1">
      <alignment horizontal="center" vertical="center" wrapText="1"/>
    </xf>
    <xf numFmtId="3" fontId="34" fillId="0" borderId="1" xfId="39" applyNumberFormat="1" applyFont="1" applyFill="1" applyBorder="1" applyAlignment="1">
      <alignment horizontal="center" vertical="center" wrapText="1"/>
    </xf>
    <xf numFmtId="4" fontId="34" fillId="0" borderId="1" xfId="39" applyNumberFormat="1" applyFont="1" applyFill="1" applyBorder="1" applyAlignment="1">
      <alignment horizontal="center" vertical="center" wrapText="1"/>
    </xf>
    <xf numFmtId="4" fontId="31" fillId="2" borderId="1" xfId="39" applyNumberFormat="1" applyFont="1" applyFill="1" applyBorder="1" applyAlignment="1">
      <alignment horizontal="center" vertical="center" wrapText="1"/>
    </xf>
    <xf numFmtId="4" fontId="31" fillId="0" borderId="1" xfId="39" applyNumberFormat="1" applyFont="1" applyBorder="1" applyAlignment="1">
      <alignment horizontal="center" vertical="center"/>
    </xf>
    <xf numFmtId="0" fontId="31" fillId="0" borderId="1" xfId="39" applyFont="1" applyBorder="1"/>
    <xf numFmtId="49" fontId="28" fillId="4" borderId="1" xfId="0" applyNumberFormat="1" applyFont="1" applyFill="1" applyBorder="1" applyAlignment="1">
      <alignment horizontal="left" vertical="top" wrapText="1"/>
    </xf>
    <xf numFmtId="4" fontId="28" fillId="4" borderId="1" xfId="0" applyNumberFormat="1" applyFont="1" applyFill="1" applyBorder="1" applyAlignment="1">
      <alignment horizontal="right" vertical="top" wrapText="1"/>
    </xf>
    <xf numFmtId="0" fontId="25" fillId="0" borderId="1" xfId="46" applyFont="1" applyFill="1" applyBorder="1" applyAlignment="1">
      <alignment horizontal="left" vertical="center" wrapText="1"/>
    </xf>
    <xf numFmtId="0" fontId="1" fillId="0" borderId="0" xfId="39" applyAlignment="1">
      <alignment vertical="center"/>
    </xf>
    <xf numFmtId="0" fontId="1" fillId="0" borderId="0" xfId="39" applyAlignment="1">
      <alignment horizontal="center" vertical="center"/>
    </xf>
    <xf numFmtId="0" fontId="24" fillId="0" borderId="0" xfId="39" applyFont="1"/>
    <xf numFmtId="0" fontId="24" fillId="0" borderId="0" xfId="39" applyFont="1" applyAlignment="1">
      <alignment horizontal="center" vertical="center"/>
    </xf>
    <xf numFmtId="0" fontId="26" fillId="0" borderId="1" xfId="22" applyFont="1" applyFill="1" applyBorder="1" applyAlignment="1">
      <alignment horizontal="center" vertical="center"/>
    </xf>
    <xf numFmtId="0" fontId="26" fillId="0" borderId="1" xfId="22" applyFont="1" applyFill="1" applyBorder="1" applyAlignment="1">
      <alignment horizontal="center"/>
    </xf>
    <xf numFmtId="49" fontId="28" fillId="4" borderId="1" xfId="22" applyNumberFormat="1" applyFont="1" applyFill="1" applyBorder="1" applyAlignment="1">
      <alignment horizontal="center" vertical="center"/>
    </xf>
    <xf numFmtId="0" fontId="28" fillId="4" borderId="1" xfId="22" applyFont="1" applyFill="1" applyBorder="1" applyAlignment="1">
      <alignment horizontal="center" vertical="center"/>
    </xf>
    <xf numFmtId="49" fontId="26" fillId="0" borderId="1" xfId="22" applyNumberFormat="1" applyFont="1" applyFill="1" applyBorder="1" applyAlignment="1">
      <alignment horizontal="center" vertical="center"/>
    </xf>
    <xf numFmtId="49" fontId="26" fillId="2" borderId="1" xfId="27" applyNumberFormat="1" applyFont="1" applyFill="1" applyBorder="1" applyAlignment="1">
      <alignment horizontal="left" vertical="center" wrapText="1"/>
    </xf>
    <xf numFmtId="49" fontId="31" fillId="0" borderId="1" xfId="27" applyNumberFormat="1" applyFont="1" applyBorder="1" applyAlignment="1">
      <alignment horizontal="left" vertical="center" wrapText="1"/>
    </xf>
    <xf numFmtId="49" fontId="26" fillId="0" borderId="1" xfId="27" applyNumberFormat="1" applyFont="1" applyBorder="1" applyAlignment="1">
      <alignment horizontal="left" vertical="center" wrapText="1"/>
    </xf>
    <xf numFmtId="0" fontId="28" fillId="4" borderId="1" xfId="0" applyFont="1" applyFill="1" applyBorder="1" applyAlignment="1">
      <alignment vertical="center"/>
    </xf>
    <xf numFmtId="0" fontId="32" fillId="4" borderId="1" xfId="46" applyFont="1" applyFill="1" applyBorder="1" applyAlignment="1">
      <alignment horizontal="left" vertical="center" wrapText="1"/>
    </xf>
    <xf numFmtId="0" fontId="26" fillId="0" borderId="1" xfId="22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/>
    </xf>
    <xf numFmtId="0" fontId="28" fillId="0" borderId="0" xfId="32" applyFont="1" applyAlignment="1"/>
    <xf numFmtId="0" fontId="4" fillId="0" borderId="0" xfId="32" applyFont="1"/>
    <xf numFmtId="0" fontId="36" fillId="0" borderId="0" xfId="45" applyFont="1"/>
    <xf numFmtId="0" fontId="26" fillId="0" borderId="0" xfId="32" applyFont="1"/>
    <xf numFmtId="0" fontId="26" fillId="0" borderId="0" xfId="32" applyFont="1" applyAlignment="1">
      <alignment vertical="top"/>
    </xf>
    <xf numFmtId="0" fontId="29" fillId="0" borderId="0" xfId="32" applyFont="1"/>
    <xf numFmtId="0" fontId="29" fillId="0" borderId="0" xfId="32" applyFont="1" applyFill="1" applyAlignment="1">
      <alignment vertical="center" wrapText="1"/>
    </xf>
    <xf numFmtId="49" fontId="26" fillId="0" borderId="0" xfId="32" applyNumberFormat="1" applyFont="1"/>
    <xf numFmtId="49" fontId="37" fillId="0" borderId="0" xfId="35" applyNumberFormat="1" applyFont="1"/>
    <xf numFmtId="0" fontId="26" fillId="0" borderId="0" xfId="35" applyFont="1"/>
    <xf numFmtId="0" fontId="37" fillId="0" borderId="0" xfId="35" applyFont="1"/>
    <xf numFmtId="49" fontId="37" fillId="0" borderId="0" xfId="35" applyNumberFormat="1" applyFont="1" applyAlignment="1">
      <alignment horizontal="left"/>
    </xf>
    <xf numFmtId="49" fontId="38" fillId="0" borderId="0" xfId="35" applyNumberFormat="1" applyFont="1"/>
    <xf numFmtId="0" fontId="38" fillId="0" borderId="0" xfId="35" applyFont="1"/>
    <xf numFmtId="49" fontId="37" fillId="0" borderId="0" xfId="35" applyNumberFormat="1" applyFont="1" applyFill="1"/>
    <xf numFmtId="49" fontId="37" fillId="0" borderId="0" xfId="35" applyNumberFormat="1" applyFont="1" applyAlignment="1">
      <alignment wrapText="1"/>
    </xf>
    <xf numFmtId="49" fontId="30" fillId="0" borderId="0" xfId="32" applyNumberFormat="1" applyFont="1"/>
    <xf numFmtId="0" fontId="25" fillId="0" borderId="0" xfId="45" applyFont="1" applyFill="1" applyBorder="1"/>
    <xf numFmtId="0" fontId="39" fillId="0" borderId="2" xfId="32" applyFont="1" applyBorder="1" applyAlignment="1">
      <alignment horizontal="center"/>
    </xf>
    <xf numFmtId="0" fontId="36" fillId="0" borderId="2" xfId="45" applyFont="1" applyBorder="1"/>
    <xf numFmtId="0" fontId="25" fillId="0" borderId="2" xfId="45" applyFont="1" applyBorder="1"/>
    <xf numFmtId="0" fontId="39" fillId="0" borderId="0" xfId="32" applyFont="1" applyBorder="1" applyAlignment="1">
      <alignment horizontal="center"/>
    </xf>
    <xf numFmtId="0" fontId="33" fillId="0" borderId="0" xfId="32" applyFont="1" applyBorder="1" applyAlignment="1"/>
    <xf numFmtId="0" fontId="26" fillId="0" borderId="1" xfId="0" applyFont="1" applyBorder="1" applyAlignment="1">
      <alignment horizontal="center" vertical="center"/>
    </xf>
    <xf numFmtId="0" fontId="37" fillId="0" borderId="0" xfId="0" applyFont="1"/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22" applyFont="1" applyBorder="1" applyAlignment="1">
      <alignment horizontal="center"/>
    </xf>
    <xf numFmtId="4" fontId="40" fillId="4" borderId="1" xfId="22" applyNumberFormat="1" applyFont="1" applyFill="1" applyBorder="1" applyAlignment="1">
      <alignment horizontal="center" vertical="center"/>
    </xf>
    <xf numFmtId="49" fontId="26" fillId="0" borderId="0" xfId="23" applyNumberFormat="1" applyFont="1" applyAlignment="1">
      <alignment horizontal="left" vertical="center"/>
    </xf>
    <xf numFmtId="4" fontId="37" fillId="0" borderId="1" xfId="0" applyNumberFormat="1" applyFont="1" applyBorder="1" applyAlignment="1">
      <alignment horizontal="center" vertical="center"/>
    </xf>
    <xf numFmtId="4" fontId="37" fillId="0" borderId="1" xfId="22" applyNumberFormat="1" applyFont="1" applyBorder="1" applyAlignment="1">
      <alignment horizontal="center" vertical="center"/>
    </xf>
    <xf numFmtId="0" fontId="37" fillId="0" borderId="1" xfId="22" applyFont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4" fontId="40" fillId="4" borderId="1" xfId="0" applyNumberFormat="1" applyFont="1" applyFill="1" applyBorder="1" applyAlignment="1">
      <alignment vertical="center"/>
    </xf>
    <xf numFmtId="0" fontId="37" fillId="0" borderId="0" xfId="0" applyFont="1" applyAlignment="1">
      <alignment vertical="center"/>
    </xf>
    <xf numFmtId="4" fontId="37" fillId="4" borderId="1" xfId="0" applyNumberFormat="1" applyFont="1" applyFill="1" applyBorder="1" applyAlignment="1">
      <alignment vertical="center"/>
    </xf>
    <xf numFmtId="0" fontId="37" fillId="0" borderId="0" xfId="32" applyFont="1"/>
    <xf numFmtId="49" fontId="37" fillId="0" borderId="0" xfId="32" applyNumberFormat="1" applyFont="1"/>
    <xf numFmtId="0" fontId="36" fillId="0" borderId="0" xfId="45" quotePrefix="1" applyFont="1" applyFill="1" applyBorder="1"/>
    <xf numFmtId="0" fontId="31" fillId="0" borderId="0" xfId="0" applyFont="1" applyAlignment="1">
      <alignment vertical="top"/>
    </xf>
    <xf numFmtId="49" fontId="31" fillId="0" borderId="4" xfId="27" applyNumberFormat="1" applyFont="1" applyBorder="1" applyAlignment="1">
      <alignment horizontal="left" vertical="top" wrapText="1"/>
    </xf>
    <xf numFmtId="4" fontId="31" fillId="0" borderId="1" xfId="0" applyNumberFormat="1" applyFont="1" applyBorder="1" applyAlignment="1">
      <alignment vertical="top"/>
    </xf>
    <xf numFmtId="0" fontId="31" fillId="0" borderId="1" xfId="0" applyFont="1" applyBorder="1" applyAlignment="1">
      <alignment vertical="top"/>
    </xf>
    <xf numFmtId="170" fontId="26" fillId="0" borderId="1" xfId="0" applyNumberFormat="1" applyFont="1" applyBorder="1" applyAlignment="1">
      <alignment vertical="top"/>
    </xf>
    <xf numFmtId="171" fontId="31" fillId="0" borderId="1" xfId="0" applyNumberFormat="1" applyFont="1" applyBorder="1" applyAlignment="1">
      <alignment vertical="top"/>
    </xf>
    <xf numFmtId="4" fontId="28" fillId="4" borderId="7" xfId="22" applyNumberFormat="1" applyFont="1" applyFill="1" applyBorder="1" applyAlignment="1">
      <alignment horizontal="right" vertical="center"/>
    </xf>
    <xf numFmtId="4" fontId="26" fillId="0" borderId="1" xfId="0" applyNumberFormat="1" applyFont="1" applyFill="1" applyBorder="1" applyAlignment="1">
      <alignment horizontal="right" vertical="center" wrapText="1"/>
    </xf>
    <xf numFmtId="0" fontId="26" fillId="0" borderId="1" xfId="0" applyFont="1" applyFill="1" applyBorder="1" applyAlignment="1">
      <alignment horizontal="right" vertical="top"/>
    </xf>
    <xf numFmtId="4" fontId="26" fillId="0" borderId="1" xfId="0" applyNumberFormat="1" applyFont="1" applyFill="1" applyBorder="1" applyAlignment="1">
      <alignment horizontal="right" vertical="top"/>
    </xf>
    <xf numFmtId="0" fontId="26" fillId="0" borderId="1" xfId="0" applyFont="1" applyFill="1" applyBorder="1" applyAlignment="1">
      <alignment horizontal="right" vertical="center"/>
    </xf>
    <xf numFmtId="0" fontId="26" fillId="0" borderId="1" xfId="22" applyFont="1" applyBorder="1" applyAlignment="1">
      <alignment horizontal="center" vertical="center"/>
    </xf>
    <xf numFmtId="0" fontId="28" fillId="0" borderId="0" xfId="45" applyFont="1" applyAlignment="1">
      <alignment vertical="center" wrapText="1"/>
    </xf>
    <xf numFmtId="0" fontId="42" fillId="0" borderId="0" xfId="47" applyFont="1" applyBorder="1" applyAlignment="1">
      <alignment horizontal="left" vertical="center"/>
    </xf>
    <xf numFmtId="0" fontId="42" fillId="0" borderId="0" xfId="47" applyFont="1" applyBorder="1" applyAlignment="1">
      <alignment horizontal="left" vertical="center" wrapText="1"/>
    </xf>
    <xf numFmtId="0" fontId="42" fillId="0" borderId="0" xfId="47" applyFont="1" applyBorder="1" applyAlignment="1">
      <alignment vertical="center" wrapText="1"/>
    </xf>
    <xf numFmtId="0" fontId="41" fillId="0" borderId="0" xfId="47" applyFont="1" applyBorder="1"/>
    <xf numFmtId="4" fontId="41" fillId="0" borderId="0" xfId="47" applyNumberFormat="1" applyFont="1" applyBorder="1" applyAlignment="1">
      <alignment horizontal="right"/>
    </xf>
    <xf numFmtId="4" fontId="28" fillId="0" borderId="0" xfId="0" applyNumberFormat="1" applyFont="1" applyFill="1" applyAlignment="1">
      <alignment vertical="top"/>
    </xf>
    <xf numFmtId="4" fontId="28" fillId="0" borderId="0" xfId="0" applyNumberFormat="1" applyFont="1"/>
    <xf numFmtId="4" fontId="28" fillId="0" borderId="0" xfId="32" applyNumberFormat="1" applyFont="1" applyAlignment="1">
      <alignment vertical="center" wrapText="1"/>
    </xf>
    <xf numFmtId="0" fontId="28" fillId="0" borderId="0" xfId="32" applyFont="1"/>
    <xf numFmtId="2" fontId="8" fillId="0" borderId="8" xfId="0" applyNumberFormat="1" applyFont="1" applyFill="1" applyBorder="1" applyAlignment="1">
      <alignment horizontal="right" vertical="top" wrapText="1"/>
    </xf>
    <xf numFmtId="167" fontId="26" fillId="0" borderId="0" xfId="0" applyNumberFormat="1" applyFont="1"/>
    <xf numFmtId="169" fontId="0" fillId="9" borderId="1" xfId="44" applyNumberFormat="1" applyFont="1" applyFill="1" applyBorder="1" applyAlignment="1">
      <alignment vertical="center"/>
    </xf>
    <xf numFmtId="0" fontId="8" fillId="0" borderId="2" xfId="23" applyFont="1" applyBorder="1" applyAlignment="1">
      <alignment horizontal="center" wrapText="1"/>
    </xf>
    <xf numFmtId="49" fontId="13" fillId="0" borderId="1" xfId="0" applyNumberFormat="1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4" fontId="23" fillId="2" borderId="3" xfId="42" applyNumberFormat="1" applyFont="1" applyFill="1" applyBorder="1" applyAlignment="1">
      <alignment horizontal="center" wrapText="1"/>
    </xf>
    <xf numFmtId="4" fontId="23" fillId="2" borderId="3" xfId="42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8" fillId="0" borderId="2" xfId="23" applyFont="1" applyBorder="1" applyAlignment="1">
      <alignment horizontal="left" wrapText="1"/>
    </xf>
    <xf numFmtId="49" fontId="8" fillId="0" borderId="0" xfId="23" applyNumberFormat="1" applyFont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4" xfId="23" applyNumberFormat="1" applyFont="1" applyBorder="1">
      <alignment horizontal="center"/>
    </xf>
    <xf numFmtId="49" fontId="8" fillId="0" borderId="5" xfId="23" applyNumberFormat="1" applyFont="1" applyBorder="1">
      <alignment horizontal="center"/>
    </xf>
    <xf numFmtId="49" fontId="8" fillId="0" borderId="6" xfId="23" applyNumberFormat="1" applyFont="1" applyBorder="1">
      <alignment horizontal="center"/>
    </xf>
    <xf numFmtId="4" fontId="23" fillId="2" borderId="0" xfId="42" applyNumberFormat="1" applyFont="1" applyFill="1" applyAlignment="1">
      <alignment horizontal="left" wrapText="1"/>
    </xf>
    <xf numFmtId="4" fontId="23" fillId="2" borderId="0" xfId="42" applyNumberFormat="1" applyFont="1" applyFill="1" applyAlignment="1">
      <alignment wrapText="1"/>
    </xf>
    <xf numFmtId="49" fontId="26" fillId="0" borderId="1" xfId="27" quotePrefix="1" applyNumberFormat="1" applyFont="1" applyBorder="1" applyAlignment="1">
      <alignment horizontal="left" vertical="top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6" fillId="0" borderId="4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6" borderId="1" xfId="0" applyFont="1" applyFill="1" applyBorder="1" applyAlignment="1">
      <alignment horizontal="left" vertical="center"/>
    </xf>
    <xf numFmtId="0" fontId="26" fillId="6" borderId="4" xfId="0" applyFont="1" applyFill="1" applyBorder="1" applyAlignment="1">
      <alignment horizontal="left" vertical="center" wrapText="1"/>
    </xf>
    <xf numFmtId="0" fontId="26" fillId="6" borderId="6" xfId="0" applyFont="1" applyFill="1" applyBorder="1" applyAlignment="1">
      <alignment horizontal="left" vertical="center" wrapText="1"/>
    </xf>
    <xf numFmtId="0" fontId="26" fillId="5" borderId="4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/>
    </xf>
    <xf numFmtId="0" fontId="26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28" fillId="0" borderId="0" xfId="45" applyFont="1" applyAlignment="1">
      <alignment horizontal="center" vertical="center" wrapText="1"/>
    </xf>
    <xf numFmtId="0" fontId="28" fillId="0" borderId="0" xfId="45" applyFont="1" applyAlignment="1">
      <alignment horizontal="left" vertical="center" wrapText="1"/>
    </xf>
    <xf numFmtId="0" fontId="26" fillId="0" borderId="0" xfId="45" applyFont="1" applyFill="1" applyAlignment="1">
      <alignment horizontal="left" vertical="center" wrapText="1"/>
    </xf>
    <xf numFmtId="0" fontId="25" fillId="0" borderId="0" xfId="39" applyFont="1" applyAlignment="1">
      <alignment horizontal="left" vertical="center" wrapText="1"/>
    </xf>
    <xf numFmtId="49" fontId="26" fillId="0" borderId="0" xfId="23" applyNumberFormat="1" applyFont="1" applyAlignment="1">
      <alignment horizontal="left" vertical="center"/>
    </xf>
    <xf numFmtId="0" fontId="28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8" fillId="0" borderId="4" xfId="23" applyNumberFormat="1" applyFont="1" applyBorder="1">
      <alignment horizontal="center"/>
    </xf>
    <xf numFmtId="49" fontId="28" fillId="0" borderId="5" xfId="23" applyNumberFormat="1" applyFont="1" applyBorder="1">
      <alignment horizontal="center"/>
    </xf>
    <xf numFmtId="49" fontId="28" fillId="0" borderId="6" xfId="23" applyNumberFormat="1" applyFont="1" applyBorder="1">
      <alignment horizontal="center"/>
    </xf>
    <xf numFmtId="0" fontId="32" fillId="0" borderId="0" xfId="39" applyFont="1" applyAlignment="1">
      <alignment horizontal="center" vertical="center" wrapText="1"/>
    </xf>
    <xf numFmtId="0" fontId="35" fillId="0" borderId="0" xfId="45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8" fillId="0" borderId="0" xfId="45" applyFont="1" applyAlignment="1">
      <alignment horizontal="center" wrapText="1"/>
    </xf>
    <xf numFmtId="0" fontId="28" fillId="0" borderId="1" xfId="22" applyFont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49" fontId="37" fillId="0" borderId="0" xfId="35" applyNumberFormat="1" applyFont="1" applyAlignment="1">
      <alignment horizontal="left" wrapText="1"/>
    </xf>
    <xf numFmtId="0" fontId="33" fillId="0" borderId="3" xfId="32" applyFont="1" applyBorder="1" applyAlignment="1">
      <alignment horizontal="center"/>
    </xf>
    <xf numFmtId="0" fontId="28" fillId="0" borderId="0" xfId="32" applyFont="1" applyAlignment="1">
      <alignment horizontal="center"/>
    </xf>
    <xf numFmtId="0" fontId="28" fillId="0" borderId="0" xfId="32" applyFont="1" applyAlignment="1">
      <alignment horizontal="left" vertical="top" wrapText="1"/>
    </xf>
    <xf numFmtId="0" fontId="28" fillId="0" borderId="0" xfId="32" applyFont="1" applyAlignment="1">
      <alignment horizontal="left" vertical="center" wrapText="1"/>
    </xf>
    <xf numFmtId="0" fontId="28" fillId="0" borderId="0" xfId="32" applyFont="1" applyFill="1" applyAlignment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28" fillId="0" borderId="0" xfId="45" applyFont="1" applyAlignment="1">
      <alignment horizontal="left" wrapText="1"/>
    </xf>
    <xf numFmtId="0" fontId="42" fillId="0" borderId="0" xfId="47" applyFont="1" applyBorder="1" applyAlignment="1">
      <alignment horizontal="left" vertical="center" wrapText="1"/>
    </xf>
    <xf numFmtId="0" fontId="42" fillId="0" borderId="0" xfId="47" applyFont="1" applyBorder="1" applyAlignment="1">
      <alignment vertical="center" wrapText="1"/>
    </xf>
    <xf numFmtId="0" fontId="42" fillId="0" borderId="0" xfId="47" applyFont="1" applyBorder="1" applyAlignment="1">
      <alignment horizontal="left" vertical="top" wrapText="1"/>
    </xf>
    <xf numFmtId="0" fontId="41" fillId="0" borderId="0" xfId="47" applyFont="1" applyBorder="1" applyAlignment="1">
      <alignment horizontal="center" vertical="center" wrapText="1"/>
    </xf>
    <xf numFmtId="0" fontId="42" fillId="0" borderId="0" xfId="47" applyFont="1" applyFill="1" applyBorder="1" applyAlignment="1">
      <alignment horizontal="left" vertical="top" wrapText="1"/>
    </xf>
    <xf numFmtId="49" fontId="42" fillId="0" borderId="0" xfId="47" applyNumberFormat="1" applyFont="1" applyFill="1" applyBorder="1" applyAlignment="1">
      <alignment horizontal="left" vertical="center" wrapText="1"/>
    </xf>
    <xf numFmtId="0" fontId="41" fillId="0" borderId="0" xfId="47" applyFont="1" applyBorder="1" applyAlignment="1">
      <alignment horizontal="center"/>
    </xf>
    <xf numFmtId="0" fontId="42" fillId="0" borderId="0" xfId="47" quotePrefix="1" applyFont="1" applyBorder="1" applyAlignment="1">
      <alignment horizontal="center" vertical="center" wrapText="1"/>
    </xf>
    <xf numFmtId="0" fontId="42" fillId="0" borderId="0" xfId="47" applyFont="1" applyBorder="1" applyAlignment="1">
      <alignment horizontal="center" vertical="center" wrapText="1"/>
    </xf>
  </cellXfs>
  <cellStyles count="48">
    <cellStyle name="TableStyleLight1" xfId="31"/>
    <cellStyle name="Акт" xfId="1"/>
    <cellStyle name="АктМТСН" xfId="2"/>
    <cellStyle name="ВедРесурсов" xfId="3"/>
    <cellStyle name="ВедРесурсовАкт" xfId="4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ЛокСмета" xfId="13"/>
    <cellStyle name="ЛокСмМТСН" xfId="14"/>
    <cellStyle name="М29" xfId="15"/>
    <cellStyle name="ОбСмета" xfId="16"/>
    <cellStyle name="Обычный" xfId="0" builtinId="0"/>
    <cellStyle name="Обычный 10 2" xfId="42"/>
    <cellStyle name="Обычный 2" xfId="27"/>
    <cellStyle name="Обычный 2 2 2" xfId="28"/>
    <cellStyle name="Обычный 2 5" xfId="43"/>
    <cellStyle name="Обычный 3" xfId="29"/>
    <cellStyle name="Обычный 3 2" xfId="45"/>
    <cellStyle name="Обычный 3 3" xfId="32"/>
    <cellStyle name="Обычный 4" xfId="39"/>
    <cellStyle name="Обычный 4 2" xfId="36"/>
    <cellStyle name="Обычный 4 3" xfId="46"/>
    <cellStyle name="Обычный 4 3 2" xfId="47"/>
    <cellStyle name="Обычный 5" xfId="35"/>
    <cellStyle name="Обычный 6" xfId="33"/>
    <cellStyle name="Обычный 7" xfId="40"/>
    <cellStyle name="Параметр" xfId="17"/>
    <cellStyle name="ПеременныеСметы" xfId="18"/>
    <cellStyle name="Процентный" xfId="44" builtinId="5"/>
    <cellStyle name="РесСмета" xfId="19"/>
    <cellStyle name="СводВедРес" xfId="20"/>
    <cellStyle name="СводВедРес 2" xfId="37"/>
    <cellStyle name="СводкаСтоимРаб" xfId="21"/>
    <cellStyle name="СводРасч" xfId="22"/>
    <cellStyle name="Титул" xfId="23"/>
    <cellStyle name="Финансовый 2" xfId="30"/>
    <cellStyle name="Финансовый 5" xfId="34"/>
    <cellStyle name="Финансовый 6" xfId="41"/>
    <cellStyle name="Хвост" xfId="24"/>
    <cellStyle name="Ценник" xfId="25"/>
    <cellStyle name="Ценник 2" xfId="38"/>
    <cellStyle name="Экспертиза" xfId="26"/>
  </cellStyles>
  <dxfs count="0"/>
  <tableStyles count="0" defaultTableStyle="TableStyleMedium9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576353</xdr:colOff>
      <xdr:row>46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5C48304-4582-4BE3-9B56-A0E9C86B5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53152" cy="759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27710</xdr:rowOff>
    </xdr:from>
    <xdr:to>
      <xdr:col>8</xdr:col>
      <xdr:colOff>458320</xdr:colOff>
      <xdr:row>47</xdr:row>
      <xdr:rowOff>27709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00A598-107C-45EB-A223-8EF5E4CB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219"/>
          <a:ext cx="5335120" cy="7481454"/>
        </a:xfrm>
        <a:prstGeom prst="rect">
          <a:avLst/>
        </a:prstGeom>
      </xdr:spPr>
    </xdr:pic>
    <xdr:clientData/>
  </xdr:twoCellAnchor>
  <xdr:twoCellAnchor editAs="oneCell">
    <xdr:from>
      <xdr:col>9</xdr:col>
      <xdr:colOff>48490</xdr:colOff>
      <xdr:row>2</xdr:row>
      <xdr:rowOff>93518</xdr:rowOff>
    </xdr:from>
    <xdr:to>
      <xdr:col>17</xdr:col>
      <xdr:colOff>311684</xdr:colOff>
      <xdr:row>46</xdr:row>
      <xdr:rowOff>96981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D538054-3D39-41A0-8BD3-63C11893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890" y="426027"/>
          <a:ext cx="5139994" cy="7318663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345209</xdr:colOff>
      <xdr:row>12</xdr:row>
      <xdr:rowOff>33481</xdr:rowOff>
    </xdr:from>
    <xdr:to>
      <xdr:col>25</xdr:col>
      <xdr:colOff>344977</xdr:colOff>
      <xdr:row>48</xdr:row>
      <xdr:rowOff>124691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ADD8095-EDAC-4B9D-86C0-1ED1ABEC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8009" y="2028536"/>
          <a:ext cx="4266968" cy="60763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30497</xdr:colOff>
      <xdr:row>46</xdr:row>
      <xdr:rowOff>88900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543C8A-2E83-475E-898A-800C63CA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16897" cy="76835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0</xdr:rowOff>
    </xdr:from>
    <xdr:to>
      <xdr:col>17</xdr:col>
      <xdr:colOff>279400</xdr:colOff>
      <xdr:row>47</xdr:row>
      <xdr:rowOff>138448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8F3A866-F6A2-4AE2-BB21-6D50081B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660400"/>
          <a:ext cx="5118100" cy="7237748"/>
        </a:xfrm>
        <a:prstGeom prst="rect">
          <a:avLst/>
        </a:prstGeom>
      </xdr:spPr>
    </xdr:pic>
    <xdr:clientData/>
  </xdr:twoCellAnchor>
  <xdr:twoCellAnchor editAs="oneCell">
    <xdr:from>
      <xdr:col>18</xdr:col>
      <xdr:colOff>199571</xdr:colOff>
      <xdr:row>3</xdr:row>
      <xdr:rowOff>32657</xdr:rowOff>
    </xdr:from>
    <xdr:to>
      <xdr:col>24</xdr:col>
      <xdr:colOff>440871</xdr:colOff>
      <xdr:row>36</xdr:row>
      <xdr:rowOff>97978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EED9C6B-FCA9-4174-95EB-42ABA69C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371" y="522514"/>
          <a:ext cx="3898900" cy="5453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25" zoomScale="60" zoomScaleNormal="100" workbookViewId="0">
      <selection activeCell="D19" sqref="D19"/>
    </sheetView>
  </sheetViews>
  <sheetFormatPr defaultRowHeight="12.75" x14ac:dyDescent="0.2"/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7"/>
  <sheetViews>
    <sheetView showGridLines="0" view="pageBreakPreview" topLeftCell="B12" zoomScale="80" zoomScaleNormal="80" zoomScaleSheetLayoutView="80" workbookViewId="0">
      <selection activeCell="D36" sqref="D36"/>
    </sheetView>
  </sheetViews>
  <sheetFormatPr defaultColWidth="8.85546875" defaultRowHeight="15.75" x14ac:dyDescent="0.25"/>
  <cols>
    <col min="1" max="1" width="4.5703125" style="91" hidden="1" customWidth="1"/>
    <col min="2" max="2" width="9.85546875" style="91" customWidth="1"/>
    <col min="3" max="3" width="20.140625" style="91" customWidth="1"/>
    <col min="4" max="4" width="69.85546875" style="91" customWidth="1"/>
    <col min="5" max="5" width="21" style="91" customWidth="1"/>
    <col min="6" max="6" width="21.85546875" style="91" customWidth="1"/>
    <col min="7" max="16384" width="8.85546875" style="91"/>
  </cols>
  <sheetData>
    <row r="1" spans="1:6" s="161" customFormat="1" ht="15" x14ac:dyDescent="0.25">
      <c r="A1" s="193"/>
      <c r="D1" s="194"/>
      <c r="E1" s="194"/>
    </row>
    <row r="2" spans="1:6" s="161" customFormat="1" ht="15" x14ac:dyDescent="0.25">
      <c r="A2" s="323" t="s">
        <v>267</v>
      </c>
      <c r="B2" s="323"/>
      <c r="C2" s="323"/>
      <c r="D2" s="323"/>
      <c r="E2" s="323"/>
      <c r="F2" s="323"/>
    </row>
    <row r="3" spans="1:6" s="195" customFormat="1" ht="25.5" customHeight="1" x14ac:dyDescent="0.25">
      <c r="A3" s="323"/>
      <c r="B3" s="323"/>
      <c r="C3" s="323"/>
      <c r="D3" s="323"/>
      <c r="E3" s="323"/>
      <c r="F3" s="323"/>
    </row>
    <row r="4" spans="1:6" s="195" customFormat="1" x14ac:dyDescent="0.25">
      <c r="A4" s="85"/>
      <c r="B4" s="85"/>
      <c r="D4" s="196"/>
      <c r="E4" s="196"/>
    </row>
    <row r="5" spans="1:6" s="195" customFormat="1" ht="44.25" customHeight="1" x14ac:dyDescent="0.25">
      <c r="A5" s="100" t="s">
        <v>187</v>
      </c>
      <c r="B5" s="100" t="s">
        <v>187</v>
      </c>
      <c r="C5" s="325" t="s">
        <v>340</v>
      </c>
      <c r="D5" s="325"/>
      <c r="E5" s="325"/>
      <c r="F5" s="325"/>
    </row>
    <row r="6" spans="1:6" x14ac:dyDescent="0.25">
      <c r="B6" s="107"/>
      <c r="C6" s="108"/>
      <c r="D6" s="109"/>
    </row>
    <row r="7" spans="1:6" x14ac:dyDescent="0.25">
      <c r="B7" s="107"/>
      <c r="C7" s="316"/>
      <c r="D7" s="316"/>
    </row>
    <row r="8" spans="1:6" ht="12.75" customHeight="1" x14ac:dyDescent="0.25">
      <c r="B8" s="324" t="s">
        <v>4</v>
      </c>
      <c r="C8" s="327" t="s">
        <v>11</v>
      </c>
      <c r="D8" s="324" t="s">
        <v>12</v>
      </c>
      <c r="E8" s="324" t="s">
        <v>265</v>
      </c>
      <c r="F8" s="324" t="s">
        <v>266</v>
      </c>
    </row>
    <row r="9" spans="1:6" ht="69" customHeight="1" x14ac:dyDescent="0.25">
      <c r="B9" s="324"/>
      <c r="C9" s="327"/>
      <c r="D9" s="324"/>
      <c r="E9" s="324"/>
      <c r="F9" s="324"/>
    </row>
    <row r="10" spans="1:6" ht="17.25" customHeight="1" x14ac:dyDescent="0.25">
      <c r="B10" s="197">
        <v>1</v>
      </c>
      <c r="C10" s="198">
        <v>2</v>
      </c>
      <c r="D10" s="198">
        <v>3</v>
      </c>
      <c r="E10" s="197">
        <v>4</v>
      </c>
      <c r="F10" s="197">
        <v>5</v>
      </c>
    </row>
    <row r="11" spans="1:6" ht="42" customHeight="1" x14ac:dyDescent="0.25">
      <c r="B11" s="261">
        <v>1</v>
      </c>
      <c r="C11" s="326" t="s">
        <v>341</v>
      </c>
      <c r="D11" s="326"/>
      <c r="E11" s="326"/>
      <c r="F11" s="326"/>
    </row>
    <row r="12" spans="1:6" s="138" customFormat="1" ht="29.25" customHeight="1" x14ac:dyDescent="0.2">
      <c r="B12" s="199" t="s">
        <v>193</v>
      </c>
      <c r="C12" s="200"/>
      <c r="D12" s="206" t="s">
        <v>194</v>
      </c>
      <c r="E12" s="205"/>
      <c r="F12" s="205"/>
    </row>
    <row r="13" spans="1:6" s="103" customFormat="1" ht="27.75" customHeight="1" x14ac:dyDescent="0.2">
      <c r="B13" s="201" t="s">
        <v>241</v>
      </c>
      <c r="C13" s="207" t="s">
        <v>195</v>
      </c>
      <c r="D13" s="105" t="s">
        <v>196</v>
      </c>
      <c r="E13" s="208" t="s">
        <v>268</v>
      </c>
      <c r="F13" s="208">
        <v>1</v>
      </c>
    </row>
    <row r="14" spans="1:6" s="103" customFormat="1" ht="27" customHeight="1" x14ac:dyDescent="0.2">
      <c r="B14" s="201" t="s">
        <v>242</v>
      </c>
      <c r="C14" s="207"/>
      <c r="D14" s="106" t="s">
        <v>197</v>
      </c>
      <c r="E14" s="208" t="s">
        <v>268</v>
      </c>
      <c r="F14" s="208">
        <v>1</v>
      </c>
    </row>
    <row r="15" spans="1:6" s="142" customFormat="1" ht="48" customHeight="1" x14ac:dyDescent="0.25">
      <c r="B15" s="199" t="s">
        <v>200</v>
      </c>
      <c r="C15" s="127"/>
      <c r="D15" s="206" t="s">
        <v>199</v>
      </c>
      <c r="E15" s="209"/>
      <c r="F15" s="209"/>
    </row>
    <row r="16" spans="1:6" ht="23.25" customHeight="1" x14ac:dyDescent="0.25">
      <c r="B16" s="201" t="s">
        <v>243</v>
      </c>
      <c r="C16" s="114" t="s">
        <v>53</v>
      </c>
      <c r="D16" s="115" t="s">
        <v>88</v>
      </c>
      <c r="E16" s="233" t="s">
        <v>268</v>
      </c>
      <c r="F16" s="233">
        <v>1</v>
      </c>
    </row>
    <row r="17" spans="2:6" ht="35.25" customHeight="1" x14ac:dyDescent="0.25">
      <c r="B17" s="201" t="s">
        <v>244</v>
      </c>
      <c r="C17" s="114" t="s">
        <v>18</v>
      </c>
      <c r="D17" s="115" t="s">
        <v>54</v>
      </c>
      <c r="E17" s="233" t="s">
        <v>268</v>
      </c>
      <c r="F17" s="233">
        <v>1</v>
      </c>
    </row>
    <row r="18" spans="2:6" ht="26.25" customHeight="1" x14ac:dyDescent="0.25">
      <c r="B18" s="201" t="s">
        <v>245</v>
      </c>
      <c r="C18" s="114" t="s">
        <v>22</v>
      </c>
      <c r="D18" s="114" t="s">
        <v>89</v>
      </c>
      <c r="E18" s="233" t="s">
        <v>268</v>
      </c>
      <c r="F18" s="233">
        <v>1</v>
      </c>
    </row>
    <row r="19" spans="2:6" ht="26.25" customHeight="1" x14ac:dyDescent="0.25">
      <c r="B19" s="201" t="s">
        <v>246</v>
      </c>
      <c r="C19" s="114" t="s">
        <v>108</v>
      </c>
      <c r="D19" s="114" t="s">
        <v>106</v>
      </c>
      <c r="E19" s="233" t="s">
        <v>268</v>
      </c>
      <c r="F19" s="233">
        <v>1</v>
      </c>
    </row>
    <row r="20" spans="2:6" ht="26.25" customHeight="1" x14ac:dyDescent="0.25">
      <c r="B20" s="201" t="s">
        <v>247</v>
      </c>
      <c r="C20" s="131" t="s">
        <v>90</v>
      </c>
      <c r="D20" s="202" t="s">
        <v>91</v>
      </c>
      <c r="E20" s="233" t="s">
        <v>268</v>
      </c>
      <c r="F20" s="233">
        <v>1</v>
      </c>
    </row>
    <row r="21" spans="2:6" ht="26.25" customHeight="1" x14ac:dyDescent="0.25">
      <c r="B21" s="201" t="s">
        <v>248</v>
      </c>
      <c r="C21" s="131" t="s">
        <v>25</v>
      </c>
      <c r="D21" s="202" t="s">
        <v>26</v>
      </c>
      <c r="E21" s="233" t="s">
        <v>268</v>
      </c>
      <c r="F21" s="233">
        <v>1</v>
      </c>
    </row>
    <row r="22" spans="2:6" ht="26.25" customHeight="1" x14ac:dyDescent="0.25">
      <c r="B22" s="201" t="s">
        <v>249</v>
      </c>
      <c r="C22" s="131" t="s">
        <v>29</v>
      </c>
      <c r="D22" s="202" t="s">
        <v>92</v>
      </c>
      <c r="E22" s="233" t="s">
        <v>268</v>
      </c>
      <c r="F22" s="233">
        <v>1</v>
      </c>
    </row>
    <row r="23" spans="2:6" ht="26.25" customHeight="1" x14ac:dyDescent="0.25">
      <c r="B23" s="201" t="s">
        <v>250</v>
      </c>
      <c r="C23" s="131" t="s">
        <v>31</v>
      </c>
      <c r="D23" s="202" t="s">
        <v>30</v>
      </c>
      <c r="E23" s="233" t="s">
        <v>268</v>
      </c>
      <c r="F23" s="233">
        <v>1</v>
      </c>
    </row>
    <row r="24" spans="2:6" ht="26.25" customHeight="1" x14ac:dyDescent="0.25">
      <c r="B24" s="201" t="s">
        <v>251</v>
      </c>
      <c r="C24" s="131" t="s">
        <v>34</v>
      </c>
      <c r="D24" s="202" t="s">
        <v>37</v>
      </c>
      <c r="E24" s="233" t="s">
        <v>268</v>
      </c>
      <c r="F24" s="233">
        <v>1</v>
      </c>
    </row>
    <row r="25" spans="2:6" ht="26.25" customHeight="1" x14ac:dyDescent="0.25">
      <c r="B25" s="201" t="s">
        <v>252</v>
      </c>
      <c r="C25" s="131" t="s">
        <v>36</v>
      </c>
      <c r="D25" s="202" t="s">
        <v>93</v>
      </c>
      <c r="E25" s="233" t="s">
        <v>268</v>
      </c>
      <c r="F25" s="233">
        <v>1</v>
      </c>
    </row>
    <row r="26" spans="2:6" ht="26.25" customHeight="1" x14ac:dyDescent="0.25">
      <c r="B26" s="201" t="s">
        <v>253</v>
      </c>
      <c r="C26" s="131" t="s">
        <v>94</v>
      </c>
      <c r="D26" s="202" t="s">
        <v>95</v>
      </c>
      <c r="E26" s="233" t="s">
        <v>268</v>
      </c>
      <c r="F26" s="233">
        <v>1</v>
      </c>
    </row>
    <row r="27" spans="2:6" ht="26.25" customHeight="1" x14ac:dyDescent="0.25">
      <c r="B27" s="201" t="s">
        <v>254</v>
      </c>
      <c r="C27" s="131" t="s">
        <v>96</v>
      </c>
      <c r="D27" s="202" t="s">
        <v>97</v>
      </c>
      <c r="E27" s="233" t="s">
        <v>268</v>
      </c>
      <c r="F27" s="233">
        <v>1</v>
      </c>
    </row>
    <row r="28" spans="2:6" ht="26.25" customHeight="1" x14ac:dyDescent="0.25">
      <c r="B28" s="201" t="s">
        <v>255</v>
      </c>
      <c r="C28" s="131" t="s">
        <v>98</v>
      </c>
      <c r="D28" s="202" t="s">
        <v>35</v>
      </c>
      <c r="E28" s="233" t="s">
        <v>268</v>
      </c>
      <c r="F28" s="233">
        <v>1</v>
      </c>
    </row>
    <row r="29" spans="2:6" ht="26.25" customHeight="1" x14ac:dyDescent="0.25">
      <c r="B29" s="201" t="s">
        <v>256</v>
      </c>
      <c r="C29" s="114" t="s">
        <v>117</v>
      </c>
      <c r="D29" s="114" t="s">
        <v>118</v>
      </c>
      <c r="E29" s="233" t="s">
        <v>268</v>
      </c>
      <c r="F29" s="233">
        <v>1</v>
      </c>
    </row>
    <row r="30" spans="2:6" ht="26.25" customHeight="1" x14ac:dyDescent="0.25">
      <c r="B30" s="201" t="s">
        <v>257</v>
      </c>
      <c r="C30" s="114" t="s">
        <v>43</v>
      </c>
      <c r="D30" s="114" t="s">
        <v>44</v>
      </c>
      <c r="E30" s="233" t="s">
        <v>268</v>
      </c>
      <c r="F30" s="233">
        <v>1</v>
      </c>
    </row>
    <row r="31" spans="2:6" s="132" customFormat="1" ht="28.5" customHeight="1" x14ac:dyDescent="0.25">
      <c r="B31" s="201" t="s">
        <v>258</v>
      </c>
      <c r="C31" s="203" t="s">
        <v>217</v>
      </c>
      <c r="D31" s="203" t="s">
        <v>201</v>
      </c>
      <c r="E31" s="134" t="s">
        <v>268</v>
      </c>
      <c r="F31" s="134">
        <v>1</v>
      </c>
    </row>
    <row r="32" spans="2:6" s="132" customFormat="1" ht="35.25" customHeight="1" x14ac:dyDescent="0.25">
      <c r="B32" s="201" t="s">
        <v>259</v>
      </c>
      <c r="C32" s="203" t="s">
        <v>218</v>
      </c>
      <c r="D32" s="203" t="s">
        <v>202</v>
      </c>
      <c r="E32" s="134" t="s">
        <v>268</v>
      </c>
      <c r="F32" s="134">
        <v>1</v>
      </c>
    </row>
    <row r="33" spans="2:6" ht="31.5" x14ac:dyDescent="0.25">
      <c r="B33" s="201" t="s">
        <v>260</v>
      </c>
      <c r="C33" s="156" t="s">
        <v>104</v>
      </c>
      <c r="D33" s="204" t="s">
        <v>60</v>
      </c>
      <c r="E33" s="233" t="s">
        <v>268</v>
      </c>
      <c r="F33" s="233">
        <v>1</v>
      </c>
    </row>
    <row r="34" spans="2:6" ht="31.5" x14ac:dyDescent="0.25">
      <c r="B34" s="201" t="s">
        <v>261</v>
      </c>
      <c r="C34" s="156" t="s">
        <v>105</v>
      </c>
      <c r="D34" s="204" t="s">
        <v>61</v>
      </c>
      <c r="E34" s="233" t="s">
        <v>268</v>
      </c>
      <c r="F34" s="233">
        <v>1</v>
      </c>
    </row>
    <row r="35" spans="2:6" ht="47.25" x14ac:dyDescent="0.25">
      <c r="B35" s="201" t="s">
        <v>262</v>
      </c>
      <c r="C35" s="156" t="s">
        <v>155</v>
      </c>
      <c r="D35" s="124" t="s">
        <v>68</v>
      </c>
      <c r="E35" s="233" t="s">
        <v>268</v>
      </c>
      <c r="F35" s="233">
        <v>1</v>
      </c>
    </row>
    <row r="36" spans="2:6" ht="36" customHeight="1" x14ac:dyDescent="0.25">
      <c r="B36" s="201" t="s">
        <v>263</v>
      </c>
      <c r="C36" s="156" t="s">
        <v>69</v>
      </c>
      <c r="D36" s="204" t="s">
        <v>70</v>
      </c>
      <c r="E36" s="233" t="s">
        <v>268</v>
      </c>
      <c r="F36" s="233">
        <v>1</v>
      </c>
    </row>
    <row r="37" spans="2:6" ht="46.5" customHeight="1" x14ac:dyDescent="0.25">
      <c r="B37" s="201" t="s">
        <v>264</v>
      </c>
      <c r="C37" s="114" t="s">
        <v>74</v>
      </c>
      <c r="D37" s="114" t="s">
        <v>75</v>
      </c>
      <c r="E37" s="233" t="s">
        <v>268</v>
      </c>
      <c r="F37" s="233">
        <v>1</v>
      </c>
    </row>
  </sheetData>
  <mergeCells count="9">
    <mergeCell ref="A2:F3"/>
    <mergeCell ref="E8:E9"/>
    <mergeCell ref="F8:F9"/>
    <mergeCell ref="C5:F5"/>
    <mergeCell ref="C11:F11"/>
    <mergeCell ref="C7:D7"/>
    <mergeCell ref="B8:B9"/>
    <mergeCell ref="C8:C9"/>
    <mergeCell ref="D8:D9"/>
  </mergeCells>
  <pageMargins left="0.33" right="0.23622047244094491" top="0.35433070866141736" bottom="0.35433070866141736" header="0.19685039370078741" footer="0.19685039370078741"/>
  <pageSetup paperSize="9" scale="70" fitToHeight="0" orientation="portrait" r:id="rId1"/>
  <headerFooter alignWithMargins="0">
    <oddHeader>&amp;LГРАНД-Смета, версия 2021.2</oddHeader>
    <oddFooter>&amp;RСтраница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36"/>
  <sheetViews>
    <sheetView view="pageBreakPreview" topLeftCell="A10" zoomScale="118" zoomScaleNormal="100" zoomScaleSheetLayoutView="118" workbookViewId="0">
      <selection activeCell="G26" sqref="G26"/>
    </sheetView>
  </sheetViews>
  <sheetFormatPr defaultRowHeight="15" x14ac:dyDescent="0.25"/>
  <cols>
    <col min="1" max="3" width="9.140625" style="212"/>
    <col min="4" max="4" width="12.42578125" style="212" customWidth="1"/>
    <col min="5" max="6" width="9.140625" style="212"/>
    <col min="7" max="7" width="19" style="212" customWidth="1"/>
    <col min="8" max="8" width="9.85546875" style="212" customWidth="1"/>
    <col min="9" max="9" width="10.42578125" style="212" customWidth="1"/>
    <col min="10" max="10" width="16.7109375" style="212" customWidth="1"/>
    <col min="11" max="11" width="11.28515625" style="212" customWidth="1"/>
    <col min="12" max="16384" width="9.140625" style="212"/>
  </cols>
  <sheetData>
    <row r="1" spans="1:16" ht="15.75" x14ac:dyDescent="0.25">
      <c r="A1" s="330" t="s">
        <v>269</v>
      </c>
      <c r="B1" s="330"/>
      <c r="C1" s="330"/>
      <c r="D1" s="330"/>
      <c r="E1" s="330"/>
      <c r="F1" s="330"/>
      <c r="G1" s="330"/>
      <c r="H1" s="330"/>
      <c r="I1" s="330"/>
      <c r="J1" s="330"/>
      <c r="K1" s="210"/>
      <c r="L1" s="210"/>
      <c r="M1" s="210"/>
      <c r="N1" s="210"/>
      <c r="O1" s="210"/>
      <c r="P1" s="211"/>
    </row>
    <row r="2" spans="1:16" ht="15.75" x14ac:dyDescent="0.25">
      <c r="A2" s="330" t="s">
        <v>270</v>
      </c>
      <c r="B2" s="330"/>
      <c r="C2" s="330"/>
      <c r="D2" s="330"/>
      <c r="E2" s="330"/>
      <c r="F2" s="330"/>
      <c r="G2" s="330"/>
      <c r="H2" s="330"/>
      <c r="I2" s="330"/>
      <c r="J2" s="330"/>
      <c r="K2" s="210"/>
      <c r="L2" s="210"/>
      <c r="M2" s="210"/>
      <c r="N2" s="210"/>
      <c r="O2" s="210"/>
      <c r="P2" s="211"/>
    </row>
    <row r="3" spans="1:16" ht="15.75" x14ac:dyDescent="0.25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1"/>
    </row>
    <row r="4" spans="1:16" ht="52.5" customHeight="1" x14ac:dyDescent="0.25">
      <c r="A4" s="214" t="s">
        <v>271</v>
      </c>
      <c r="B4" s="213"/>
      <c r="C4" s="331" t="s">
        <v>340</v>
      </c>
      <c r="D4" s="331"/>
      <c r="E4" s="331"/>
      <c r="F4" s="331"/>
      <c r="G4" s="331"/>
      <c r="H4" s="331"/>
      <c r="I4" s="331"/>
      <c r="J4" s="331"/>
      <c r="K4" s="331"/>
      <c r="L4" s="213"/>
      <c r="M4" s="213"/>
      <c r="N4" s="213"/>
      <c r="O4" s="213"/>
      <c r="P4" s="211"/>
    </row>
    <row r="5" spans="1:16" ht="15.75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1"/>
    </row>
    <row r="6" spans="1:16" ht="27.75" customHeight="1" x14ac:dyDescent="0.25">
      <c r="A6" s="332" t="s">
        <v>272</v>
      </c>
      <c r="B6" s="332"/>
      <c r="C6" s="332"/>
      <c r="D6" s="332"/>
      <c r="E6" s="332"/>
      <c r="F6" s="332"/>
      <c r="G6" s="270">
        <f>НМЦ!F11</f>
        <v>254380747.50999999</v>
      </c>
      <c r="H6" s="271"/>
      <c r="I6" s="271"/>
      <c r="J6" s="271"/>
      <c r="K6" s="271"/>
      <c r="L6" s="215"/>
      <c r="M6" s="215"/>
      <c r="N6" s="215"/>
      <c r="O6" s="215"/>
      <c r="P6" s="211"/>
    </row>
    <row r="7" spans="1:16" ht="15.75" x14ac:dyDescent="0.25">
      <c r="A7" s="333" t="s">
        <v>338</v>
      </c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216"/>
      <c r="M7" s="216"/>
      <c r="N7" s="216"/>
      <c r="O7" s="216"/>
      <c r="P7" s="211"/>
    </row>
    <row r="8" spans="1:16" ht="15.75" x14ac:dyDescent="0.25">
      <c r="A8" s="247" t="s">
        <v>273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13"/>
      <c r="M8" s="213"/>
      <c r="N8" s="213"/>
      <c r="O8" s="213"/>
      <c r="P8" s="211"/>
    </row>
    <row r="9" spans="1:16" ht="15.75" x14ac:dyDescent="0.25">
      <c r="A9" s="248" t="s">
        <v>274</v>
      </c>
      <c r="B9" s="248"/>
      <c r="C9" s="248"/>
      <c r="D9" s="248"/>
      <c r="E9" s="248"/>
      <c r="F9" s="248"/>
      <c r="G9" s="248"/>
      <c r="H9" s="247"/>
      <c r="I9" s="247"/>
      <c r="J9" s="247"/>
      <c r="K9" s="247"/>
      <c r="L9" s="213"/>
      <c r="M9" s="213"/>
      <c r="N9" s="213"/>
      <c r="O9" s="213"/>
      <c r="P9" s="211"/>
    </row>
    <row r="10" spans="1:16" ht="15.75" x14ac:dyDescent="0.25">
      <c r="A10" s="249" t="s">
        <v>275</v>
      </c>
      <c r="C10" s="248"/>
      <c r="D10" s="248"/>
      <c r="E10" s="248"/>
      <c r="F10" s="247"/>
      <c r="G10" s="247"/>
      <c r="H10" s="247"/>
      <c r="I10" s="247"/>
      <c r="J10" s="247"/>
      <c r="K10" s="247"/>
      <c r="L10" s="213"/>
      <c r="M10" s="213"/>
      <c r="N10" s="213"/>
      <c r="O10" s="213"/>
      <c r="P10" s="211"/>
    </row>
    <row r="11" spans="1:16" s="219" customFormat="1" ht="15.75" x14ac:dyDescent="0.25">
      <c r="A11" s="218" t="s">
        <v>276</v>
      </c>
      <c r="B11" s="218"/>
      <c r="C11" s="218"/>
      <c r="D11" s="218"/>
      <c r="E11" s="218"/>
      <c r="F11" s="218"/>
      <c r="G11" s="218"/>
      <c r="H11" s="218"/>
      <c r="I11" s="218"/>
      <c r="J11" s="220"/>
      <c r="K11" s="220"/>
    </row>
    <row r="12" spans="1:16" s="219" customFormat="1" ht="15.75" x14ac:dyDescent="0.25">
      <c r="A12" s="218" t="s">
        <v>277</v>
      </c>
      <c r="B12" s="218"/>
      <c r="C12" s="218"/>
      <c r="D12" s="218"/>
      <c r="E12" s="218"/>
      <c r="F12" s="218"/>
      <c r="G12" s="218"/>
      <c r="H12" s="218"/>
      <c r="I12" s="218"/>
      <c r="J12" s="220"/>
      <c r="K12" s="220"/>
    </row>
    <row r="13" spans="1:16" s="219" customFormat="1" ht="15.75" x14ac:dyDescent="0.25">
      <c r="A13" s="218" t="s">
        <v>278</v>
      </c>
      <c r="B13" s="218"/>
      <c r="C13" s="218"/>
      <c r="D13" s="218"/>
      <c r="E13" s="218"/>
      <c r="F13" s="218"/>
      <c r="G13" s="218"/>
      <c r="H13" s="218"/>
      <c r="I13" s="218"/>
      <c r="J13" s="220"/>
      <c r="K13" s="220"/>
    </row>
    <row r="14" spans="1:16" s="219" customFormat="1" ht="15.75" x14ac:dyDescent="0.25">
      <c r="A14" s="218" t="s">
        <v>279</v>
      </c>
      <c r="B14" s="218"/>
      <c r="C14" s="218"/>
      <c r="D14" s="218"/>
      <c r="E14" s="218"/>
      <c r="F14" s="218"/>
      <c r="G14" s="218"/>
      <c r="H14" s="218"/>
      <c r="I14" s="218"/>
      <c r="J14" s="220"/>
      <c r="K14" s="220"/>
    </row>
    <row r="15" spans="1:16" s="219" customFormat="1" ht="15.75" x14ac:dyDescent="0.25">
      <c r="A15" s="218" t="s">
        <v>280</v>
      </c>
      <c r="B15" s="218"/>
      <c r="C15" s="218"/>
      <c r="D15" s="218"/>
      <c r="E15" s="218"/>
      <c r="F15" s="218"/>
      <c r="G15" s="218"/>
      <c r="H15" s="218"/>
      <c r="I15" s="218"/>
      <c r="J15" s="220"/>
      <c r="K15" s="220"/>
    </row>
    <row r="16" spans="1:16" s="219" customFormat="1" ht="15.75" x14ac:dyDescent="0.25">
      <c r="A16" s="218" t="s">
        <v>281</v>
      </c>
      <c r="B16" s="218"/>
      <c r="C16" s="218"/>
      <c r="D16" s="218"/>
      <c r="E16" s="218"/>
      <c r="F16" s="218"/>
      <c r="G16" s="218"/>
      <c r="H16" s="218"/>
      <c r="I16" s="218"/>
      <c r="J16" s="220"/>
      <c r="K16" s="220"/>
    </row>
    <row r="17" spans="1:16" s="220" customFormat="1" x14ac:dyDescent="0.25">
      <c r="A17" s="218" t="s">
        <v>282</v>
      </c>
      <c r="B17" s="218"/>
      <c r="C17" s="218"/>
      <c r="D17" s="218"/>
      <c r="E17" s="218"/>
      <c r="F17" s="218"/>
      <c r="G17" s="218"/>
      <c r="H17" s="218"/>
      <c r="I17" s="218"/>
    </row>
    <row r="18" spans="1:16" s="220" customFormat="1" x14ac:dyDescent="0.25">
      <c r="A18" s="218" t="s">
        <v>283</v>
      </c>
      <c r="B18" s="218"/>
      <c r="C18" s="218"/>
      <c r="D18" s="218"/>
      <c r="E18" s="218"/>
      <c r="F18" s="218"/>
      <c r="G18" s="218"/>
      <c r="H18" s="218"/>
      <c r="I18" s="218"/>
    </row>
    <row r="19" spans="1:16" s="220" customFormat="1" x14ac:dyDescent="0.25">
      <c r="A19" s="218" t="s">
        <v>284</v>
      </c>
      <c r="B19" s="218"/>
      <c r="C19" s="218"/>
      <c r="D19" s="218"/>
      <c r="E19" s="218"/>
      <c r="F19" s="218"/>
      <c r="G19" s="218"/>
      <c r="H19" s="218"/>
      <c r="I19" s="218"/>
    </row>
    <row r="20" spans="1:16" s="220" customFormat="1" x14ac:dyDescent="0.25">
      <c r="A20" s="218" t="s">
        <v>285</v>
      </c>
      <c r="B20" s="218"/>
      <c r="C20" s="218"/>
      <c r="D20" s="218"/>
      <c r="E20" s="218"/>
      <c r="F20" s="218"/>
      <c r="G20" s="218"/>
      <c r="H20" s="218"/>
      <c r="I20" s="218"/>
    </row>
    <row r="21" spans="1:16" s="220" customFormat="1" x14ac:dyDescent="0.25">
      <c r="A21" s="221" t="s">
        <v>286</v>
      </c>
      <c r="B21" s="218"/>
      <c r="C21" s="218"/>
      <c r="D21" s="218"/>
      <c r="E21" s="218"/>
      <c r="F21" s="218"/>
      <c r="G21" s="218"/>
      <c r="H21" s="218"/>
      <c r="I21" s="218"/>
    </row>
    <row r="22" spans="1:16" s="220" customFormat="1" x14ac:dyDescent="0.25">
      <c r="A22" s="218" t="s">
        <v>287</v>
      </c>
      <c r="B22" s="218"/>
      <c r="C22" s="218"/>
      <c r="D22" s="218"/>
      <c r="E22" s="218"/>
      <c r="F22" s="218"/>
      <c r="G22" s="218"/>
      <c r="H22" s="218"/>
      <c r="I22" s="218"/>
    </row>
    <row r="23" spans="1:16" s="223" customFormat="1" x14ac:dyDescent="0.25">
      <c r="A23" s="218" t="s">
        <v>288</v>
      </c>
      <c r="B23" s="222"/>
      <c r="C23" s="222"/>
      <c r="D23" s="222"/>
      <c r="E23" s="222"/>
      <c r="F23" s="222"/>
      <c r="G23" s="222"/>
      <c r="H23" s="222"/>
      <c r="I23" s="222"/>
      <c r="J23" s="222"/>
      <c r="K23" s="222"/>
    </row>
    <row r="24" spans="1:16" s="220" customFormat="1" x14ac:dyDescent="0.25">
      <c r="A24" s="218" t="s">
        <v>289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</row>
    <row r="25" spans="1:16" s="223" customFormat="1" x14ac:dyDescent="0.25">
      <c r="A25" s="224" t="s">
        <v>290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</row>
    <row r="26" spans="1:16" s="220" customFormat="1" x14ac:dyDescent="0.25">
      <c r="A26" s="218" t="s">
        <v>291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</row>
    <row r="27" spans="1:16" s="223" customFormat="1" x14ac:dyDescent="0.25">
      <c r="A27" s="328" t="s">
        <v>292</v>
      </c>
      <c r="B27" s="328"/>
      <c r="C27" s="328"/>
      <c r="D27" s="328"/>
      <c r="E27" s="328"/>
      <c r="F27" s="328"/>
      <c r="G27" s="328"/>
      <c r="H27" s="328"/>
      <c r="I27" s="328"/>
      <c r="J27" s="328"/>
      <c r="K27" s="328"/>
      <c r="L27" s="225"/>
      <c r="M27" s="225"/>
      <c r="N27" s="225"/>
      <c r="O27" s="225"/>
    </row>
    <row r="28" spans="1:16" s="223" customFormat="1" x14ac:dyDescent="0.25">
      <c r="A28" s="328" t="s">
        <v>293</v>
      </c>
      <c r="B28" s="328"/>
      <c r="C28" s="328"/>
      <c r="D28" s="328"/>
      <c r="E28" s="328"/>
      <c r="F28" s="328"/>
      <c r="G28" s="328"/>
      <c r="H28" s="328"/>
      <c r="I28" s="328"/>
      <c r="J28" s="328"/>
      <c r="K28" s="328"/>
    </row>
    <row r="29" spans="1:16" s="223" customFormat="1" x14ac:dyDescent="0.25">
      <c r="A29" s="218" t="s">
        <v>294</v>
      </c>
      <c r="B29" s="222"/>
      <c r="C29" s="222"/>
      <c r="D29" s="222"/>
      <c r="E29" s="222"/>
      <c r="F29" s="222"/>
      <c r="G29" s="222"/>
      <c r="H29" s="222"/>
      <c r="I29" s="222"/>
      <c r="J29" s="222"/>
      <c r="K29" s="222"/>
    </row>
    <row r="30" spans="1:16" ht="15.75" x14ac:dyDescent="0.25">
      <c r="A30" s="226"/>
      <c r="B30" s="227"/>
      <c r="C30" s="217"/>
      <c r="D30" s="217"/>
      <c r="E30" s="217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1"/>
    </row>
    <row r="31" spans="1:16" ht="15.75" x14ac:dyDescent="0.25">
      <c r="A31" s="217" t="s">
        <v>295</v>
      </c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3"/>
      <c r="M31" s="213"/>
      <c r="N31" s="213"/>
      <c r="O31" s="213"/>
      <c r="P31" s="211"/>
    </row>
    <row r="32" spans="1:16" ht="15.75" x14ac:dyDescent="0.25">
      <c r="A32" s="217" t="s">
        <v>296</v>
      </c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3"/>
      <c r="M32" s="213"/>
      <c r="N32" s="213"/>
      <c r="O32" s="213"/>
      <c r="P32" s="211"/>
    </row>
    <row r="33" spans="1:16" ht="15.75" x14ac:dyDescent="0.2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3"/>
      <c r="M33" s="213"/>
      <c r="N33" s="213"/>
      <c r="O33" s="213"/>
      <c r="P33" s="211"/>
    </row>
    <row r="34" spans="1:16" ht="15.75" x14ac:dyDescent="0.25">
      <c r="A34" s="213" t="s">
        <v>297</v>
      </c>
      <c r="B34" s="213"/>
      <c r="C34" s="213"/>
      <c r="D34" s="213"/>
      <c r="E34" s="213"/>
      <c r="G34" s="228"/>
      <c r="H34" s="229"/>
      <c r="I34" s="228"/>
      <c r="J34" s="230"/>
      <c r="K34" s="231"/>
      <c r="L34" s="231"/>
      <c r="M34" s="87"/>
      <c r="N34" s="87"/>
      <c r="O34" s="87"/>
      <c r="P34" s="211"/>
    </row>
    <row r="35" spans="1:16" ht="15.75" x14ac:dyDescent="0.25">
      <c r="A35" s="213"/>
      <c r="B35" s="213"/>
      <c r="C35" s="213"/>
      <c r="D35" s="213"/>
      <c r="E35" s="213"/>
      <c r="G35" s="329" t="s">
        <v>298</v>
      </c>
      <c r="H35" s="329"/>
      <c r="I35" s="329"/>
      <c r="J35" s="329"/>
      <c r="K35" s="232"/>
      <c r="L35" s="213"/>
      <c r="M35" s="87"/>
      <c r="N35" s="87"/>
      <c r="O35" s="87"/>
      <c r="P35" s="211"/>
    </row>
    <row r="36" spans="1:16" ht="15.75" x14ac:dyDescent="0.2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</row>
  </sheetData>
  <mergeCells count="8">
    <mergeCell ref="A28:K28"/>
    <mergeCell ref="G35:J35"/>
    <mergeCell ref="A1:J1"/>
    <mergeCell ref="A2:J2"/>
    <mergeCell ref="C4:K4"/>
    <mergeCell ref="A6:F6"/>
    <mergeCell ref="A7:K7"/>
    <mergeCell ref="A27:K27"/>
  </mergeCells>
  <pageMargins left="0.7" right="0.7" top="0.75" bottom="0.75" header="0.3" footer="0.3"/>
  <pageSetup paperSize="9" scale="7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40"/>
  <sheetViews>
    <sheetView showGridLines="0" view="pageBreakPreview" topLeftCell="B1" zoomScale="80" zoomScaleNormal="80" zoomScaleSheetLayoutView="80" workbookViewId="0">
      <selection activeCell="C21" sqref="C21"/>
    </sheetView>
  </sheetViews>
  <sheetFormatPr defaultColWidth="8.85546875" defaultRowHeight="15.75" x14ac:dyDescent="0.25"/>
  <cols>
    <col min="1" max="1" width="4.5703125" style="91" hidden="1" customWidth="1"/>
    <col min="2" max="2" width="9.85546875" style="91" customWidth="1"/>
    <col min="3" max="3" width="69.85546875" style="91" customWidth="1"/>
    <col min="4" max="4" width="21" style="91" customWidth="1"/>
    <col min="5" max="5" width="21.85546875" style="91" customWidth="1"/>
    <col min="6" max="6" width="16.85546875" style="234" customWidth="1"/>
    <col min="7" max="8" width="18.140625" style="234" customWidth="1"/>
    <col min="9" max="9" width="19.85546875" style="234" customWidth="1"/>
    <col min="10" max="10" width="22.28515625" style="91" customWidth="1"/>
    <col min="11" max="16384" width="8.85546875" style="91"/>
  </cols>
  <sheetData>
    <row r="1" spans="1:9" x14ac:dyDescent="0.25">
      <c r="F1" s="91"/>
      <c r="G1" s="91"/>
      <c r="H1" s="91"/>
      <c r="I1" s="91"/>
    </row>
    <row r="2" spans="1:9" s="161" customFormat="1" x14ac:dyDescent="0.25">
      <c r="A2" s="193"/>
      <c r="C2" s="194"/>
      <c r="D2" s="194"/>
      <c r="F2" s="91"/>
      <c r="G2" s="91"/>
      <c r="H2" s="91"/>
      <c r="I2" s="91"/>
    </row>
    <row r="3" spans="1:9" s="161" customFormat="1" x14ac:dyDescent="0.25">
      <c r="A3" s="323" t="s">
        <v>299</v>
      </c>
      <c r="B3" s="323"/>
      <c r="C3" s="323"/>
      <c r="D3" s="323"/>
      <c r="E3" s="323"/>
      <c r="F3" s="91"/>
      <c r="G3" s="91"/>
      <c r="H3" s="91"/>
      <c r="I3" s="91"/>
    </row>
    <row r="4" spans="1:9" s="195" customFormat="1" ht="25.5" customHeight="1" x14ac:dyDescent="0.25">
      <c r="A4" s="323"/>
      <c r="B4" s="323"/>
      <c r="C4" s="323"/>
      <c r="D4" s="323"/>
      <c r="E4" s="323"/>
      <c r="F4" s="91"/>
      <c r="G4" s="91"/>
      <c r="H4" s="91"/>
      <c r="I4" s="91"/>
    </row>
    <row r="5" spans="1:9" s="195" customFormat="1" x14ac:dyDescent="0.25">
      <c r="A5" s="85"/>
      <c r="B5" s="85"/>
      <c r="C5" s="196"/>
      <c r="D5" s="196"/>
      <c r="F5" s="91"/>
      <c r="G5" s="91"/>
      <c r="H5" s="91"/>
      <c r="I5" s="91"/>
    </row>
    <row r="6" spans="1:9" s="195" customFormat="1" ht="44.25" customHeight="1" x14ac:dyDescent="0.25">
      <c r="A6" s="100" t="s">
        <v>187</v>
      </c>
      <c r="B6" s="100" t="s">
        <v>187</v>
      </c>
      <c r="C6" s="335" t="s">
        <v>340</v>
      </c>
      <c r="D6" s="335"/>
      <c r="E6" s="335"/>
      <c r="F6" s="335"/>
      <c r="G6" s="335"/>
      <c r="H6" s="335"/>
      <c r="I6" s="335"/>
    </row>
    <row r="7" spans="1:9" x14ac:dyDescent="0.25">
      <c r="B7" s="107"/>
      <c r="C7" s="109"/>
      <c r="F7" s="161"/>
      <c r="G7" s="161"/>
      <c r="H7" s="161"/>
      <c r="I7" s="161"/>
    </row>
    <row r="8" spans="1:9" x14ac:dyDescent="0.25">
      <c r="B8" s="107"/>
      <c r="C8" s="239"/>
    </row>
    <row r="9" spans="1:9" ht="26.25" customHeight="1" x14ac:dyDescent="0.25">
      <c r="B9" s="324" t="s">
        <v>4</v>
      </c>
      <c r="C9" s="324" t="s">
        <v>12</v>
      </c>
      <c r="D9" s="324" t="s">
        <v>265</v>
      </c>
      <c r="E9" s="324" t="s">
        <v>266</v>
      </c>
      <c r="F9" s="334" t="s">
        <v>322</v>
      </c>
      <c r="G9" s="334"/>
      <c r="H9" s="334" t="s">
        <v>185</v>
      </c>
      <c r="I9" s="334"/>
    </row>
    <row r="10" spans="1:9" ht="69" customHeight="1" x14ac:dyDescent="0.25">
      <c r="B10" s="324"/>
      <c r="C10" s="324"/>
      <c r="D10" s="324"/>
      <c r="E10" s="324"/>
      <c r="F10" s="235" t="s">
        <v>323</v>
      </c>
      <c r="G10" s="236" t="s">
        <v>324</v>
      </c>
      <c r="H10" s="235" t="s">
        <v>323</v>
      </c>
      <c r="I10" s="236" t="s">
        <v>324</v>
      </c>
    </row>
    <row r="11" spans="1:9" ht="17.25" customHeight="1" x14ac:dyDescent="0.25">
      <c r="B11" s="197">
        <v>1</v>
      </c>
      <c r="C11" s="198">
        <v>2</v>
      </c>
      <c r="D11" s="198">
        <v>3</v>
      </c>
      <c r="E11" s="198">
        <v>4</v>
      </c>
      <c r="F11" s="198">
        <v>5</v>
      </c>
      <c r="G11" s="198">
        <v>6</v>
      </c>
      <c r="H11" s="198">
        <v>7</v>
      </c>
      <c r="I11" s="237">
        <v>8</v>
      </c>
    </row>
    <row r="12" spans="1:9" s="138" customFormat="1" ht="29.25" customHeight="1" x14ac:dyDescent="0.2">
      <c r="B12" s="199" t="s">
        <v>230</v>
      </c>
      <c r="C12" s="206" t="s">
        <v>194</v>
      </c>
      <c r="D12" s="205"/>
      <c r="E12" s="205"/>
      <c r="F12" s="238">
        <f>SUM(F13:F14)</f>
        <v>4399656.95</v>
      </c>
      <c r="G12" s="238">
        <f>SUM(G13:G14)</f>
        <v>4399656.95</v>
      </c>
      <c r="H12" s="238">
        <f t="shared" ref="H12:I12" si="0">SUM(H13:H14)</f>
        <v>0</v>
      </c>
      <c r="I12" s="238">
        <f t="shared" si="0"/>
        <v>0</v>
      </c>
    </row>
    <row r="13" spans="1:9" s="103" customFormat="1" ht="27.75" customHeight="1" x14ac:dyDescent="0.2">
      <c r="B13" s="201" t="s">
        <v>193</v>
      </c>
      <c r="C13" s="105" t="s">
        <v>196</v>
      </c>
      <c r="D13" s="208" t="s">
        <v>268</v>
      </c>
      <c r="E13" s="208">
        <v>1</v>
      </c>
      <c r="F13" s="241">
        <f>НМЦК!S15</f>
        <v>4313389.16</v>
      </c>
      <c r="G13" s="241">
        <f>E13*F13</f>
        <v>4313389.16</v>
      </c>
      <c r="H13" s="242"/>
      <c r="I13" s="242"/>
    </row>
    <row r="14" spans="1:9" s="103" customFormat="1" ht="27" customHeight="1" x14ac:dyDescent="0.2">
      <c r="B14" s="201" t="s">
        <v>200</v>
      </c>
      <c r="C14" s="106" t="s">
        <v>197</v>
      </c>
      <c r="D14" s="208" t="s">
        <v>268</v>
      </c>
      <c r="E14" s="208">
        <v>1</v>
      </c>
      <c r="F14" s="241">
        <f>НМЦК!S16</f>
        <v>86267.79</v>
      </c>
      <c r="G14" s="241">
        <f>E14*F14</f>
        <v>86267.79</v>
      </c>
      <c r="H14" s="242"/>
      <c r="I14" s="242"/>
    </row>
    <row r="15" spans="1:9" s="142" customFormat="1" ht="48" customHeight="1" x14ac:dyDescent="0.25">
      <c r="B15" s="199" t="s">
        <v>119</v>
      </c>
      <c r="C15" s="206" t="s">
        <v>199</v>
      </c>
      <c r="D15" s="209"/>
      <c r="E15" s="209"/>
      <c r="F15" s="238">
        <f>SUM(F16:F37)</f>
        <v>207584299.31</v>
      </c>
      <c r="G15" s="238">
        <f>SUM(G16:G37)</f>
        <v>207584299.31</v>
      </c>
      <c r="H15" s="238">
        <f>SUM(H16:H37)</f>
        <v>160669408.06</v>
      </c>
      <c r="I15" s="238">
        <f>SUM(I16:I37)</f>
        <v>160669408.06</v>
      </c>
    </row>
    <row r="16" spans="1:9" ht="23.25" customHeight="1" x14ac:dyDescent="0.25">
      <c r="B16" s="201" t="s">
        <v>300</v>
      </c>
      <c r="C16" s="115" t="s">
        <v>88</v>
      </c>
      <c r="D16" s="233" t="s">
        <v>268</v>
      </c>
      <c r="E16" s="233">
        <v>1</v>
      </c>
      <c r="F16" s="240">
        <f>НМЦК!S18</f>
        <v>538585.25</v>
      </c>
      <c r="G16" s="241">
        <f>E16*F16</f>
        <v>538585.25</v>
      </c>
      <c r="H16" s="240">
        <f>НМЦК!T18</f>
        <v>0</v>
      </c>
      <c r="I16" s="240">
        <f>E16*H16</f>
        <v>0</v>
      </c>
    </row>
    <row r="17" spans="2:9" ht="35.25" customHeight="1" x14ac:dyDescent="0.25">
      <c r="B17" s="201" t="s">
        <v>301</v>
      </c>
      <c r="C17" s="115" t="s">
        <v>54</v>
      </c>
      <c r="D17" s="233" t="s">
        <v>268</v>
      </c>
      <c r="E17" s="233">
        <v>1</v>
      </c>
      <c r="F17" s="240">
        <f>НМЦК!S19</f>
        <v>74718.81</v>
      </c>
      <c r="G17" s="241">
        <f t="shared" ref="G17:G37" si="1">E17*F17</f>
        <v>74718.81</v>
      </c>
      <c r="H17" s="240">
        <f>НМЦК!T19</f>
        <v>0</v>
      </c>
      <c r="I17" s="240">
        <f t="shared" ref="I17:I36" si="2">E17*H17</f>
        <v>0</v>
      </c>
    </row>
    <row r="18" spans="2:9" ht="26.25" customHeight="1" x14ac:dyDescent="0.25">
      <c r="B18" s="201" t="s">
        <v>302</v>
      </c>
      <c r="C18" s="114" t="s">
        <v>89</v>
      </c>
      <c r="D18" s="233" t="s">
        <v>268</v>
      </c>
      <c r="E18" s="233">
        <v>1</v>
      </c>
      <c r="F18" s="240">
        <f>НМЦК!S20</f>
        <v>8068778.8700000001</v>
      </c>
      <c r="G18" s="241">
        <f t="shared" si="1"/>
        <v>8068778.8700000001</v>
      </c>
      <c r="H18" s="240">
        <f>НМЦК!T20</f>
        <v>0</v>
      </c>
      <c r="I18" s="240">
        <f t="shared" si="2"/>
        <v>0</v>
      </c>
    </row>
    <row r="19" spans="2:9" ht="26.25" customHeight="1" x14ac:dyDescent="0.25">
      <c r="B19" s="201" t="s">
        <v>303</v>
      </c>
      <c r="C19" s="114" t="s">
        <v>106</v>
      </c>
      <c r="D19" s="233" t="s">
        <v>268</v>
      </c>
      <c r="E19" s="233">
        <v>1</v>
      </c>
      <c r="F19" s="240">
        <f>НМЦК!S21</f>
        <v>1686709.35</v>
      </c>
      <c r="G19" s="241">
        <f t="shared" si="1"/>
        <v>1686709.35</v>
      </c>
      <c r="H19" s="240">
        <f>НМЦК!T21</f>
        <v>1275995.54</v>
      </c>
      <c r="I19" s="240">
        <f t="shared" si="2"/>
        <v>1275995.54</v>
      </c>
    </row>
    <row r="20" spans="2:9" ht="26.25" customHeight="1" x14ac:dyDescent="0.25">
      <c r="B20" s="201" t="s">
        <v>304</v>
      </c>
      <c r="C20" s="202" t="s">
        <v>91</v>
      </c>
      <c r="D20" s="233" t="s">
        <v>268</v>
      </c>
      <c r="E20" s="233">
        <v>1</v>
      </c>
      <c r="F20" s="240">
        <f>НМЦК!S22</f>
        <v>4017502.61</v>
      </c>
      <c r="G20" s="241">
        <f t="shared" si="1"/>
        <v>4017502.61</v>
      </c>
      <c r="H20" s="240">
        <f>НМЦК!T22</f>
        <v>274430.19</v>
      </c>
      <c r="I20" s="240">
        <f t="shared" si="2"/>
        <v>274430.19</v>
      </c>
    </row>
    <row r="21" spans="2:9" ht="26.25" customHeight="1" x14ac:dyDescent="0.25">
      <c r="B21" s="201" t="s">
        <v>305</v>
      </c>
      <c r="C21" s="202" t="s">
        <v>26</v>
      </c>
      <c r="D21" s="233" t="s">
        <v>268</v>
      </c>
      <c r="E21" s="233">
        <v>1</v>
      </c>
      <c r="F21" s="240">
        <f>НМЦК!S23</f>
        <v>1297747.3799999999</v>
      </c>
      <c r="G21" s="241">
        <f t="shared" si="1"/>
        <v>1297747.3799999999</v>
      </c>
      <c r="H21" s="240">
        <f>НМЦК!T23</f>
        <v>0</v>
      </c>
      <c r="I21" s="240">
        <f t="shared" si="2"/>
        <v>0</v>
      </c>
    </row>
    <row r="22" spans="2:9" ht="26.25" customHeight="1" x14ac:dyDescent="0.25">
      <c r="B22" s="201" t="s">
        <v>306</v>
      </c>
      <c r="C22" s="202" t="s">
        <v>92</v>
      </c>
      <c r="D22" s="233" t="s">
        <v>268</v>
      </c>
      <c r="E22" s="233">
        <v>1</v>
      </c>
      <c r="F22" s="240">
        <f>НМЦК!S24</f>
        <v>738260.17</v>
      </c>
      <c r="G22" s="241">
        <f t="shared" si="1"/>
        <v>738260.17</v>
      </c>
      <c r="H22" s="240">
        <f>НМЦК!T24</f>
        <v>0</v>
      </c>
      <c r="I22" s="240">
        <f t="shared" si="2"/>
        <v>0</v>
      </c>
    </row>
    <row r="23" spans="2:9" ht="26.25" customHeight="1" x14ac:dyDescent="0.25">
      <c r="B23" s="201" t="s">
        <v>307</v>
      </c>
      <c r="C23" s="202" t="s">
        <v>30</v>
      </c>
      <c r="D23" s="233" t="s">
        <v>268</v>
      </c>
      <c r="E23" s="233">
        <v>1</v>
      </c>
      <c r="F23" s="240">
        <f>НМЦК!S25</f>
        <v>68892.69</v>
      </c>
      <c r="G23" s="241">
        <f t="shared" si="1"/>
        <v>68892.69</v>
      </c>
      <c r="H23" s="240">
        <f>НМЦК!T25</f>
        <v>0</v>
      </c>
      <c r="I23" s="240">
        <f t="shared" si="2"/>
        <v>0</v>
      </c>
    </row>
    <row r="24" spans="2:9" ht="26.25" customHeight="1" x14ac:dyDescent="0.25">
      <c r="B24" s="201" t="s">
        <v>308</v>
      </c>
      <c r="C24" s="202" t="s">
        <v>37</v>
      </c>
      <c r="D24" s="233" t="s">
        <v>268</v>
      </c>
      <c r="E24" s="233">
        <v>1</v>
      </c>
      <c r="F24" s="240">
        <f>НМЦК!S26</f>
        <v>14832334.630000001</v>
      </c>
      <c r="G24" s="241">
        <f t="shared" si="1"/>
        <v>14832334.630000001</v>
      </c>
      <c r="H24" s="240">
        <f>НМЦК!T26</f>
        <v>0</v>
      </c>
      <c r="I24" s="240">
        <f t="shared" si="2"/>
        <v>0</v>
      </c>
    </row>
    <row r="25" spans="2:9" ht="26.25" customHeight="1" x14ac:dyDescent="0.25">
      <c r="B25" s="201" t="s">
        <v>309</v>
      </c>
      <c r="C25" s="202" t="s">
        <v>93</v>
      </c>
      <c r="D25" s="233" t="s">
        <v>268</v>
      </c>
      <c r="E25" s="233">
        <v>1</v>
      </c>
      <c r="F25" s="240">
        <f>НМЦК!S27</f>
        <v>50192.63</v>
      </c>
      <c r="G25" s="241">
        <f t="shared" si="1"/>
        <v>50192.63</v>
      </c>
      <c r="H25" s="240">
        <f>НМЦК!T27</f>
        <v>0</v>
      </c>
      <c r="I25" s="240">
        <f t="shared" si="2"/>
        <v>0</v>
      </c>
    </row>
    <row r="26" spans="2:9" ht="26.25" customHeight="1" x14ac:dyDescent="0.25">
      <c r="B26" s="201" t="s">
        <v>310</v>
      </c>
      <c r="C26" s="202" t="s">
        <v>95</v>
      </c>
      <c r="D26" s="233" t="s">
        <v>268</v>
      </c>
      <c r="E26" s="233">
        <v>1</v>
      </c>
      <c r="F26" s="240">
        <f>НМЦК!S28</f>
        <v>8757609.0299999993</v>
      </c>
      <c r="G26" s="241">
        <f t="shared" si="1"/>
        <v>8757609.0299999993</v>
      </c>
      <c r="H26" s="240">
        <f>НМЦК!T28</f>
        <v>0</v>
      </c>
      <c r="I26" s="240">
        <f t="shared" si="2"/>
        <v>0</v>
      </c>
    </row>
    <row r="27" spans="2:9" ht="26.25" customHeight="1" x14ac:dyDescent="0.25">
      <c r="B27" s="201" t="s">
        <v>311</v>
      </c>
      <c r="C27" s="202" t="s">
        <v>97</v>
      </c>
      <c r="D27" s="233" t="s">
        <v>268</v>
      </c>
      <c r="E27" s="233">
        <v>1</v>
      </c>
      <c r="F27" s="240">
        <f>НМЦК!S29</f>
        <v>471797.8</v>
      </c>
      <c r="G27" s="241">
        <f t="shared" si="1"/>
        <v>471797.8</v>
      </c>
      <c r="H27" s="240">
        <f>НМЦК!T29</f>
        <v>0</v>
      </c>
      <c r="I27" s="240">
        <f t="shared" si="2"/>
        <v>0</v>
      </c>
    </row>
    <row r="28" spans="2:9" ht="26.25" customHeight="1" x14ac:dyDescent="0.25">
      <c r="B28" s="201" t="s">
        <v>312</v>
      </c>
      <c r="C28" s="202" t="s">
        <v>35</v>
      </c>
      <c r="D28" s="233" t="s">
        <v>268</v>
      </c>
      <c r="E28" s="233">
        <v>1</v>
      </c>
      <c r="F28" s="240">
        <f>НМЦК!S30</f>
        <v>3378355.31</v>
      </c>
      <c r="G28" s="241">
        <f t="shared" si="1"/>
        <v>3378355.31</v>
      </c>
      <c r="H28" s="240">
        <f>НМЦК!T30</f>
        <v>22055.05</v>
      </c>
      <c r="I28" s="240">
        <f t="shared" si="2"/>
        <v>22055.05</v>
      </c>
    </row>
    <row r="29" spans="2:9" ht="26.25" customHeight="1" x14ac:dyDescent="0.25">
      <c r="B29" s="201" t="s">
        <v>313</v>
      </c>
      <c r="C29" s="114" t="s">
        <v>118</v>
      </c>
      <c r="D29" s="233" t="s">
        <v>268</v>
      </c>
      <c r="E29" s="233">
        <v>1</v>
      </c>
      <c r="F29" s="240">
        <f>НМЦК!S31</f>
        <v>158154098.56</v>
      </c>
      <c r="G29" s="241">
        <f t="shared" si="1"/>
        <v>158154098.56</v>
      </c>
      <c r="H29" s="240">
        <f>НМЦК!T31</f>
        <v>155946546.72999999</v>
      </c>
      <c r="I29" s="240">
        <f t="shared" si="2"/>
        <v>155946546.72999999</v>
      </c>
    </row>
    <row r="30" spans="2:9" ht="26.25" customHeight="1" x14ac:dyDescent="0.25">
      <c r="B30" s="201" t="s">
        <v>314</v>
      </c>
      <c r="C30" s="114" t="s">
        <v>44</v>
      </c>
      <c r="D30" s="233" t="s">
        <v>268</v>
      </c>
      <c r="E30" s="233">
        <v>1</v>
      </c>
      <c r="F30" s="240">
        <f>НМЦК!S32</f>
        <v>87119.53</v>
      </c>
      <c r="G30" s="241">
        <f t="shared" si="1"/>
        <v>87119.53</v>
      </c>
      <c r="H30" s="240">
        <f>НМЦК!T32</f>
        <v>0</v>
      </c>
      <c r="I30" s="240">
        <f t="shared" si="2"/>
        <v>0</v>
      </c>
    </row>
    <row r="31" spans="2:9" s="132" customFormat="1" ht="28.5" customHeight="1" x14ac:dyDescent="0.25">
      <c r="B31" s="201" t="s">
        <v>315</v>
      </c>
      <c r="C31" s="203" t="s">
        <v>201</v>
      </c>
      <c r="D31" s="134" t="s">
        <v>268</v>
      </c>
      <c r="E31" s="134">
        <v>1</v>
      </c>
      <c r="F31" s="240">
        <f>НМЦК!S33</f>
        <v>20351.34</v>
      </c>
      <c r="G31" s="241">
        <f t="shared" si="1"/>
        <v>20351.34</v>
      </c>
      <c r="H31" s="240">
        <f>НМЦК!T33</f>
        <v>0</v>
      </c>
      <c r="I31" s="240">
        <f t="shared" si="2"/>
        <v>0</v>
      </c>
    </row>
    <row r="32" spans="2:9" s="132" customFormat="1" ht="35.25" customHeight="1" x14ac:dyDescent="0.25">
      <c r="B32" s="201" t="s">
        <v>316</v>
      </c>
      <c r="C32" s="203" t="s">
        <v>202</v>
      </c>
      <c r="D32" s="134" t="s">
        <v>268</v>
      </c>
      <c r="E32" s="134">
        <v>1</v>
      </c>
      <c r="F32" s="240">
        <f>НМЦК!S34</f>
        <v>704327.68000000005</v>
      </c>
      <c r="G32" s="241">
        <f t="shared" si="1"/>
        <v>704327.68000000005</v>
      </c>
      <c r="H32" s="240">
        <f>НМЦК!T34</f>
        <v>0</v>
      </c>
      <c r="I32" s="240">
        <f t="shared" si="2"/>
        <v>0</v>
      </c>
    </row>
    <row r="33" spans="1:9" ht="31.5" x14ac:dyDescent="0.25">
      <c r="B33" s="201" t="s">
        <v>317</v>
      </c>
      <c r="C33" s="204" t="s">
        <v>60</v>
      </c>
      <c r="D33" s="233" t="s">
        <v>268</v>
      </c>
      <c r="E33" s="233">
        <v>1</v>
      </c>
      <c r="F33" s="240">
        <f>НМЦК!S35</f>
        <v>285.12</v>
      </c>
      <c r="G33" s="241">
        <f t="shared" si="1"/>
        <v>285.12</v>
      </c>
      <c r="H33" s="240">
        <f>НМЦК!T35</f>
        <v>0</v>
      </c>
      <c r="I33" s="240">
        <f t="shared" si="2"/>
        <v>0</v>
      </c>
    </row>
    <row r="34" spans="1:9" ht="31.5" x14ac:dyDescent="0.25">
      <c r="B34" s="201" t="s">
        <v>318</v>
      </c>
      <c r="C34" s="204" t="s">
        <v>61</v>
      </c>
      <c r="D34" s="233" t="s">
        <v>268</v>
      </c>
      <c r="E34" s="233">
        <v>1</v>
      </c>
      <c r="F34" s="240">
        <f>НМЦК!S36</f>
        <v>22306.19</v>
      </c>
      <c r="G34" s="241">
        <f t="shared" si="1"/>
        <v>22306.19</v>
      </c>
      <c r="H34" s="240">
        <f>НМЦК!T36</f>
        <v>0</v>
      </c>
      <c r="I34" s="240">
        <f t="shared" si="2"/>
        <v>0</v>
      </c>
    </row>
    <row r="35" spans="1:9" x14ac:dyDescent="0.25">
      <c r="B35" s="201" t="s">
        <v>319</v>
      </c>
      <c r="C35" s="124" t="s">
        <v>68</v>
      </c>
      <c r="D35" s="233" t="s">
        <v>268</v>
      </c>
      <c r="E35" s="233">
        <v>1</v>
      </c>
      <c r="F35" s="240">
        <f>НМЦК!S37</f>
        <v>406718.24</v>
      </c>
      <c r="G35" s="241">
        <f t="shared" si="1"/>
        <v>406718.24</v>
      </c>
      <c r="H35" s="240">
        <f>НМЦК!T37</f>
        <v>0</v>
      </c>
      <c r="I35" s="240">
        <f t="shared" si="2"/>
        <v>0</v>
      </c>
    </row>
    <row r="36" spans="1:9" ht="36" customHeight="1" x14ac:dyDescent="0.25">
      <c r="B36" s="201" t="s">
        <v>320</v>
      </c>
      <c r="C36" s="204" t="s">
        <v>70</v>
      </c>
      <c r="D36" s="233" t="s">
        <v>268</v>
      </c>
      <c r="E36" s="233">
        <v>1</v>
      </c>
      <c r="F36" s="240">
        <f>НМЦК!S38</f>
        <v>137327.74</v>
      </c>
      <c r="G36" s="241">
        <f t="shared" si="1"/>
        <v>137327.74</v>
      </c>
      <c r="H36" s="240">
        <f>НМЦК!T38</f>
        <v>0</v>
      </c>
      <c r="I36" s="240">
        <f t="shared" si="2"/>
        <v>0</v>
      </c>
    </row>
    <row r="37" spans="1:9" ht="46.5" customHeight="1" x14ac:dyDescent="0.25">
      <c r="B37" s="201" t="s">
        <v>321</v>
      </c>
      <c r="C37" s="114" t="s">
        <v>75</v>
      </c>
      <c r="D37" s="233" t="s">
        <v>268</v>
      </c>
      <c r="E37" s="233">
        <v>1</v>
      </c>
      <c r="F37" s="240">
        <f>НМЦК!S39</f>
        <v>4070280.38</v>
      </c>
      <c r="G37" s="241">
        <f t="shared" si="1"/>
        <v>4070280.38</v>
      </c>
      <c r="H37" s="240">
        <f>НМЦК!T39</f>
        <v>3150380.55</v>
      </c>
      <c r="I37" s="240">
        <f>E37*H37</f>
        <v>3150380.55</v>
      </c>
    </row>
    <row r="38" spans="1:9" s="245" customFormat="1" ht="31.5" customHeight="1" x14ac:dyDescent="0.2">
      <c r="A38" s="243"/>
      <c r="B38" s="243"/>
      <c r="C38" s="151" t="s">
        <v>214</v>
      </c>
      <c r="D38" s="243"/>
      <c r="E38" s="243"/>
      <c r="F38" s="244">
        <f>F12+F15</f>
        <v>211983956.25999999</v>
      </c>
      <c r="G38" s="244">
        <f>G12+G15</f>
        <v>211983956.25999999</v>
      </c>
      <c r="H38" s="244">
        <f>H12+H15</f>
        <v>160669408.06</v>
      </c>
      <c r="I38" s="244">
        <f>I12+I15</f>
        <v>160669408.06</v>
      </c>
    </row>
    <row r="39" spans="1:9" s="245" customFormat="1" ht="31.5" customHeight="1" x14ac:dyDescent="0.2">
      <c r="A39" s="243"/>
      <c r="B39" s="243"/>
      <c r="C39" s="152" t="s">
        <v>215</v>
      </c>
      <c r="D39" s="243"/>
      <c r="E39" s="243"/>
      <c r="F39" s="246">
        <f>F38*20%</f>
        <v>42396791.25</v>
      </c>
      <c r="G39" s="246">
        <f t="shared" ref="G39:I39" si="3">G38*20%</f>
        <v>42396791.25</v>
      </c>
      <c r="H39" s="246">
        <f t="shared" si="3"/>
        <v>32133881.609999999</v>
      </c>
      <c r="I39" s="246">
        <f t="shared" si="3"/>
        <v>32133881.609999999</v>
      </c>
    </row>
    <row r="40" spans="1:9" s="245" customFormat="1" ht="31.5" customHeight="1" x14ac:dyDescent="0.2">
      <c r="A40" s="243"/>
      <c r="B40" s="243"/>
      <c r="C40" s="151" t="s">
        <v>216</v>
      </c>
      <c r="D40" s="243"/>
      <c r="E40" s="243"/>
      <c r="F40" s="244">
        <f>F38+F39</f>
        <v>254380747.50999999</v>
      </c>
      <c r="G40" s="244">
        <f t="shared" ref="G40:I40" si="4">G38+G39</f>
        <v>254380747.50999999</v>
      </c>
      <c r="H40" s="244">
        <f t="shared" si="4"/>
        <v>192803289.66999999</v>
      </c>
      <c r="I40" s="244">
        <f t="shared" si="4"/>
        <v>192803289.66999999</v>
      </c>
    </row>
  </sheetData>
  <mergeCells count="8">
    <mergeCell ref="F9:G9"/>
    <mergeCell ref="H9:I9"/>
    <mergeCell ref="C6:I6"/>
    <mergeCell ref="A3:E4"/>
    <mergeCell ref="B9:B10"/>
    <mergeCell ref="C9:C10"/>
    <mergeCell ref="D9:D10"/>
    <mergeCell ref="E9:E10"/>
  </mergeCells>
  <pageMargins left="0.33" right="0.23622047244094491" top="0.35433070866141736" bottom="0.35433070866141736" header="0.19685039370078741" footer="0.19685039370078741"/>
  <pageSetup paperSize="9" scale="51" fitToHeight="0" orientation="portrait" r:id="rId1"/>
  <headerFooter alignWithMargins="0">
    <oddHeader>&amp;LГРАНД-Смета, версия 2021.2</oddHeader>
    <oddFooter>&amp;RСтраница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9"/>
  <sheetViews>
    <sheetView tabSelected="1" zoomScaleNormal="100" workbookViewId="0">
      <selection activeCell="A6" sqref="A6:C6"/>
    </sheetView>
  </sheetViews>
  <sheetFormatPr defaultRowHeight="12.75" x14ac:dyDescent="0.2"/>
  <cols>
    <col min="1" max="1" width="56.140625" style="24" customWidth="1"/>
    <col min="2" max="2" width="35" style="24" customWidth="1"/>
    <col min="3" max="3" width="20.5703125" style="24" customWidth="1"/>
    <col min="4" max="16384" width="9.140625" style="24"/>
  </cols>
  <sheetData>
    <row r="1" spans="1:5" ht="36" customHeight="1" x14ac:dyDescent="0.2">
      <c r="A1" s="342" t="s">
        <v>326</v>
      </c>
      <c r="B1" s="342"/>
      <c r="C1" s="342"/>
    </row>
    <row r="2" spans="1:5" ht="36" customHeight="1" x14ac:dyDescent="0.2">
      <c r="A2" s="342" t="s">
        <v>327</v>
      </c>
      <c r="B2" s="342"/>
      <c r="C2" s="342"/>
    </row>
    <row r="3" spans="1:5" ht="36" customHeight="1" x14ac:dyDescent="0.2">
      <c r="A3" s="343" t="s">
        <v>220</v>
      </c>
      <c r="B3" s="344"/>
      <c r="C3" s="344"/>
    </row>
    <row r="4" spans="1:5" ht="51" customHeight="1" x14ac:dyDescent="0.2">
      <c r="A4" s="312" t="s">
        <v>339</v>
      </c>
      <c r="B4" s="312"/>
      <c r="C4" s="312"/>
      <c r="D4" s="262"/>
      <c r="E4" s="262"/>
    </row>
    <row r="5" spans="1:5" ht="117" customHeight="1" x14ac:dyDescent="0.2">
      <c r="A5" s="336" t="s">
        <v>347</v>
      </c>
      <c r="B5" s="336"/>
      <c r="C5" s="336"/>
    </row>
    <row r="6" spans="1:5" ht="26.25" customHeight="1" x14ac:dyDescent="0.2">
      <c r="A6" s="340" t="s">
        <v>328</v>
      </c>
      <c r="B6" s="340"/>
      <c r="C6" s="340"/>
    </row>
    <row r="7" spans="1:5" ht="41.25" customHeight="1" x14ac:dyDescent="0.2">
      <c r="A7" s="338" t="s">
        <v>329</v>
      </c>
      <c r="B7" s="338"/>
      <c r="C7" s="338"/>
    </row>
    <row r="8" spans="1:5" ht="32.25" customHeight="1" x14ac:dyDescent="0.2">
      <c r="A8" s="339" t="s">
        <v>330</v>
      </c>
      <c r="B8" s="339"/>
      <c r="C8" s="339"/>
    </row>
    <row r="9" spans="1:5" ht="42.75" customHeight="1" x14ac:dyDescent="0.2">
      <c r="A9" s="340" t="s">
        <v>344</v>
      </c>
      <c r="B9" s="340"/>
      <c r="C9" s="340"/>
    </row>
    <row r="10" spans="1:5" ht="36" customHeight="1" x14ac:dyDescent="0.2">
      <c r="A10" s="338" t="s">
        <v>331</v>
      </c>
      <c r="B10" s="338"/>
      <c r="C10" s="338"/>
    </row>
    <row r="11" spans="1:5" ht="27.75" customHeight="1" x14ac:dyDescent="0.2">
      <c r="A11" s="337" t="s">
        <v>332</v>
      </c>
      <c r="B11" s="337"/>
      <c r="C11" s="337"/>
    </row>
    <row r="12" spans="1:5" ht="38.25" customHeight="1" x14ac:dyDescent="0.2">
      <c r="A12" s="341" t="s">
        <v>333</v>
      </c>
      <c r="B12" s="341"/>
      <c r="C12" s="341"/>
    </row>
    <row r="13" spans="1:5" ht="30.75" customHeight="1" x14ac:dyDescent="0.2">
      <c r="A13" s="336" t="s">
        <v>334</v>
      </c>
      <c r="B13" s="336"/>
      <c r="C13" s="336"/>
    </row>
    <row r="14" spans="1:5" ht="33" customHeight="1" x14ac:dyDescent="0.2">
      <c r="A14" s="263" t="s">
        <v>346</v>
      </c>
      <c r="B14" s="264"/>
      <c r="C14" s="264"/>
    </row>
    <row r="15" spans="1:5" ht="38.25" customHeight="1" x14ac:dyDescent="0.2">
      <c r="A15" s="336" t="s">
        <v>335</v>
      </c>
      <c r="B15" s="336"/>
      <c r="C15" s="336"/>
    </row>
    <row r="16" spans="1:5" x14ac:dyDescent="0.2">
      <c r="A16" s="265"/>
      <c r="B16" s="265"/>
      <c r="C16" s="265"/>
    </row>
    <row r="17" spans="1:3" x14ac:dyDescent="0.2">
      <c r="A17" s="266" t="s">
        <v>336</v>
      </c>
      <c r="B17" s="267"/>
      <c r="C17" s="266"/>
    </row>
    <row r="18" spans="1:3" x14ac:dyDescent="0.2">
      <c r="A18" s="337"/>
      <c r="B18" s="337"/>
      <c r="C18" s="337"/>
    </row>
    <row r="19" spans="1:3" x14ac:dyDescent="0.2">
      <c r="A19" s="266"/>
      <c r="B19" s="267">
        <f>НМЦ!F11</f>
        <v>254380747.50999999</v>
      </c>
      <c r="C19" s="266" t="s">
        <v>337</v>
      </c>
    </row>
  </sheetData>
  <mergeCells count="15">
    <mergeCell ref="A6:C6"/>
    <mergeCell ref="A1:C1"/>
    <mergeCell ref="A2:C2"/>
    <mergeCell ref="A3:C3"/>
    <mergeCell ref="A4:C4"/>
    <mergeCell ref="A5:C5"/>
    <mergeCell ref="A13:C13"/>
    <mergeCell ref="A15:C15"/>
    <mergeCell ref="A18:C18"/>
    <mergeCell ref="A7:C7"/>
    <mergeCell ref="A8:C8"/>
    <mergeCell ref="A9:C9"/>
    <mergeCell ref="A10:C10"/>
    <mergeCell ref="A11:C11"/>
    <mergeCell ref="A12:C12"/>
  </mergeCell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showGridLines="0" view="pageBreakPreview" topLeftCell="B16" zoomScale="150" zoomScaleNormal="100" zoomScaleSheetLayoutView="150" workbookViewId="0">
      <selection activeCell="D31" sqref="D31"/>
    </sheetView>
  </sheetViews>
  <sheetFormatPr defaultColWidth="8.85546875" defaultRowHeight="12.75" x14ac:dyDescent="0.2"/>
  <cols>
    <col min="1" max="1" width="4.5703125" style="24" hidden="1" customWidth="1"/>
    <col min="2" max="2" width="4.42578125" style="24" customWidth="1"/>
    <col min="3" max="3" width="9.5703125" style="24" customWidth="1"/>
    <col min="4" max="4" width="31" style="24" customWidth="1"/>
    <col min="5" max="5" width="10" style="36" customWidth="1"/>
    <col min="6" max="16384" width="8.85546875" style="24"/>
  </cols>
  <sheetData>
    <row r="1" spans="1:5" x14ac:dyDescent="0.2">
      <c r="B1" s="275" t="s">
        <v>84</v>
      </c>
      <c r="C1" s="275"/>
      <c r="D1" s="275"/>
      <c r="E1" s="275"/>
    </row>
    <row r="6" spans="1:5" x14ac:dyDescent="0.2">
      <c r="B6" s="14"/>
      <c r="C6" s="16"/>
      <c r="D6" s="52" t="s">
        <v>163</v>
      </c>
      <c r="E6" s="37"/>
    </row>
    <row r="7" spans="1:5" ht="22.5" x14ac:dyDescent="0.2">
      <c r="B7" s="56" t="s">
        <v>4</v>
      </c>
      <c r="C7" s="57" t="s">
        <v>11</v>
      </c>
      <c r="D7" s="56" t="s">
        <v>169</v>
      </c>
      <c r="E7" s="55" t="s">
        <v>168</v>
      </c>
    </row>
    <row r="8" spans="1:5" x14ac:dyDescent="0.2">
      <c r="B8" s="20">
        <v>1</v>
      </c>
      <c r="C8" s="20">
        <v>2</v>
      </c>
      <c r="D8" s="20">
        <v>3</v>
      </c>
      <c r="E8" s="20">
        <v>4</v>
      </c>
    </row>
    <row r="9" spans="1:5" x14ac:dyDescent="0.2">
      <c r="A9" s="23"/>
      <c r="B9" s="276" t="s">
        <v>164</v>
      </c>
      <c r="C9" s="277"/>
      <c r="D9" s="277"/>
      <c r="E9" s="277"/>
    </row>
    <row r="10" spans="1:5" x14ac:dyDescent="0.2">
      <c r="A10" s="23"/>
      <c r="B10" s="25">
        <v>1</v>
      </c>
      <c r="C10" s="26" t="s">
        <v>53</v>
      </c>
      <c r="D10" s="1" t="s">
        <v>88</v>
      </c>
      <c r="E10" s="38"/>
    </row>
    <row r="11" spans="1:5" ht="33.75" x14ac:dyDescent="0.2">
      <c r="A11" s="23"/>
      <c r="B11" s="25" t="s">
        <v>119</v>
      </c>
      <c r="C11" s="26" t="s">
        <v>18</v>
      </c>
      <c r="D11" s="1" t="s">
        <v>54</v>
      </c>
      <c r="E11" s="38"/>
    </row>
    <row r="12" spans="1:5" x14ac:dyDescent="0.2">
      <c r="A12" s="23"/>
      <c r="B12" s="276" t="s">
        <v>165</v>
      </c>
      <c r="C12" s="277"/>
      <c r="D12" s="277"/>
      <c r="E12" s="277"/>
    </row>
    <row r="13" spans="1:5" x14ac:dyDescent="0.2">
      <c r="A13" s="23"/>
      <c r="B13" s="25" t="s">
        <v>120</v>
      </c>
      <c r="C13" s="26" t="s">
        <v>22</v>
      </c>
      <c r="D13" s="26" t="s">
        <v>89</v>
      </c>
      <c r="E13" s="38"/>
    </row>
    <row r="14" spans="1:5" x14ac:dyDescent="0.2">
      <c r="A14" s="23"/>
      <c r="B14" s="25" t="s">
        <v>121</v>
      </c>
      <c r="C14" s="26" t="s">
        <v>108</v>
      </c>
      <c r="D14" s="26" t="s">
        <v>106</v>
      </c>
      <c r="E14" s="38"/>
    </row>
    <row r="15" spans="1:5" x14ac:dyDescent="0.2">
      <c r="A15" s="23"/>
      <c r="B15" s="276" t="s">
        <v>166</v>
      </c>
      <c r="C15" s="277"/>
      <c r="D15" s="277"/>
      <c r="E15" s="277"/>
    </row>
    <row r="16" spans="1:5" x14ac:dyDescent="0.2">
      <c r="A16" s="23"/>
      <c r="B16" s="25" t="s">
        <v>122</v>
      </c>
      <c r="C16" s="10" t="s">
        <v>90</v>
      </c>
      <c r="D16" s="21" t="s">
        <v>91</v>
      </c>
      <c r="E16" s="38"/>
    </row>
    <row r="17" spans="1:5" x14ac:dyDescent="0.2">
      <c r="A17" s="23"/>
      <c r="B17" s="276" t="s">
        <v>167</v>
      </c>
      <c r="C17" s="277"/>
      <c r="D17" s="277"/>
      <c r="E17" s="277"/>
    </row>
    <row r="18" spans="1:5" x14ac:dyDescent="0.2">
      <c r="A18" s="23"/>
      <c r="B18" s="25" t="s">
        <v>123</v>
      </c>
      <c r="C18" s="10" t="s">
        <v>25</v>
      </c>
      <c r="D18" s="21" t="s">
        <v>26</v>
      </c>
      <c r="E18" s="38"/>
    </row>
    <row r="19" spans="1:5" x14ac:dyDescent="0.2">
      <c r="A19" s="23"/>
      <c r="B19" s="276" t="s">
        <v>170</v>
      </c>
      <c r="C19" s="277"/>
      <c r="D19" s="277"/>
      <c r="E19" s="277"/>
    </row>
    <row r="20" spans="1:5" x14ac:dyDescent="0.2">
      <c r="A20" s="23"/>
      <c r="B20" s="25" t="s">
        <v>124</v>
      </c>
      <c r="C20" s="10" t="s">
        <v>29</v>
      </c>
      <c r="D20" s="21" t="s">
        <v>92</v>
      </c>
      <c r="E20" s="38"/>
    </row>
    <row r="21" spans="1:5" x14ac:dyDescent="0.2">
      <c r="A21" s="23"/>
      <c r="B21" s="25" t="s">
        <v>125</v>
      </c>
      <c r="C21" s="10" t="s">
        <v>31</v>
      </c>
      <c r="D21" s="21" t="s">
        <v>30</v>
      </c>
      <c r="E21" s="38"/>
    </row>
    <row r="22" spans="1:5" x14ac:dyDescent="0.2">
      <c r="A22" s="23"/>
      <c r="B22" s="276" t="s">
        <v>171</v>
      </c>
      <c r="C22" s="277"/>
      <c r="D22" s="277"/>
      <c r="E22" s="277"/>
    </row>
    <row r="23" spans="1:5" x14ac:dyDescent="0.2">
      <c r="A23" s="23"/>
      <c r="B23" s="25" t="s">
        <v>126</v>
      </c>
      <c r="C23" s="10" t="s">
        <v>34</v>
      </c>
      <c r="D23" s="21" t="s">
        <v>37</v>
      </c>
      <c r="E23" s="38"/>
    </row>
    <row r="24" spans="1:5" x14ac:dyDescent="0.2">
      <c r="A24" s="23"/>
      <c r="B24" s="25" t="s">
        <v>127</v>
      </c>
      <c r="C24" s="10" t="s">
        <v>36</v>
      </c>
      <c r="D24" s="21" t="s">
        <v>93</v>
      </c>
      <c r="E24" s="38"/>
    </row>
    <row r="25" spans="1:5" x14ac:dyDescent="0.2">
      <c r="A25" s="23"/>
      <c r="B25" s="25" t="s">
        <v>128</v>
      </c>
      <c r="C25" s="10" t="s">
        <v>94</v>
      </c>
      <c r="D25" s="21" t="s">
        <v>95</v>
      </c>
      <c r="E25" s="38"/>
    </row>
    <row r="26" spans="1:5" x14ac:dyDescent="0.2">
      <c r="A26" s="23"/>
      <c r="B26" s="25" t="s">
        <v>130</v>
      </c>
      <c r="C26" s="10" t="s">
        <v>96</v>
      </c>
      <c r="D26" s="21" t="s">
        <v>97</v>
      </c>
      <c r="E26" s="38"/>
    </row>
    <row r="27" spans="1:5" x14ac:dyDescent="0.2">
      <c r="A27" s="23"/>
      <c r="B27" s="25" t="s">
        <v>131</v>
      </c>
      <c r="C27" s="10" t="s">
        <v>98</v>
      </c>
      <c r="D27" s="21" t="s">
        <v>35</v>
      </c>
      <c r="E27" s="38"/>
    </row>
    <row r="28" spans="1:5" x14ac:dyDescent="0.2">
      <c r="A28" s="23"/>
      <c r="B28" s="25" t="s">
        <v>132</v>
      </c>
      <c r="C28" s="25" t="s">
        <v>117</v>
      </c>
      <c r="D28" s="26" t="s">
        <v>118</v>
      </c>
      <c r="E28" s="38"/>
    </row>
    <row r="29" spans="1:5" x14ac:dyDescent="0.2">
      <c r="A29" s="23"/>
      <c r="B29" s="276" t="s">
        <v>172</v>
      </c>
      <c r="C29" s="277"/>
      <c r="D29" s="277"/>
      <c r="E29" s="277"/>
    </row>
    <row r="30" spans="1:5" x14ac:dyDescent="0.2">
      <c r="A30" s="23"/>
      <c r="B30" s="25" t="s">
        <v>134</v>
      </c>
      <c r="C30" s="26" t="s">
        <v>43</v>
      </c>
      <c r="D30" s="26" t="s">
        <v>44</v>
      </c>
      <c r="E30" s="38"/>
    </row>
    <row r="31" spans="1:5" ht="56.25" x14ac:dyDescent="0.2">
      <c r="A31" s="23"/>
      <c r="B31" s="25" t="s">
        <v>135</v>
      </c>
      <c r="C31" s="26" t="s">
        <v>109</v>
      </c>
      <c r="D31" s="5" t="s">
        <v>62</v>
      </c>
      <c r="E31" s="32"/>
    </row>
    <row r="32" spans="1:5" ht="22.5" x14ac:dyDescent="0.2">
      <c r="A32" s="23"/>
      <c r="B32" s="25" t="s">
        <v>136</v>
      </c>
      <c r="C32" s="4" t="s">
        <v>57</v>
      </c>
      <c r="D32" s="5" t="s">
        <v>58</v>
      </c>
      <c r="E32" s="39"/>
    </row>
    <row r="33" spans="1:5" ht="22.5" x14ac:dyDescent="0.2">
      <c r="A33" s="23"/>
      <c r="B33" s="22" t="s">
        <v>137</v>
      </c>
      <c r="C33" s="4" t="s">
        <v>100</v>
      </c>
      <c r="D33" s="9" t="s">
        <v>152</v>
      </c>
      <c r="E33" s="39"/>
    </row>
    <row r="34" spans="1:5" ht="22.5" x14ac:dyDescent="0.2">
      <c r="A34" s="23"/>
      <c r="B34" s="22" t="s">
        <v>138</v>
      </c>
      <c r="C34" s="4" t="s">
        <v>83</v>
      </c>
      <c r="D34" s="9" t="s">
        <v>82</v>
      </c>
      <c r="E34" s="39"/>
    </row>
    <row r="35" spans="1:5" ht="33.75" x14ac:dyDescent="0.2">
      <c r="A35" s="23"/>
      <c r="B35" s="25" t="s">
        <v>139</v>
      </c>
      <c r="C35" s="4" t="s">
        <v>103</v>
      </c>
      <c r="D35" s="5" t="s">
        <v>59</v>
      </c>
      <c r="E35" s="39"/>
    </row>
    <row r="36" spans="1:5" ht="45" x14ac:dyDescent="0.2">
      <c r="A36" s="23"/>
      <c r="B36" s="25" t="s">
        <v>140</v>
      </c>
      <c r="C36" s="4" t="s">
        <v>104</v>
      </c>
      <c r="D36" s="5" t="s">
        <v>60</v>
      </c>
      <c r="E36" s="39"/>
    </row>
    <row r="37" spans="1:5" ht="45" x14ac:dyDescent="0.2">
      <c r="A37" s="23"/>
      <c r="B37" s="25" t="s">
        <v>141</v>
      </c>
      <c r="C37" s="4" t="s">
        <v>105</v>
      </c>
      <c r="D37" s="5" t="s">
        <v>61</v>
      </c>
      <c r="E37" s="39"/>
    </row>
    <row r="38" spans="1:5" x14ac:dyDescent="0.2">
      <c r="A38" s="23"/>
      <c r="B38" s="276" t="s">
        <v>173</v>
      </c>
      <c r="C38" s="277"/>
      <c r="D38" s="277"/>
      <c r="E38" s="277"/>
    </row>
    <row r="39" spans="1:5" ht="22.5" x14ac:dyDescent="0.2">
      <c r="A39" s="23"/>
      <c r="B39" s="22" t="s">
        <v>143</v>
      </c>
      <c r="C39" s="4" t="s">
        <v>156</v>
      </c>
      <c r="D39" s="5" t="s">
        <v>66</v>
      </c>
      <c r="E39" s="39"/>
    </row>
    <row r="40" spans="1:5" ht="22.5" x14ac:dyDescent="0.2">
      <c r="A40" s="23"/>
      <c r="B40" s="22" t="s">
        <v>144</v>
      </c>
      <c r="C40" s="4" t="s">
        <v>156</v>
      </c>
      <c r="D40" s="5" t="s">
        <v>67</v>
      </c>
      <c r="E40" s="39"/>
    </row>
    <row r="41" spans="1:5" ht="22.5" x14ac:dyDescent="0.2">
      <c r="A41" s="23"/>
      <c r="B41" s="22" t="s">
        <v>145</v>
      </c>
      <c r="C41" s="4" t="s">
        <v>156</v>
      </c>
      <c r="D41" s="5" t="s">
        <v>99</v>
      </c>
      <c r="E41" s="39"/>
    </row>
    <row r="42" spans="1:5" ht="22.5" x14ac:dyDescent="0.2">
      <c r="A42" s="23"/>
      <c r="B42" s="22" t="s">
        <v>146</v>
      </c>
      <c r="C42" s="4" t="s">
        <v>69</v>
      </c>
      <c r="D42" s="5" t="s">
        <v>70</v>
      </c>
      <c r="E42" s="39"/>
    </row>
    <row r="43" spans="1:5" ht="45" x14ac:dyDescent="0.2">
      <c r="A43" s="23"/>
      <c r="B43" s="22" t="s">
        <v>147</v>
      </c>
      <c r="C43" s="4" t="s">
        <v>107</v>
      </c>
      <c r="D43" s="9" t="s">
        <v>153</v>
      </c>
      <c r="E43" s="39"/>
    </row>
    <row r="44" spans="1:5" ht="45" x14ac:dyDescent="0.2">
      <c r="A44" s="23"/>
      <c r="B44" s="22" t="s">
        <v>148</v>
      </c>
      <c r="C44" s="4" t="s">
        <v>72</v>
      </c>
      <c r="D44" s="9" t="s">
        <v>73</v>
      </c>
      <c r="E44" s="39"/>
    </row>
  </sheetData>
  <mergeCells count="9">
    <mergeCell ref="B1:E1"/>
    <mergeCell ref="B38:E38"/>
    <mergeCell ref="B17:E17"/>
    <mergeCell ref="B19:E19"/>
    <mergeCell ref="B22:E22"/>
    <mergeCell ref="B29:E29"/>
    <mergeCell ref="B9:E9"/>
    <mergeCell ref="B12:E12"/>
    <mergeCell ref="B15:E15"/>
  </mergeCells>
  <pageMargins left="0.33" right="0.23622047244094491" top="0.35433070866141736" bottom="0.35433070866141736" header="0.19685039370078741" footer="0.19685039370078741"/>
  <pageSetup paperSize="9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95"/>
  <sheetViews>
    <sheetView view="pageBreakPreview" topLeftCell="A73" zoomScale="150" zoomScaleNormal="100" zoomScaleSheetLayoutView="150" workbookViewId="0">
      <selection activeCell="G81" sqref="G81"/>
    </sheetView>
  </sheetViews>
  <sheetFormatPr defaultColWidth="8.85546875" defaultRowHeight="12.75" x14ac:dyDescent="0.2"/>
  <cols>
    <col min="1" max="1" width="4.42578125" style="24" customWidth="1"/>
    <col min="2" max="2" width="9.5703125" style="24" customWidth="1"/>
    <col min="3" max="3" width="29.42578125" style="24" customWidth="1"/>
    <col min="4" max="4" width="11.7109375" style="24" customWidth="1"/>
    <col min="5" max="5" width="11.140625" style="24" customWidth="1"/>
    <col min="6" max="6" width="13" style="24" customWidth="1"/>
    <col min="7" max="7" width="8.5703125" style="24" customWidth="1"/>
    <col min="8" max="8" width="9.28515625" style="24" customWidth="1"/>
    <col min="9" max="16384" width="8.85546875" style="24"/>
  </cols>
  <sheetData>
    <row r="1" spans="1:8" x14ac:dyDescent="0.2">
      <c r="H1" s="76" t="s">
        <v>7</v>
      </c>
    </row>
    <row r="2" spans="1:8" x14ac:dyDescent="0.2">
      <c r="A2" s="11"/>
      <c r="B2" s="12"/>
      <c r="C2" s="13"/>
      <c r="D2" s="77"/>
      <c r="E2" s="77"/>
      <c r="F2" s="77"/>
      <c r="G2" s="77"/>
      <c r="H2" s="76" t="s">
        <v>6</v>
      </c>
    </row>
    <row r="3" spans="1:8" x14ac:dyDescent="0.2">
      <c r="A3" s="14"/>
      <c r="B3" s="15" t="s">
        <v>0</v>
      </c>
      <c r="C3" s="288" t="s">
        <v>114</v>
      </c>
      <c r="D3" s="288"/>
      <c r="E3" s="288"/>
      <c r="F3" s="288"/>
      <c r="G3" s="288"/>
      <c r="H3" s="68"/>
    </row>
    <row r="4" spans="1:8" x14ac:dyDescent="0.2">
      <c r="A4" s="14"/>
      <c r="B4" s="16"/>
      <c r="C4" s="287" t="s">
        <v>1</v>
      </c>
      <c r="D4" s="287"/>
      <c r="E4" s="287"/>
      <c r="F4" s="287"/>
      <c r="G4" s="287"/>
      <c r="H4" s="68"/>
    </row>
    <row r="5" spans="1:8" x14ac:dyDescent="0.2">
      <c r="A5" s="14"/>
      <c r="B5" s="16" t="s">
        <v>9</v>
      </c>
      <c r="C5" s="75"/>
      <c r="D5" s="68"/>
      <c r="E5" s="72"/>
      <c r="F5" s="68"/>
      <c r="G5" s="68"/>
      <c r="H5" s="68"/>
    </row>
    <row r="6" spans="1:8" x14ac:dyDescent="0.2">
      <c r="A6" s="14"/>
      <c r="B6" s="16"/>
      <c r="C6" s="17"/>
      <c r="D6" s="68"/>
      <c r="E6" s="72"/>
      <c r="F6" s="68"/>
      <c r="G6" s="68"/>
      <c r="H6" s="68"/>
    </row>
    <row r="7" spans="1:8" x14ac:dyDescent="0.2">
      <c r="A7" s="14"/>
      <c r="B7" s="18" t="s">
        <v>8</v>
      </c>
      <c r="C7" s="19"/>
      <c r="D7" s="53">
        <v>40293.980000000003</v>
      </c>
      <c r="E7" s="74" t="s">
        <v>80</v>
      </c>
      <c r="F7" s="73"/>
      <c r="G7" s="73"/>
      <c r="H7" s="68"/>
    </row>
    <row r="8" spans="1:8" x14ac:dyDescent="0.2">
      <c r="A8" s="14"/>
      <c r="B8" s="16"/>
      <c r="C8" s="275"/>
      <c r="D8" s="275"/>
      <c r="E8" s="275"/>
      <c r="F8" s="275"/>
      <c r="G8" s="275"/>
      <c r="H8" s="68"/>
    </row>
    <row r="9" spans="1:8" x14ac:dyDescent="0.2">
      <c r="A9" s="14"/>
      <c r="B9" s="16"/>
      <c r="C9" s="287" t="s">
        <v>2</v>
      </c>
      <c r="D9" s="287"/>
      <c r="E9" s="287"/>
      <c r="F9" s="287"/>
      <c r="G9" s="287"/>
      <c r="H9" s="68"/>
    </row>
    <row r="10" spans="1:8" x14ac:dyDescent="0.2">
      <c r="A10" s="14"/>
      <c r="B10" s="16"/>
      <c r="C10" s="17"/>
      <c r="D10" s="68"/>
      <c r="E10" s="72"/>
      <c r="F10" s="68"/>
      <c r="G10" s="68"/>
      <c r="H10" s="68"/>
    </row>
    <row r="11" spans="1:8" x14ac:dyDescent="0.2">
      <c r="A11" s="14"/>
      <c r="B11" s="16"/>
      <c r="C11" s="17"/>
      <c r="D11" s="70"/>
      <c r="E11" s="70"/>
      <c r="F11" s="70"/>
      <c r="G11" s="70"/>
      <c r="H11" s="68"/>
    </row>
    <row r="12" spans="1:8" x14ac:dyDescent="0.2">
      <c r="A12" s="14"/>
      <c r="B12" s="16"/>
      <c r="C12" s="17"/>
      <c r="D12" s="71" t="s">
        <v>10</v>
      </c>
      <c r="E12" s="70"/>
      <c r="F12" s="70"/>
      <c r="G12" s="68"/>
      <c r="H12" s="68"/>
    </row>
    <row r="13" spans="1:8" ht="27" customHeight="1" x14ac:dyDescent="0.2">
      <c r="A13" s="14"/>
      <c r="B13" s="16"/>
      <c r="C13" s="275" t="s">
        <v>85</v>
      </c>
      <c r="D13" s="275"/>
      <c r="E13" s="275"/>
      <c r="F13" s="275"/>
      <c r="G13" s="275"/>
      <c r="H13" s="68"/>
    </row>
    <row r="14" spans="1:8" x14ac:dyDescent="0.2">
      <c r="A14" s="14"/>
      <c r="B14" s="16"/>
      <c r="C14" s="287" t="s">
        <v>3</v>
      </c>
      <c r="D14" s="287"/>
      <c r="E14" s="287"/>
      <c r="F14" s="287"/>
      <c r="G14" s="287"/>
      <c r="H14" s="68"/>
    </row>
    <row r="15" spans="1:8" x14ac:dyDescent="0.2">
      <c r="A15" s="14"/>
      <c r="B15" s="16"/>
      <c r="C15" s="17"/>
      <c r="D15" s="70"/>
      <c r="E15" s="70"/>
      <c r="F15" s="70"/>
      <c r="G15" s="70"/>
      <c r="H15" s="68"/>
    </row>
    <row r="16" spans="1:8" x14ac:dyDescent="0.2">
      <c r="A16" s="14"/>
      <c r="B16" s="289" t="s">
        <v>174</v>
      </c>
      <c r="C16" s="289"/>
      <c r="D16" s="289"/>
      <c r="E16" s="289"/>
      <c r="F16" s="289"/>
      <c r="G16" s="289"/>
      <c r="H16" s="289"/>
    </row>
    <row r="17" spans="1:8" x14ac:dyDescent="0.2">
      <c r="A17" s="14"/>
      <c r="B17" s="16"/>
      <c r="C17" s="17"/>
      <c r="D17" s="69"/>
      <c r="E17" s="68"/>
      <c r="F17" s="68"/>
      <c r="G17" s="68"/>
      <c r="H17" s="68"/>
    </row>
    <row r="18" spans="1:8" x14ac:dyDescent="0.2">
      <c r="A18" s="14"/>
      <c r="B18" s="16"/>
      <c r="C18" s="17"/>
      <c r="D18" s="68"/>
      <c r="E18" s="68"/>
      <c r="F18" s="68"/>
      <c r="G18" s="68"/>
      <c r="H18" s="68"/>
    </row>
    <row r="19" spans="1:8" x14ac:dyDescent="0.2">
      <c r="A19" s="280" t="s">
        <v>4</v>
      </c>
      <c r="B19" s="290" t="s">
        <v>11</v>
      </c>
      <c r="C19" s="280" t="s">
        <v>12</v>
      </c>
      <c r="D19" s="291" t="s">
        <v>55</v>
      </c>
      <c r="E19" s="292"/>
      <c r="F19" s="292"/>
      <c r="G19" s="292"/>
      <c r="H19" s="293"/>
    </row>
    <row r="20" spans="1:8" ht="29.25" customHeight="1" x14ac:dyDescent="0.2">
      <c r="A20" s="280"/>
      <c r="B20" s="290"/>
      <c r="C20" s="280"/>
      <c r="D20" s="280" t="s">
        <v>13</v>
      </c>
      <c r="E20" s="280" t="s">
        <v>5</v>
      </c>
      <c r="F20" s="280" t="s">
        <v>14</v>
      </c>
      <c r="G20" s="280" t="s">
        <v>15</v>
      </c>
      <c r="H20" s="284" t="s">
        <v>16</v>
      </c>
    </row>
    <row r="21" spans="1:8" ht="25.5" customHeight="1" x14ac:dyDescent="0.2">
      <c r="A21" s="280"/>
      <c r="B21" s="290"/>
      <c r="C21" s="280"/>
      <c r="D21" s="280"/>
      <c r="E21" s="280"/>
      <c r="F21" s="280"/>
      <c r="G21" s="280"/>
      <c r="H21" s="285"/>
    </row>
    <row r="22" spans="1:8" ht="16.5" customHeight="1" x14ac:dyDescent="0.2">
      <c r="A22" s="280"/>
      <c r="B22" s="290"/>
      <c r="C22" s="280"/>
      <c r="D22" s="280"/>
      <c r="E22" s="280"/>
      <c r="F22" s="280"/>
      <c r="G22" s="280"/>
      <c r="H22" s="286"/>
    </row>
    <row r="23" spans="1:8" x14ac:dyDescent="0.2">
      <c r="A23" s="20">
        <v>1</v>
      </c>
      <c r="B23" s="20">
        <v>2</v>
      </c>
      <c r="C23" s="20">
        <v>3</v>
      </c>
      <c r="D23" s="20">
        <v>4</v>
      </c>
      <c r="E23" s="20">
        <v>5</v>
      </c>
      <c r="F23" s="20">
        <v>6</v>
      </c>
      <c r="G23" s="20">
        <v>7</v>
      </c>
      <c r="H23" s="20">
        <v>8</v>
      </c>
    </row>
    <row r="24" spans="1:8" x14ac:dyDescent="0.2">
      <c r="A24" s="276" t="s">
        <v>17</v>
      </c>
      <c r="B24" s="277"/>
      <c r="C24" s="277"/>
      <c r="D24" s="277"/>
      <c r="E24" s="277"/>
      <c r="F24" s="277"/>
      <c r="G24" s="277"/>
      <c r="H24" s="277"/>
    </row>
    <row r="25" spans="1:8" x14ac:dyDescent="0.2">
      <c r="A25" s="25">
        <v>1</v>
      </c>
      <c r="B25" s="26" t="s">
        <v>53</v>
      </c>
      <c r="C25" s="1" t="s">
        <v>88</v>
      </c>
      <c r="D25" s="67">
        <v>53.09</v>
      </c>
      <c r="E25" s="67"/>
      <c r="F25" s="67"/>
      <c r="G25" s="67"/>
      <c r="H25" s="67">
        <v>53.09</v>
      </c>
    </row>
    <row r="26" spans="1:8" ht="33.75" x14ac:dyDescent="0.2">
      <c r="A26" s="25" t="s">
        <v>119</v>
      </c>
      <c r="B26" s="26" t="s">
        <v>18</v>
      </c>
      <c r="C26" s="1" t="s">
        <v>54</v>
      </c>
      <c r="D26" s="59"/>
      <c r="E26" s="59"/>
      <c r="F26" s="59"/>
      <c r="G26" s="59">
        <v>11.68</v>
      </c>
      <c r="H26" s="59">
        <f>G26</f>
        <v>11.68</v>
      </c>
    </row>
    <row r="27" spans="1:8" ht="22.5" x14ac:dyDescent="0.2">
      <c r="A27" s="25" t="s">
        <v>19</v>
      </c>
      <c r="B27" s="26" t="s">
        <v>19</v>
      </c>
      <c r="C27" s="26" t="s">
        <v>20</v>
      </c>
      <c r="D27" s="59">
        <f>ROUND(D25+D26,2)</f>
        <v>53.09</v>
      </c>
      <c r="E27" s="59"/>
      <c r="F27" s="59"/>
      <c r="G27" s="59">
        <f>ROUND(G25+G26,2)</f>
        <v>11.68</v>
      </c>
      <c r="H27" s="59">
        <f>ROUND(H25+H26,2)</f>
        <v>64.77</v>
      </c>
    </row>
    <row r="28" spans="1:8" ht="12.75" customHeight="1" x14ac:dyDescent="0.2">
      <c r="A28" s="276" t="s">
        <v>21</v>
      </c>
      <c r="B28" s="277"/>
      <c r="C28" s="277"/>
      <c r="D28" s="277"/>
      <c r="E28" s="277"/>
      <c r="F28" s="277"/>
      <c r="G28" s="277"/>
      <c r="H28" s="277"/>
    </row>
    <row r="29" spans="1:8" x14ac:dyDescent="0.2">
      <c r="A29" s="25" t="s">
        <v>120</v>
      </c>
      <c r="B29" s="26" t="s">
        <v>22</v>
      </c>
      <c r="C29" s="26" t="s">
        <v>89</v>
      </c>
      <c r="D29" s="67">
        <v>862.92</v>
      </c>
      <c r="E29" s="67"/>
      <c r="F29" s="67"/>
      <c r="G29" s="67"/>
      <c r="H29" s="67">
        <v>862.92</v>
      </c>
    </row>
    <row r="30" spans="1:8" x14ac:dyDescent="0.2">
      <c r="A30" s="25" t="s">
        <v>121</v>
      </c>
      <c r="B30" s="26" t="s">
        <v>108</v>
      </c>
      <c r="C30" s="26" t="s">
        <v>106</v>
      </c>
      <c r="D30" s="67"/>
      <c r="E30" s="67">
        <v>32.28</v>
      </c>
      <c r="F30" s="67">
        <v>249.95</v>
      </c>
      <c r="G30" s="67"/>
      <c r="H30" s="67">
        <v>282.23</v>
      </c>
    </row>
    <row r="31" spans="1:8" ht="22.5" x14ac:dyDescent="0.2">
      <c r="A31" s="25" t="s">
        <v>19</v>
      </c>
      <c r="B31" s="26" t="s">
        <v>19</v>
      </c>
      <c r="C31" s="26" t="s">
        <v>23</v>
      </c>
      <c r="D31" s="67">
        <v>862.92</v>
      </c>
      <c r="E31" s="67">
        <v>32.28</v>
      </c>
      <c r="F31" s="67">
        <v>249.95</v>
      </c>
      <c r="G31" s="67"/>
      <c r="H31" s="67">
        <v>1145.1500000000001</v>
      </c>
    </row>
    <row r="32" spans="1:8" x14ac:dyDescent="0.2">
      <c r="A32" s="276" t="s">
        <v>86</v>
      </c>
      <c r="B32" s="277"/>
      <c r="C32" s="277"/>
      <c r="D32" s="277"/>
      <c r="E32" s="277"/>
      <c r="F32" s="277"/>
      <c r="G32" s="277"/>
      <c r="H32" s="277"/>
    </row>
    <row r="33" spans="1:8" x14ac:dyDescent="0.2">
      <c r="A33" s="25" t="s">
        <v>122</v>
      </c>
      <c r="B33" s="26" t="s">
        <v>90</v>
      </c>
      <c r="C33" s="26" t="s">
        <v>91</v>
      </c>
      <c r="D33" s="67">
        <v>45.53</v>
      </c>
      <c r="E33" s="67">
        <v>507.39</v>
      </c>
      <c r="F33" s="67">
        <v>53.76</v>
      </c>
      <c r="G33" s="67"/>
      <c r="H33" s="67">
        <v>606.67999999999995</v>
      </c>
    </row>
    <row r="34" spans="1:8" ht="22.5" x14ac:dyDescent="0.2">
      <c r="A34" s="25"/>
      <c r="B34" s="26" t="s">
        <v>19</v>
      </c>
      <c r="C34" s="26" t="s">
        <v>87</v>
      </c>
      <c r="D34" s="67">
        <v>45.53</v>
      </c>
      <c r="E34" s="67">
        <v>507.39</v>
      </c>
      <c r="F34" s="67">
        <v>53.76</v>
      </c>
      <c r="G34" s="67"/>
      <c r="H34" s="67">
        <v>606.67999999999995</v>
      </c>
    </row>
    <row r="35" spans="1:8" x14ac:dyDescent="0.2">
      <c r="A35" s="276" t="s">
        <v>24</v>
      </c>
      <c r="B35" s="277"/>
      <c r="C35" s="277"/>
      <c r="D35" s="277"/>
      <c r="E35" s="277"/>
      <c r="F35" s="277"/>
      <c r="G35" s="277"/>
      <c r="H35" s="277"/>
    </row>
    <row r="36" spans="1:8" x14ac:dyDescent="0.2">
      <c r="A36" s="25" t="s">
        <v>123</v>
      </c>
      <c r="B36" s="26" t="s">
        <v>25</v>
      </c>
      <c r="C36" s="26" t="s">
        <v>26</v>
      </c>
      <c r="D36" s="67">
        <v>103.13</v>
      </c>
      <c r="E36" s="67">
        <v>32.67</v>
      </c>
      <c r="F36" s="67"/>
      <c r="G36" s="67"/>
      <c r="H36" s="67">
        <v>135.80000000000001</v>
      </c>
    </row>
    <row r="37" spans="1:8" ht="22.5" x14ac:dyDescent="0.2">
      <c r="A37" s="25"/>
      <c r="B37" s="26" t="s">
        <v>19</v>
      </c>
      <c r="C37" s="26" t="s">
        <v>27</v>
      </c>
      <c r="D37" s="67">
        <v>103.13</v>
      </c>
      <c r="E37" s="67">
        <v>32.67</v>
      </c>
      <c r="F37" s="67"/>
      <c r="G37" s="67"/>
      <c r="H37" s="67">
        <v>135.80000000000001</v>
      </c>
    </row>
    <row r="38" spans="1:8" ht="12.75" customHeight="1" x14ac:dyDescent="0.2">
      <c r="A38" s="276" t="s">
        <v>28</v>
      </c>
      <c r="B38" s="277"/>
      <c r="C38" s="277"/>
      <c r="D38" s="277"/>
      <c r="E38" s="277"/>
      <c r="F38" s="277"/>
      <c r="G38" s="277"/>
      <c r="H38" s="277"/>
    </row>
    <row r="39" spans="1:8" x14ac:dyDescent="0.2">
      <c r="A39" s="25" t="s">
        <v>124</v>
      </c>
      <c r="B39" s="10" t="s">
        <v>29</v>
      </c>
      <c r="C39" s="21" t="s">
        <v>92</v>
      </c>
      <c r="D39" s="67">
        <v>89.3</v>
      </c>
      <c r="E39" s="67"/>
      <c r="F39" s="67"/>
      <c r="G39" s="67"/>
      <c r="H39" s="67">
        <v>89.3</v>
      </c>
    </row>
    <row r="40" spans="1:8" x14ac:dyDescent="0.2">
      <c r="A40" s="25" t="s">
        <v>125</v>
      </c>
      <c r="B40" s="10" t="s">
        <v>31</v>
      </c>
      <c r="C40" s="21" t="s">
        <v>30</v>
      </c>
      <c r="D40" s="67">
        <v>6.49</v>
      </c>
      <c r="E40" s="67"/>
      <c r="F40" s="67"/>
      <c r="G40" s="67"/>
      <c r="H40" s="67">
        <v>6.49</v>
      </c>
    </row>
    <row r="41" spans="1:8" ht="45" x14ac:dyDescent="0.2">
      <c r="A41" s="25" t="s">
        <v>19</v>
      </c>
      <c r="B41" s="26" t="s">
        <v>19</v>
      </c>
      <c r="C41" s="26" t="s">
        <v>32</v>
      </c>
      <c r="D41" s="67">
        <v>95.79</v>
      </c>
      <c r="E41" s="67"/>
      <c r="F41" s="67"/>
      <c r="G41" s="67"/>
      <c r="H41" s="67">
        <v>95.79</v>
      </c>
    </row>
    <row r="42" spans="1:8" ht="12.75" customHeight="1" x14ac:dyDescent="0.2">
      <c r="A42" s="276" t="s">
        <v>33</v>
      </c>
      <c r="B42" s="277"/>
      <c r="C42" s="277"/>
      <c r="D42" s="277"/>
      <c r="E42" s="277"/>
      <c r="F42" s="277"/>
      <c r="G42" s="277"/>
      <c r="H42" s="277"/>
    </row>
    <row r="43" spans="1:8" x14ac:dyDescent="0.2">
      <c r="A43" s="25" t="s">
        <v>126</v>
      </c>
      <c r="B43" s="26" t="s">
        <v>34</v>
      </c>
      <c r="C43" s="26" t="s">
        <v>37</v>
      </c>
      <c r="D43" s="67">
        <v>1628.99</v>
      </c>
      <c r="E43" s="67"/>
      <c r="F43" s="67"/>
      <c r="G43" s="67"/>
      <c r="H43" s="67">
        <v>1628.99</v>
      </c>
    </row>
    <row r="44" spans="1:8" x14ac:dyDescent="0.2">
      <c r="A44" s="25" t="s">
        <v>127</v>
      </c>
      <c r="B44" s="26" t="s">
        <v>36</v>
      </c>
      <c r="C44" s="26" t="s">
        <v>115</v>
      </c>
      <c r="D44" s="67">
        <v>4.6900000000000004</v>
      </c>
      <c r="E44" s="67"/>
      <c r="F44" s="67"/>
      <c r="G44" s="67"/>
      <c r="H44" s="67">
        <v>4.6900000000000004</v>
      </c>
    </row>
    <row r="45" spans="1:8" x14ac:dyDescent="0.2">
      <c r="A45" s="25" t="s">
        <v>128</v>
      </c>
      <c r="B45" s="26" t="s">
        <v>94</v>
      </c>
      <c r="C45" s="26" t="s">
        <v>95</v>
      </c>
      <c r="D45" s="67">
        <v>1183.3699999999999</v>
      </c>
      <c r="E45" s="67"/>
      <c r="F45" s="67"/>
      <c r="G45" s="67"/>
      <c r="H45" s="67">
        <v>1183.3699999999999</v>
      </c>
    </row>
    <row r="46" spans="1:8" x14ac:dyDescent="0.2">
      <c r="A46" s="25" t="s">
        <v>130</v>
      </c>
      <c r="B46" s="26" t="s">
        <v>96</v>
      </c>
      <c r="C46" s="26" t="s">
        <v>116</v>
      </c>
      <c r="D46" s="67">
        <v>42.2</v>
      </c>
      <c r="E46" s="67"/>
      <c r="F46" s="67"/>
      <c r="G46" s="67"/>
      <c r="H46" s="67">
        <v>42.2</v>
      </c>
    </row>
    <row r="47" spans="1:8" x14ac:dyDescent="0.2">
      <c r="A47" s="25" t="s">
        <v>131</v>
      </c>
      <c r="B47" s="26" t="s">
        <v>98</v>
      </c>
      <c r="C47" s="26" t="s">
        <v>35</v>
      </c>
      <c r="D47" s="67">
        <v>3.44</v>
      </c>
      <c r="E47" s="67">
        <v>437.18</v>
      </c>
      <c r="F47" s="67">
        <v>4.32</v>
      </c>
      <c r="G47" s="67"/>
      <c r="H47" s="67">
        <v>444.94</v>
      </c>
    </row>
    <row r="48" spans="1:8" x14ac:dyDescent="0.2">
      <c r="A48" s="25" t="s">
        <v>132</v>
      </c>
      <c r="B48" s="26" t="s">
        <v>117</v>
      </c>
      <c r="C48" s="26" t="s">
        <v>118</v>
      </c>
      <c r="D48" s="67"/>
      <c r="E48" s="67">
        <v>155.04</v>
      </c>
      <c r="F48" s="67">
        <v>30548.12</v>
      </c>
      <c r="G48" s="67"/>
      <c r="H48" s="67">
        <v>30703.16</v>
      </c>
    </row>
    <row r="49" spans="1:8" ht="24.75" customHeight="1" x14ac:dyDescent="0.2">
      <c r="A49" s="25" t="s">
        <v>19</v>
      </c>
      <c r="B49" s="26" t="s">
        <v>19</v>
      </c>
      <c r="C49" s="26" t="s">
        <v>38</v>
      </c>
      <c r="D49" s="67">
        <v>2862.69</v>
      </c>
      <c r="E49" s="67">
        <v>592.22</v>
      </c>
      <c r="F49" s="67">
        <v>30552.44</v>
      </c>
      <c r="G49" s="67"/>
      <c r="H49" s="67">
        <v>34007.35</v>
      </c>
    </row>
    <row r="50" spans="1:8" x14ac:dyDescent="0.2">
      <c r="A50" s="25" t="s">
        <v>19</v>
      </c>
      <c r="B50" s="26" t="s">
        <v>19</v>
      </c>
      <c r="C50" s="26" t="s">
        <v>39</v>
      </c>
      <c r="D50" s="59">
        <f>ROUND(D49+D41+D31+D27+D37+D34,2)</f>
        <v>4023.15</v>
      </c>
      <c r="E50" s="59">
        <f>ROUND(E49+E41+E31+E27+E37+E34,2)</f>
        <v>1164.56</v>
      </c>
      <c r="F50" s="59">
        <f>ROUND(F49+F41+F31+F27+F37+F34,2)</f>
        <v>30856.15</v>
      </c>
      <c r="G50" s="59">
        <f>ROUND(G49+G41+G31+G27+G37+G34,2)</f>
        <v>11.68</v>
      </c>
      <c r="H50" s="59">
        <f>ROUND(H49+H41+H31+H27+H37+H34,2)</f>
        <v>36055.54</v>
      </c>
    </row>
    <row r="51" spans="1:8" x14ac:dyDescent="0.2">
      <c r="A51" s="276" t="s">
        <v>40</v>
      </c>
      <c r="B51" s="277"/>
      <c r="C51" s="277"/>
      <c r="D51" s="277"/>
      <c r="E51" s="277"/>
      <c r="F51" s="277"/>
      <c r="G51" s="277"/>
      <c r="H51" s="277"/>
    </row>
    <row r="52" spans="1:8" ht="71.25" customHeight="1" x14ac:dyDescent="0.2">
      <c r="A52" s="54" t="s">
        <v>133</v>
      </c>
      <c r="B52" s="26" t="s">
        <v>101</v>
      </c>
      <c r="C52" s="26" t="s">
        <v>102</v>
      </c>
      <c r="D52" s="59">
        <f>ROUND(D50*2.3/100,2)</f>
        <v>92.53</v>
      </c>
      <c r="E52" s="59">
        <f>ROUND(E50*2.3/100,2)</f>
        <v>26.78</v>
      </c>
      <c r="F52" s="59"/>
      <c r="G52" s="59"/>
      <c r="H52" s="59">
        <f>ROUND(D52+E52,2)</f>
        <v>119.31</v>
      </c>
    </row>
    <row r="53" spans="1:8" ht="24.75" customHeight="1" x14ac:dyDescent="0.2">
      <c r="A53" s="54"/>
      <c r="B53" s="26" t="s">
        <v>19</v>
      </c>
      <c r="C53" s="26" t="s">
        <v>56</v>
      </c>
      <c r="D53" s="59">
        <f>D52</f>
        <v>92.53</v>
      </c>
      <c r="E53" s="59">
        <f>E52</f>
        <v>26.78</v>
      </c>
      <c r="F53" s="59"/>
      <c r="G53" s="59"/>
      <c r="H53" s="59">
        <f>H52</f>
        <v>119.31</v>
      </c>
    </row>
    <row r="54" spans="1:8" ht="13.5" customHeight="1" x14ac:dyDescent="0.2">
      <c r="A54" s="25" t="s">
        <v>19</v>
      </c>
      <c r="B54" s="26" t="s">
        <v>19</v>
      </c>
      <c r="C54" s="26" t="s">
        <v>41</v>
      </c>
      <c r="D54" s="59">
        <f>ROUND(D50+D53,2)</f>
        <v>4115.68</v>
      </c>
      <c r="E54" s="59">
        <f>ROUND(E50+E53,2)</f>
        <v>1191.3399999999999</v>
      </c>
      <c r="F54" s="59">
        <f>ROUND(F50+F53,2)</f>
        <v>30856.15</v>
      </c>
      <c r="G54" s="59">
        <f>ROUND(G50+G53,2)</f>
        <v>11.68</v>
      </c>
      <c r="H54" s="59">
        <f>ROUND(H50+H53,2)</f>
        <v>36174.85</v>
      </c>
    </row>
    <row r="55" spans="1:8" x14ac:dyDescent="0.2">
      <c r="A55" s="276" t="s">
        <v>42</v>
      </c>
      <c r="B55" s="277"/>
      <c r="C55" s="277"/>
      <c r="D55" s="277"/>
      <c r="E55" s="277"/>
      <c r="F55" s="277"/>
      <c r="G55" s="277"/>
      <c r="H55" s="277"/>
    </row>
    <row r="56" spans="1:8" ht="15" customHeight="1" x14ac:dyDescent="0.2">
      <c r="A56" s="25" t="s">
        <v>134</v>
      </c>
      <c r="B56" s="26" t="s">
        <v>43</v>
      </c>
      <c r="C56" s="26" t="s">
        <v>44</v>
      </c>
      <c r="D56" s="67"/>
      <c r="E56" s="67"/>
      <c r="F56" s="67"/>
      <c r="G56" s="67">
        <v>4.03</v>
      </c>
      <c r="H56" s="67">
        <v>4.03</v>
      </c>
    </row>
    <row r="57" spans="1:8" ht="45" customHeight="1" x14ac:dyDescent="0.2">
      <c r="A57" s="25" t="s">
        <v>135</v>
      </c>
      <c r="B57" s="26" t="s">
        <v>109</v>
      </c>
      <c r="C57" s="64" t="s">
        <v>62</v>
      </c>
      <c r="D57" s="2">
        <f>ROUND(D54*0.5/100,2)</f>
        <v>20.58</v>
      </c>
      <c r="E57" s="2">
        <f>ROUND(E54*0.5/100,2)</f>
        <v>5.96</v>
      </c>
      <c r="F57" s="2"/>
      <c r="G57" s="2"/>
      <c r="H57" s="2">
        <f>ROUND(D57+E57,2)</f>
        <v>26.54</v>
      </c>
    </row>
    <row r="58" spans="1:8" ht="24.75" customHeight="1" x14ac:dyDescent="0.2">
      <c r="A58" s="25" t="s">
        <v>136</v>
      </c>
      <c r="B58" s="6" t="s">
        <v>57</v>
      </c>
      <c r="C58" s="64" t="s">
        <v>58</v>
      </c>
      <c r="D58" s="2"/>
      <c r="E58" s="2"/>
      <c r="F58" s="2"/>
      <c r="G58" s="2">
        <v>56.81</v>
      </c>
      <c r="H58" s="2">
        <f t="shared" ref="H58:H63" si="0">G58</f>
        <v>56.81</v>
      </c>
    </row>
    <row r="59" spans="1:8" ht="24.75" customHeight="1" x14ac:dyDescent="0.2">
      <c r="A59" s="22" t="s">
        <v>137</v>
      </c>
      <c r="B59" s="6" t="s">
        <v>100</v>
      </c>
      <c r="C59" s="63" t="s">
        <v>152</v>
      </c>
      <c r="D59" s="7"/>
      <c r="E59" s="7"/>
      <c r="F59" s="7"/>
      <c r="G59" s="66">
        <v>4.08</v>
      </c>
      <c r="H59" s="66">
        <f t="shared" si="0"/>
        <v>4.08</v>
      </c>
    </row>
    <row r="60" spans="1:8" ht="24.75" customHeight="1" x14ac:dyDescent="0.2">
      <c r="A60" s="22" t="s">
        <v>138</v>
      </c>
      <c r="B60" s="6" t="s">
        <v>83</v>
      </c>
      <c r="C60" s="63" t="s">
        <v>82</v>
      </c>
      <c r="D60" s="7"/>
      <c r="E60" s="7"/>
      <c r="F60" s="7"/>
      <c r="G60" s="2">
        <v>1.77</v>
      </c>
      <c r="H60" s="2">
        <f t="shared" si="0"/>
        <v>1.77</v>
      </c>
    </row>
    <row r="61" spans="1:8" ht="33.75" x14ac:dyDescent="0.2">
      <c r="A61" s="25" t="s">
        <v>139</v>
      </c>
      <c r="B61" s="6" t="s">
        <v>103</v>
      </c>
      <c r="C61" s="64" t="s">
        <v>59</v>
      </c>
      <c r="D61" s="2"/>
      <c r="E61" s="2"/>
      <c r="F61" s="2"/>
      <c r="G61" s="2">
        <f>ROUND((96.2281+36.0993)/12.91,2)</f>
        <v>10.25</v>
      </c>
      <c r="H61" s="2">
        <f t="shared" si="0"/>
        <v>10.25</v>
      </c>
    </row>
    <row r="62" spans="1:8" ht="38.25" customHeight="1" x14ac:dyDescent="0.2">
      <c r="A62" s="25" t="s">
        <v>140</v>
      </c>
      <c r="B62" s="6" t="s">
        <v>104</v>
      </c>
      <c r="C62" s="64" t="s">
        <v>81</v>
      </c>
      <c r="D62" s="2"/>
      <c r="E62" s="2"/>
      <c r="F62" s="2"/>
      <c r="G62" s="2">
        <f>0.27/12.91</f>
        <v>0.02</v>
      </c>
      <c r="H62" s="2">
        <f t="shared" si="0"/>
        <v>0.02</v>
      </c>
    </row>
    <row r="63" spans="1:8" ht="39" customHeight="1" x14ac:dyDescent="0.2">
      <c r="A63" s="25" t="s">
        <v>141</v>
      </c>
      <c r="B63" s="6" t="s">
        <v>105</v>
      </c>
      <c r="C63" s="64" t="s">
        <v>61</v>
      </c>
      <c r="D63" s="2"/>
      <c r="E63" s="2"/>
      <c r="F63" s="2"/>
      <c r="G63" s="2">
        <f>21.27958/12.91</f>
        <v>1.65</v>
      </c>
      <c r="H63" s="2">
        <f t="shared" si="0"/>
        <v>1.65</v>
      </c>
    </row>
    <row r="64" spans="1:8" ht="13.5" customHeight="1" x14ac:dyDescent="0.2">
      <c r="A64" s="25" t="s">
        <v>19</v>
      </c>
      <c r="B64" s="26" t="s">
        <v>19</v>
      </c>
      <c r="C64" s="26" t="s">
        <v>45</v>
      </c>
      <c r="D64" s="59">
        <f>ROUND(SUM(D56:D63),2)</f>
        <v>20.58</v>
      </c>
      <c r="E64" s="59">
        <f>ROUND(SUM(E56:E63),2)</f>
        <v>5.96</v>
      </c>
      <c r="F64" s="59"/>
      <c r="G64" s="59">
        <f>ROUND(SUM(G56:G63),2)</f>
        <v>78.61</v>
      </c>
      <c r="H64" s="59">
        <f>ROUND(D64+E64+F64+G64,2)</f>
        <v>105.15</v>
      </c>
    </row>
    <row r="65" spans="1:8" ht="12.75" customHeight="1" x14ac:dyDescent="0.2">
      <c r="A65" s="25" t="s">
        <v>19</v>
      </c>
      <c r="B65" s="26" t="s">
        <v>19</v>
      </c>
      <c r="C65" s="26" t="s">
        <v>46</v>
      </c>
      <c r="D65" s="59">
        <f>ROUND(D64+D54,2)</f>
        <v>4136.26</v>
      </c>
      <c r="E65" s="59">
        <f>ROUND(E64+E54,2)</f>
        <v>1197.3</v>
      </c>
      <c r="F65" s="59">
        <f>ROUND(F64+F54,2)</f>
        <v>30856.15</v>
      </c>
      <c r="G65" s="59">
        <f>ROUND(G64+G54,2)</f>
        <v>90.29</v>
      </c>
      <c r="H65" s="59">
        <f>ROUND(D65+E65+F65+G65,2)</f>
        <v>36280</v>
      </c>
    </row>
    <row r="66" spans="1:8" x14ac:dyDescent="0.2">
      <c r="A66" s="281" t="s">
        <v>63</v>
      </c>
      <c r="B66" s="282"/>
      <c r="C66" s="282"/>
      <c r="D66" s="282"/>
      <c r="E66" s="282"/>
      <c r="F66" s="282"/>
      <c r="G66" s="282"/>
      <c r="H66" s="283"/>
    </row>
    <row r="67" spans="1:8" ht="68.25" customHeight="1" x14ac:dyDescent="0.2">
      <c r="A67" s="25" t="s">
        <v>142</v>
      </c>
      <c r="B67" s="6" t="s">
        <v>64</v>
      </c>
      <c r="C67" s="64" t="s">
        <v>151</v>
      </c>
      <c r="D67" s="7"/>
      <c r="E67" s="7"/>
      <c r="F67" s="7"/>
      <c r="G67" s="2">
        <f>ROUND((D65+E65+F65)*1.93/100,2)</f>
        <v>698.46</v>
      </c>
      <c r="H67" s="3">
        <f>G67</f>
        <v>698.46</v>
      </c>
    </row>
    <row r="68" spans="1:8" ht="14.25" customHeight="1" x14ac:dyDescent="0.2">
      <c r="A68" s="25"/>
      <c r="B68" s="6"/>
      <c r="C68" s="8" t="s">
        <v>65</v>
      </c>
      <c r="D68" s="7"/>
      <c r="E68" s="7"/>
      <c r="F68" s="7"/>
      <c r="G68" s="2">
        <f>G67</f>
        <v>698.46</v>
      </c>
      <c r="H68" s="3">
        <f>H67</f>
        <v>698.46</v>
      </c>
    </row>
    <row r="69" spans="1:8" ht="58.9" customHeight="1" x14ac:dyDescent="0.2">
      <c r="A69" s="276" t="s">
        <v>47</v>
      </c>
      <c r="B69" s="277"/>
      <c r="C69" s="277"/>
      <c r="D69" s="277"/>
      <c r="E69" s="277"/>
      <c r="F69" s="277"/>
      <c r="G69" s="277"/>
      <c r="H69" s="277"/>
    </row>
    <row r="70" spans="1:8" ht="22.5" x14ac:dyDescent="0.2">
      <c r="A70" s="22" t="s">
        <v>143</v>
      </c>
      <c r="B70" s="6" t="s">
        <v>156</v>
      </c>
      <c r="C70" s="64" t="s">
        <v>66</v>
      </c>
      <c r="D70" s="7"/>
      <c r="E70" s="7"/>
      <c r="F70" s="7"/>
      <c r="G70" s="60">
        <v>576.66999999999996</v>
      </c>
      <c r="H70" s="60">
        <f t="shared" ref="H70:H76" si="1">G70</f>
        <v>576.66999999999996</v>
      </c>
    </row>
    <row r="71" spans="1:8" ht="22.5" x14ac:dyDescent="0.2">
      <c r="A71" s="22" t="s">
        <v>144</v>
      </c>
      <c r="B71" s="6" t="s">
        <v>156</v>
      </c>
      <c r="C71" s="64" t="s">
        <v>67</v>
      </c>
      <c r="D71" s="7"/>
      <c r="E71" s="7"/>
      <c r="F71" s="7"/>
      <c r="G71" s="60">
        <v>732.16</v>
      </c>
      <c r="H71" s="60">
        <f t="shared" si="1"/>
        <v>732.16</v>
      </c>
    </row>
    <row r="72" spans="1:8" ht="22.5" x14ac:dyDescent="0.2">
      <c r="A72" s="22" t="s">
        <v>145</v>
      </c>
      <c r="B72" s="6" t="s">
        <v>156</v>
      </c>
      <c r="C72" s="64" t="s">
        <v>99</v>
      </c>
      <c r="D72" s="7"/>
      <c r="E72" s="7"/>
      <c r="F72" s="7"/>
      <c r="G72" s="60">
        <v>922.48</v>
      </c>
      <c r="H72" s="60">
        <f t="shared" si="1"/>
        <v>922.48</v>
      </c>
    </row>
    <row r="73" spans="1:8" ht="33.75" customHeight="1" x14ac:dyDescent="0.2">
      <c r="A73" s="22" t="s">
        <v>129</v>
      </c>
      <c r="B73" s="6" t="s">
        <v>155</v>
      </c>
      <c r="C73" s="65" t="s">
        <v>68</v>
      </c>
      <c r="D73" s="7"/>
      <c r="E73" s="7"/>
      <c r="F73" s="7"/>
      <c r="G73" s="60">
        <f>ROUND(H65*0.2/100,2)</f>
        <v>72.56</v>
      </c>
      <c r="H73" s="60">
        <f t="shared" si="1"/>
        <v>72.56</v>
      </c>
    </row>
    <row r="74" spans="1:8" ht="26.25" customHeight="1" x14ac:dyDescent="0.2">
      <c r="A74" s="22" t="s">
        <v>146</v>
      </c>
      <c r="B74" s="6" t="s">
        <v>69</v>
      </c>
      <c r="C74" s="64" t="s">
        <v>70</v>
      </c>
      <c r="D74" s="7"/>
      <c r="E74" s="7"/>
      <c r="F74" s="7"/>
      <c r="G74" s="60">
        <v>10.15</v>
      </c>
      <c r="H74" s="60">
        <f t="shared" si="1"/>
        <v>10.15</v>
      </c>
    </row>
    <row r="75" spans="1:8" ht="36" customHeight="1" x14ac:dyDescent="0.2">
      <c r="A75" s="22" t="s">
        <v>147</v>
      </c>
      <c r="B75" s="6" t="s">
        <v>107</v>
      </c>
      <c r="C75" s="63" t="s">
        <v>154</v>
      </c>
      <c r="D75" s="7"/>
      <c r="E75" s="7"/>
      <c r="F75" s="7"/>
      <c r="G75" s="60">
        <f xml:space="preserve"> ROUND((G70+G72)*11.88%,2)</f>
        <v>178.1</v>
      </c>
      <c r="H75" s="60">
        <f t="shared" si="1"/>
        <v>178.1</v>
      </c>
    </row>
    <row r="76" spans="1:8" ht="44.25" customHeight="1" x14ac:dyDescent="0.2">
      <c r="A76" s="22" t="s">
        <v>148</v>
      </c>
      <c r="B76" s="6" t="s">
        <v>72</v>
      </c>
      <c r="C76" s="63" t="s">
        <v>73</v>
      </c>
      <c r="D76" s="7"/>
      <c r="E76" s="7"/>
      <c r="F76" s="7"/>
      <c r="G76" s="60">
        <f>ROUND(205.902/6.18,2)</f>
        <v>33.32</v>
      </c>
      <c r="H76" s="60">
        <f t="shared" si="1"/>
        <v>33.32</v>
      </c>
    </row>
    <row r="77" spans="1:8" ht="15" customHeight="1" x14ac:dyDescent="0.2">
      <c r="A77" s="22"/>
      <c r="B77" s="62"/>
      <c r="C77" s="8" t="s">
        <v>71</v>
      </c>
      <c r="D77" s="61"/>
      <c r="E77" s="61"/>
      <c r="F77" s="61"/>
      <c r="G77" s="60">
        <f>ROUND(SUM(G70:G76),2)</f>
        <v>2525.44</v>
      </c>
      <c r="H77" s="60">
        <f>ROUND(SUM(H70:H76),2)</f>
        <v>2525.44</v>
      </c>
    </row>
    <row r="78" spans="1:8" ht="13.5" customHeight="1" x14ac:dyDescent="0.2">
      <c r="A78" s="25" t="s">
        <v>19</v>
      </c>
      <c r="B78" s="26" t="s">
        <v>19</v>
      </c>
      <c r="C78" s="26" t="s">
        <v>48</v>
      </c>
      <c r="D78" s="59">
        <f>ROUND(D65+D68+D77,2)</f>
        <v>4136.26</v>
      </c>
      <c r="E78" s="59">
        <f>ROUND(E65+E68+E77,2)</f>
        <v>1197.3</v>
      </c>
      <c r="F78" s="59">
        <f>ROUND(F65+F68+F77,2)</f>
        <v>30856.15</v>
      </c>
      <c r="G78" s="59">
        <f>ROUND(G65+G68+G77,2)</f>
        <v>3314.19</v>
      </c>
      <c r="H78" s="59">
        <f>ROUND(H65+H68+H77,2)</f>
        <v>39503.9</v>
      </c>
    </row>
    <row r="79" spans="1:8" x14ac:dyDescent="0.2">
      <c r="A79" s="276" t="s">
        <v>49</v>
      </c>
      <c r="B79" s="277"/>
      <c r="C79" s="277"/>
      <c r="D79" s="277"/>
      <c r="E79" s="277"/>
      <c r="F79" s="277"/>
      <c r="G79" s="277"/>
      <c r="H79" s="277"/>
    </row>
    <row r="80" spans="1:8" ht="38.25" customHeight="1" x14ac:dyDescent="0.2">
      <c r="A80" s="22" t="s">
        <v>149</v>
      </c>
      <c r="B80" s="26" t="s">
        <v>74</v>
      </c>
      <c r="C80" s="26" t="s">
        <v>75</v>
      </c>
      <c r="D80" s="59">
        <f>ROUND(D78*2/100,2)</f>
        <v>82.73</v>
      </c>
      <c r="E80" s="59">
        <f>ROUND(E78*2/100,2)</f>
        <v>23.95</v>
      </c>
      <c r="F80" s="59">
        <f>ROUND(F78*2/100,2)</f>
        <v>617.12</v>
      </c>
      <c r="G80" s="59">
        <f>ROUND(G78*2/100,2)</f>
        <v>66.28</v>
      </c>
      <c r="H80" s="59">
        <f>ROUND(G80+F80+E80+D80,2)</f>
        <v>790.08</v>
      </c>
    </row>
    <row r="81" spans="1:8" ht="12" customHeight="1" x14ac:dyDescent="0.2">
      <c r="A81" s="54"/>
      <c r="B81" s="26" t="s">
        <v>19</v>
      </c>
      <c r="C81" s="26" t="s">
        <v>76</v>
      </c>
      <c r="D81" s="59">
        <f>D80</f>
        <v>82.73</v>
      </c>
      <c r="E81" s="59">
        <f>E80</f>
        <v>23.95</v>
      </c>
      <c r="F81" s="59">
        <f>F80</f>
        <v>617.12</v>
      </c>
      <c r="G81" s="59">
        <f>G80</f>
        <v>66.28</v>
      </c>
      <c r="H81" s="59">
        <f>ROUND(G81+F81+E81+D81,2)</f>
        <v>790.08</v>
      </c>
    </row>
    <row r="82" spans="1:8" ht="12" customHeight="1" x14ac:dyDescent="0.2">
      <c r="A82" s="25" t="s">
        <v>19</v>
      </c>
      <c r="B82" s="26" t="s">
        <v>19</v>
      </c>
      <c r="C82" s="26" t="s">
        <v>50</v>
      </c>
      <c r="D82" s="59">
        <f>ROUND(D78+D81,2)</f>
        <v>4218.99</v>
      </c>
      <c r="E82" s="59">
        <f>ROUND(E78+E81,2)</f>
        <v>1221.25</v>
      </c>
      <c r="F82" s="59">
        <f>ROUND(F78+F81,2)</f>
        <v>31473.27</v>
      </c>
      <c r="G82" s="59">
        <f>ROUND(G78+G81,2)</f>
        <v>3380.47</v>
      </c>
      <c r="H82" s="59">
        <f>ROUND(G82+F82+E82+D82,2)</f>
        <v>40293.980000000003</v>
      </c>
    </row>
    <row r="83" spans="1:8" ht="13.5" customHeight="1" x14ac:dyDescent="0.2">
      <c r="A83" s="25" t="s">
        <v>19</v>
      </c>
      <c r="B83" s="26" t="s">
        <v>19</v>
      </c>
      <c r="C83" s="26" t="s">
        <v>52</v>
      </c>
      <c r="D83" s="59">
        <f>D82</f>
        <v>4218.99</v>
      </c>
      <c r="E83" s="59">
        <f>E82</f>
        <v>1221.25</v>
      </c>
      <c r="F83" s="59">
        <f>F82</f>
        <v>31473.27</v>
      </c>
      <c r="G83" s="59">
        <f>G82</f>
        <v>3380.47</v>
      </c>
      <c r="H83" s="59">
        <v>40293.980000000003</v>
      </c>
    </row>
    <row r="84" spans="1:8" x14ac:dyDescent="0.2">
      <c r="A84" s="27"/>
      <c r="B84" s="40"/>
      <c r="C84" s="41"/>
      <c r="D84" s="42"/>
      <c r="E84" s="42"/>
      <c r="F84" s="42"/>
      <c r="G84" s="28"/>
      <c r="H84" s="28"/>
    </row>
    <row r="85" spans="1:8" x14ac:dyDescent="0.2">
      <c r="A85" s="29"/>
      <c r="B85" s="43"/>
      <c r="C85" s="43" t="s">
        <v>157</v>
      </c>
      <c r="D85" s="44"/>
      <c r="E85" s="44"/>
      <c r="F85" s="45" t="s">
        <v>111</v>
      </c>
      <c r="G85" s="33"/>
      <c r="H85" s="33"/>
    </row>
    <row r="86" spans="1:8" x14ac:dyDescent="0.2">
      <c r="A86" s="29"/>
      <c r="B86" s="43"/>
      <c r="C86" s="43"/>
      <c r="D86" s="278" t="s">
        <v>158</v>
      </c>
      <c r="E86" s="278"/>
      <c r="F86" s="45"/>
      <c r="G86" s="33"/>
      <c r="H86" s="33"/>
    </row>
    <row r="87" spans="1:8" x14ac:dyDescent="0.2">
      <c r="A87" s="29"/>
      <c r="B87" s="43"/>
      <c r="C87" s="46"/>
      <c r="D87" s="47"/>
      <c r="E87" s="47"/>
      <c r="F87" s="47"/>
      <c r="G87" s="34"/>
      <c r="H87" s="33"/>
    </row>
    <row r="88" spans="1:8" x14ac:dyDescent="0.2">
      <c r="A88" s="29"/>
      <c r="B88" s="43"/>
      <c r="C88" s="43" t="s">
        <v>162</v>
      </c>
      <c r="D88" s="44"/>
      <c r="E88" s="44"/>
      <c r="F88" s="45" t="s">
        <v>112</v>
      </c>
      <c r="G88" s="33"/>
      <c r="H88" s="33"/>
    </row>
    <row r="89" spans="1:8" ht="28.15" customHeight="1" x14ac:dyDescent="0.2">
      <c r="A89" s="29"/>
      <c r="B89" s="43"/>
      <c r="C89" s="43"/>
      <c r="D89" s="278" t="s">
        <v>158</v>
      </c>
      <c r="E89" s="278"/>
      <c r="F89" s="45"/>
      <c r="G89" s="33"/>
      <c r="H89" s="33"/>
    </row>
    <row r="90" spans="1:8" x14ac:dyDescent="0.2">
      <c r="A90" s="29"/>
      <c r="B90" s="43"/>
      <c r="C90" s="46"/>
      <c r="D90" s="47"/>
      <c r="E90" s="47"/>
      <c r="F90" s="47"/>
      <c r="G90" s="34"/>
      <c r="H90" s="33"/>
    </row>
    <row r="91" spans="1:8" ht="39.6" customHeight="1" x14ac:dyDescent="0.2">
      <c r="A91" s="29"/>
      <c r="B91" s="43"/>
      <c r="C91" s="48" t="s">
        <v>159</v>
      </c>
      <c r="D91" s="45"/>
      <c r="E91" s="45"/>
      <c r="F91" s="45" t="s">
        <v>110</v>
      </c>
      <c r="G91" s="33"/>
      <c r="H91" s="33"/>
    </row>
    <row r="92" spans="1:8" ht="36" customHeight="1" x14ac:dyDescent="0.2">
      <c r="A92" s="30"/>
      <c r="B92" s="49"/>
      <c r="C92" s="48"/>
      <c r="D92" s="279" t="s">
        <v>160</v>
      </c>
      <c r="E92" s="279"/>
      <c r="F92" s="50"/>
      <c r="G92" s="31"/>
      <c r="H92" s="31"/>
    </row>
    <row r="93" spans="1:8" ht="13.15" customHeight="1" x14ac:dyDescent="0.2">
      <c r="A93" s="29"/>
      <c r="B93" s="43"/>
      <c r="C93" s="51" t="s">
        <v>161</v>
      </c>
      <c r="D93" s="44"/>
      <c r="E93" s="44"/>
      <c r="F93" s="45" t="s">
        <v>113</v>
      </c>
      <c r="G93" s="33"/>
      <c r="H93" s="33"/>
    </row>
    <row r="94" spans="1:8" ht="36" customHeight="1" x14ac:dyDescent="0.2">
      <c r="A94" s="30"/>
      <c r="B94" s="49"/>
      <c r="C94" s="48"/>
      <c r="D94" s="279" t="s">
        <v>160</v>
      </c>
      <c r="E94" s="279"/>
      <c r="F94" s="50"/>
      <c r="G94" s="35"/>
      <c r="H94" s="35"/>
    </row>
    <row r="95" spans="1:8" x14ac:dyDescent="0.2">
      <c r="A95" s="58"/>
      <c r="B95" s="58"/>
      <c r="C95" s="58"/>
      <c r="D95" s="58"/>
      <c r="E95" s="58"/>
      <c r="F95" s="58"/>
      <c r="G95" s="58"/>
      <c r="H95" s="58"/>
    </row>
  </sheetData>
  <mergeCells count="31">
    <mergeCell ref="A66:H66"/>
    <mergeCell ref="G20:G22"/>
    <mergeCell ref="H20:H22"/>
    <mergeCell ref="C14:G14"/>
    <mergeCell ref="C3:G3"/>
    <mergeCell ref="C4:G4"/>
    <mergeCell ref="C8:G8"/>
    <mergeCell ref="C9:G9"/>
    <mergeCell ref="C13:G13"/>
    <mergeCell ref="B16:H16"/>
    <mergeCell ref="B19:B22"/>
    <mergeCell ref="C19:C22"/>
    <mergeCell ref="D19:H19"/>
    <mergeCell ref="D20:D22"/>
    <mergeCell ref="E20:E22"/>
    <mergeCell ref="D86:E86"/>
    <mergeCell ref="D89:E89"/>
    <mergeCell ref="D92:E92"/>
    <mergeCell ref="D94:E94"/>
    <mergeCell ref="F20:F22"/>
    <mergeCell ref="A69:H69"/>
    <mergeCell ref="A79:H79"/>
    <mergeCell ref="A19:A22"/>
    <mergeCell ref="A24:H24"/>
    <mergeCell ref="A28:H28"/>
    <mergeCell ref="A38:H38"/>
    <mergeCell ref="A32:H32"/>
    <mergeCell ref="A42:H42"/>
    <mergeCell ref="A51:H51"/>
    <mergeCell ref="A35:H35"/>
    <mergeCell ref="A55:H55"/>
  </mergeCells>
  <pageMargins left="0.70866141732283472" right="0.70866141732283472" top="0.74803149606299213" bottom="0.74803149606299213" header="0.31496062992125984" footer="0.31496062992125984"/>
  <pageSetup paperSize="9" scale="90" fitToHeight="3" orientation="portrait" r:id="rId1"/>
  <headerFooter>
    <oddFooter>&amp;R&amp;P</oddFooter>
  </headerFooter>
  <rowBreaks count="1" manualBreakCount="1">
    <brk id="82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55" zoomScaleNormal="55" zoomScaleSheetLayoutView="55" workbookViewId="0">
      <selection activeCell="S59" sqref="S59"/>
    </sheetView>
  </sheetViews>
  <sheetFormatPr defaultRowHeight="12.75" x14ac:dyDescent="0.2"/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8"/>
  <sheetViews>
    <sheetView showGridLines="0" view="pageBreakPreview" topLeftCell="B76" zoomScale="150" zoomScaleNormal="100" zoomScaleSheetLayoutView="150" workbookViewId="0">
      <selection activeCell="J82" sqref="J82"/>
    </sheetView>
  </sheetViews>
  <sheetFormatPr defaultColWidth="8.85546875" defaultRowHeight="12.75" x14ac:dyDescent="0.2"/>
  <cols>
    <col min="1" max="1" width="4.5703125" style="24" hidden="1" customWidth="1"/>
    <col min="2" max="2" width="4.42578125" style="24" customWidth="1"/>
    <col min="3" max="3" width="9.5703125" style="24" customWidth="1"/>
    <col min="4" max="4" width="31" style="24" customWidth="1"/>
    <col min="5" max="5" width="13.140625" style="24" customWidth="1"/>
    <col min="6" max="6" width="11.140625" style="24" customWidth="1"/>
    <col min="7" max="7" width="9.5703125" style="24" customWidth="1"/>
    <col min="8" max="8" width="10.140625" style="24" customWidth="1"/>
    <col min="9" max="9" width="10" style="24" customWidth="1"/>
    <col min="10" max="16384" width="8.85546875" style="24"/>
  </cols>
  <sheetData>
    <row r="1" spans="2:9" x14ac:dyDescent="0.2">
      <c r="I1" s="76" t="s">
        <v>7</v>
      </c>
    </row>
    <row r="2" spans="2:9" x14ac:dyDescent="0.2">
      <c r="B2" s="11"/>
      <c r="C2" s="12"/>
      <c r="D2" s="13"/>
      <c r="E2" s="77"/>
      <c r="F2" s="77"/>
      <c r="G2" s="77"/>
      <c r="H2" s="77"/>
      <c r="I2" s="76" t="s">
        <v>6</v>
      </c>
    </row>
    <row r="3" spans="2:9" ht="32.25" customHeight="1" x14ac:dyDescent="0.2">
      <c r="B3" s="14"/>
      <c r="C3" s="15" t="s">
        <v>0</v>
      </c>
      <c r="D3" s="288" t="s">
        <v>114</v>
      </c>
      <c r="E3" s="288"/>
      <c r="F3" s="288"/>
      <c r="G3" s="288"/>
      <c r="H3" s="288"/>
      <c r="I3" s="68"/>
    </row>
    <row r="4" spans="2:9" x14ac:dyDescent="0.2">
      <c r="B4" s="14"/>
      <c r="C4" s="16"/>
      <c r="D4" s="287" t="s">
        <v>1</v>
      </c>
      <c r="E4" s="287"/>
      <c r="F4" s="287"/>
      <c r="G4" s="287"/>
      <c r="H4" s="287"/>
      <c r="I4" s="68"/>
    </row>
    <row r="5" spans="2:9" x14ac:dyDescent="0.2">
      <c r="B5" s="14"/>
      <c r="C5" s="16" t="s">
        <v>9</v>
      </c>
      <c r="D5" s="75"/>
      <c r="E5" s="68"/>
      <c r="F5" s="72"/>
      <c r="G5" s="68"/>
      <c r="H5" s="68"/>
      <c r="I5" s="68"/>
    </row>
    <row r="6" spans="2:9" x14ac:dyDescent="0.2">
      <c r="B6" s="14"/>
      <c r="C6" s="16"/>
      <c r="D6" s="17"/>
      <c r="E6" s="68"/>
      <c r="F6" s="72"/>
      <c r="G6" s="68"/>
      <c r="H6" s="68"/>
      <c r="I6" s="68"/>
    </row>
    <row r="7" spans="2:9" x14ac:dyDescent="0.2">
      <c r="B7" s="14"/>
      <c r="C7" s="18" t="s">
        <v>8</v>
      </c>
      <c r="D7" s="19"/>
      <c r="E7" s="53">
        <v>260379.32</v>
      </c>
      <c r="F7" s="74" t="s">
        <v>80</v>
      </c>
      <c r="G7" s="73"/>
      <c r="H7" s="73"/>
      <c r="I7" s="68"/>
    </row>
    <row r="8" spans="2:9" ht="27.75" customHeight="1" x14ac:dyDescent="0.2">
      <c r="B8" s="14"/>
      <c r="C8" s="16"/>
      <c r="D8" s="275"/>
      <c r="E8" s="275"/>
      <c r="F8" s="275"/>
      <c r="G8" s="275"/>
      <c r="H8" s="275"/>
      <c r="I8" s="68"/>
    </row>
    <row r="9" spans="2:9" x14ac:dyDescent="0.2">
      <c r="B9" s="14"/>
      <c r="C9" s="16"/>
      <c r="D9" s="287" t="s">
        <v>2</v>
      </c>
      <c r="E9" s="287"/>
      <c r="F9" s="287"/>
      <c r="G9" s="287"/>
      <c r="H9" s="287"/>
      <c r="I9" s="68"/>
    </row>
    <row r="10" spans="2:9" x14ac:dyDescent="0.2">
      <c r="B10" s="14"/>
      <c r="C10" s="16"/>
      <c r="D10" s="17"/>
      <c r="E10" s="68"/>
      <c r="F10" s="72"/>
      <c r="G10" s="68"/>
      <c r="H10" s="68"/>
      <c r="I10" s="68"/>
    </row>
    <row r="11" spans="2:9" x14ac:dyDescent="0.2">
      <c r="B11" s="14"/>
      <c r="C11" s="16"/>
      <c r="D11" s="17"/>
      <c r="E11" s="70"/>
      <c r="F11" s="70"/>
      <c r="G11" s="70"/>
      <c r="H11" s="70"/>
      <c r="I11" s="68"/>
    </row>
    <row r="12" spans="2:9" x14ac:dyDescent="0.2">
      <c r="B12" s="14"/>
      <c r="C12" s="16"/>
      <c r="D12" s="17"/>
      <c r="E12" s="71" t="s">
        <v>10</v>
      </c>
      <c r="F12" s="70"/>
      <c r="G12" s="70"/>
      <c r="H12" s="68"/>
      <c r="I12" s="68"/>
    </row>
    <row r="13" spans="2:9" ht="27.75" customHeight="1" x14ac:dyDescent="0.2">
      <c r="B13" s="14"/>
      <c r="C13" s="16"/>
      <c r="D13" s="275" t="s">
        <v>84</v>
      </c>
      <c r="E13" s="275"/>
      <c r="F13" s="275"/>
      <c r="G13" s="275"/>
      <c r="H13" s="275"/>
      <c r="I13" s="68"/>
    </row>
    <row r="14" spans="2:9" x14ac:dyDescent="0.2">
      <c r="B14" s="14"/>
      <c r="C14" s="16"/>
      <c r="D14" s="287" t="s">
        <v>3</v>
      </c>
      <c r="E14" s="287"/>
      <c r="F14" s="287"/>
      <c r="G14" s="287"/>
      <c r="H14" s="287"/>
      <c r="I14" s="68"/>
    </row>
    <row r="15" spans="2:9" x14ac:dyDescent="0.2">
      <c r="B15" s="14"/>
      <c r="C15" s="16"/>
      <c r="D15" s="17"/>
      <c r="E15" s="70"/>
      <c r="F15" s="70"/>
      <c r="G15" s="70"/>
      <c r="H15" s="70"/>
      <c r="I15" s="68"/>
    </row>
    <row r="16" spans="2:9" x14ac:dyDescent="0.2">
      <c r="B16" s="14"/>
      <c r="C16" s="289" t="s">
        <v>175</v>
      </c>
      <c r="D16" s="289"/>
      <c r="E16" s="289"/>
      <c r="F16" s="289"/>
      <c r="G16" s="289"/>
      <c r="H16" s="289"/>
      <c r="I16" s="289"/>
    </row>
    <row r="17" spans="2:9" x14ac:dyDescent="0.2">
      <c r="B17" s="14"/>
      <c r="C17" s="16"/>
      <c r="D17" s="17"/>
      <c r="E17" s="69"/>
      <c r="F17" s="68"/>
      <c r="G17" s="68"/>
      <c r="H17" s="68"/>
      <c r="I17" s="68"/>
    </row>
    <row r="18" spans="2:9" x14ac:dyDescent="0.2">
      <c r="B18" s="14"/>
      <c r="C18" s="16"/>
      <c r="D18" s="17"/>
      <c r="E18" s="68"/>
      <c r="F18" s="68"/>
      <c r="G18" s="68"/>
      <c r="H18" s="68"/>
      <c r="I18" s="68"/>
    </row>
    <row r="19" spans="2:9" ht="12.75" customHeight="1" x14ac:dyDescent="0.2">
      <c r="B19" s="280" t="s">
        <v>4</v>
      </c>
      <c r="C19" s="290" t="s">
        <v>11</v>
      </c>
      <c r="D19" s="280" t="s">
        <v>12</v>
      </c>
      <c r="E19" s="291" t="s">
        <v>55</v>
      </c>
      <c r="F19" s="292"/>
      <c r="G19" s="292"/>
      <c r="H19" s="292"/>
      <c r="I19" s="293"/>
    </row>
    <row r="20" spans="2:9" ht="27.75" customHeight="1" x14ac:dyDescent="0.2">
      <c r="B20" s="280"/>
      <c r="C20" s="290"/>
      <c r="D20" s="280"/>
      <c r="E20" s="280" t="s">
        <v>13</v>
      </c>
      <c r="F20" s="280" t="s">
        <v>5</v>
      </c>
      <c r="G20" s="280" t="s">
        <v>14</v>
      </c>
      <c r="H20" s="280" t="s">
        <v>15</v>
      </c>
      <c r="I20" s="284" t="s">
        <v>16</v>
      </c>
    </row>
    <row r="21" spans="2:9" ht="27.75" customHeight="1" x14ac:dyDescent="0.2">
      <c r="B21" s="280"/>
      <c r="C21" s="290"/>
      <c r="D21" s="280"/>
      <c r="E21" s="280"/>
      <c r="F21" s="280"/>
      <c r="G21" s="280"/>
      <c r="H21" s="280"/>
      <c r="I21" s="285"/>
    </row>
    <row r="22" spans="2:9" ht="27.75" customHeight="1" x14ac:dyDescent="0.2">
      <c r="B22" s="280"/>
      <c r="C22" s="290"/>
      <c r="D22" s="280"/>
      <c r="E22" s="280"/>
      <c r="F22" s="280"/>
      <c r="G22" s="280"/>
      <c r="H22" s="280"/>
      <c r="I22" s="286"/>
    </row>
    <row r="23" spans="2:9" x14ac:dyDescent="0.2">
      <c r="B23" s="20">
        <v>1</v>
      </c>
      <c r="C23" s="20">
        <v>2</v>
      </c>
      <c r="D23" s="20">
        <v>3</v>
      </c>
      <c r="E23" s="20">
        <v>4</v>
      </c>
      <c r="F23" s="20">
        <v>5</v>
      </c>
      <c r="G23" s="20">
        <v>6</v>
      </c>
      <c r="H23" s="20">
        <v>7</v>
      </c>
      <c r="I23" s="20">
        <v>8</v>
      </c>
    </row>
    <row r="24" spans="2:9" ht="17.850000000000001" customHeight="1" x14ac:dyDescent="0.2">
      <c r="B24" s="276" t="s">
        <v>17</v>
      </c>
      <c r="C24" s="277"/>
      <c r="D24" s="277"/>
      <c r="E24" s="277"/>
      <c r="F24" s="277"/>
      <c r="G24" s="277"/>
      <c r="H24" s="277"/>
      <c r="I24" s="277"/>
    </row>
    <row r="25" spans="2:9" ht="13.5" customHeight="1" x14ac:dyDescent="0.2">
      <c r="B25" s="25">
        <v>1</v>
      </c>
      <c r="C25" s="26" t="s">
        <v>53</v>
      </c>
      <c r="D25" s="1" t="s">
        <v>88</v>
      </c>
      <c r="E25" s="59">
        <v>501.43</v>
      </c>
      <c r="F25" s="59"/>
      <c r="G25" s="59"/>
      <c r="H25" s="59"/>
      <c r="I25" s="59">
        <v>501.43</v>
      </c>
    </row>
    <row r="26" spans="2:9" ht="35.25" customHeight="1" x14ac:dyDescent="0.2">
      <c r="B26" s="25" t="s">
        <v>119</v>
      </c>
      <c r="C26" s="26" t="s">
        <v>18</v>
      </c>
      <c r="D26" s="1" t="s">
        <v>54</v>
      </c>
      <c r="E26" s="59"/>
      <c r="F26" s="59"/>
      <c r="G26" s="59"/>
      <c r="H26" s="59">
        <v>71.28</v>
      </c>
      <c r="I26" s="59">
        <f>H26</f>
        <v>71.28</v>
      </c>
    </row>
    <row r="27" spans="2:9" ht="22.5" x14ac:dyDescent="0.2">
      <c r="B27" s="25" t="s">
        <v>19</v>
      </c>
      <c r="C27" s="26" t="s">
        <v>19</v>
      </c>
      <c r="D27" s="26" t="s">
        <v>20</v>
      </c>
      <c r="E27" s="59">
        <f>ROUND(E25+E26,2)</f>
        <v>501.43</v>
      </c>
      <c r="F27" s="59"/>
      <c r="G27" s="59"/>
      <c r="H27" s="59">
        <f>ROUND(H25+H26,2)</f>
        <v>71.28</v>
      </c>
      <c r="I27" s="59">
        <f>ROUND(I25+I26,2)</f>
        <v>572.71</v>
      </c>
    </row>
    <row r="28" spans="2:9" ht="17.850000000000001" customHeight="1" x14ac:dyDescent="0.2">
      <c r="B28" s="276" t="s">
        <v>21</v>
      </c>
      <c r="C28" s="277"/>
      <c r="D28" s="277"/>
      <c r="E28" s="277"/>
      <c r="F28" s="277"/>
      <c r="G28" s="277"/>
      <c r="H28" s="277"/>
      <c r="I28" s="277"/>
    </row>
    <row r="29" spans="2:9" x14ac:dyDescent="0.2">
      <c r="B29" s="25" t="s">
        <v>120</v>
      </c>
      <c r="C29" s="26" t="s">
        <v>22</v>
      </c>
      <c r="D29" s="26" t="s">
        <v>89</v>
      </c>
      <c r="E29" s="67">
        <v>7512.14</v>
      </c>
      <c r="F29" s="67"/>
      <c r="G29" s="67"/>
      <c r="H29" s="67"/>
      <c r="I29" s="67">
        <v>7512.14</v>
      </c>
    </row>
    <row r="30" spans="2:9" x14ac:dyDescent="0.2">
      <c r="B30" s="25" t="s">
        <v>121</v>
      </c>
      <c r="C30" s="26" t="s">
        <v>108</v>
      </c>
      <c r="D30" s="26" t="s">
        <v>106</v>
      </c>
      <c r="E30" s="67"/>
      <c r="F30" s="67">
        <v>382.38</v>
      </c>
      <c r="G30" s="67">
        <v>1217.27</v>
      </c>
      <c r="H30" s="67"/>
      <c r="I30" s="67">
        <v>1599.65</v>
      </c>
    </row>
    <row r="31" spans="2:9" ht="22.5" x14ac:dyDescent="0.2">
      <c r="B31" s="25" t="s">
        <v>19</v>
      </c>
      <c r="C31" s="26" t="s">
        <v>19</v>
      </c>
      <c r="D31" s="26" t="s">
        <v>23</v>
      </c>
      <c r="E31" s="67">
        <v>7512.14</v>
      </c>
      <c r="F31" s="67">
        <v>382.38</v>
      </c>
      <c r="G31" s="67">
        <v>1217.27</v>
      </c>
      <c r="H31" s="67"/>
      <c r="I31" s="67">
        <v>9111.7900000000009</v>
      </c>
    </row>
    <row r="32" spans="2:9" x14ac:dyDescent="0.2">
      <c r="B32" s="276" t="s">
        <v>86</v>
      </c>
      <c r="C32" s="277"/>
      <c r="D32" s="277"/>
      <c r="E32" s="277"/>
      <c r="F32" s="277"/>
      <c r="G32" s="277"/>
      <c r="H32" s="277"/>
      <c r="I32" s="277"/>
    </row>
    <row r="33" spans="2:9" x14ac:dyDescent="0.2">
      <c r="B33" s="25" t="s">
        <v>122</v>
      </c>
      <c r="C33" s="10" t="s">
        <v>90</v>
      </c>
      <c r="D33" s="21" t="s">
        <v>91</v>
      </c>
      <c r="E33" s="59">
        <v>409.02</v>
      </c>
      <c r="F33" s="59">
        <v>3075.83</v>
      </c>
      <c r="G33" s="59">
        <v>261.8</v>
      </c>
      <c r="H33" s="59"/>
      <c r="I33" s="59">
        <v>3746.65</v>
      </c>
    </row>
    <row r="34" spans="2:9" ht="22.5" x14ac:dyDescent="0.2">
      <c r="B34" s="25"/>
      <c r="C34" s="26"/>
      <c r="D34" s="26" t="s">
        <v>87</v>
      </c>
      <c r="E34" s="59">
        <v>409.02</v>
      </c>
      <c r="F34" s="59">
        <v>3075.83</v>
      </c>
      <c r="G34" s="59">
        <v>261.8</v>
      </c>
      <c r="H34" s="59"/>
      <c r="I34" s="59">
        <v>3746.65</v>
      </c>
    </row>
    <row r="35" spans="2:9" x14ac:dyDescent="0.2">
      <c r="B35" s="276" t="s">
        <v>24</v>
      </c>
      <c r="C35" s="277"/>
      <c r="D35" s="277"/>
      <c r="E35" s="277"/>
      <c r="F35" s="277"/>
      <c r="G35" s="277"/>
      <c r="H35" s="277"/>
      <c r="I35" s="277"/>
    </row>
    <row r="36" spans="2:9" x14ac:dyDescent="0.2">
      <c r="B36" s="25" t="s">
        <v>123</v>
      </c>
      <c r="C36" s="10" t="s">
        <v>25</v>
      </c>
      <c r="D36" s="21" t="s">
        <v>26</v>
      </c>
      <c r="E36" s="59">
        <v>958.37</v>
      </c>
      <c r="F36" s="59">
        <v>249.85</v>
      </c>
      <c r="G36" s="59"/>
      <c r="H36" s="59"/>
      <c r="I36" s="59">
        <v>1208.22</v>
      </c>
    </row>
    <row r="37" spans="2:9" ht="22.5" x14ac:dyDescent="0.2">
      <c r="B37" s="25"/>
      <c r="C37" s="26"/>
      <c r="D37" s="26" t="s">
        <v>27</v>
      </c>
      <c r="E37" s="59">
        <v>958.37</v>
      </c>
      <c r="F37" s="59">
        <v>249.85</v>
      </c>
      <c r="G37" s="59"/>
      <c r="H37" s="59"/>
      <c r="I37" s="59">
        <v>1208.22</v>
      </c>
    </row>
    <row r="38" spans="2:9" ht="26.1" customHeight="1" x14ac:dyDescent="0.2">
      <c r="B38" s="276" t="s">
        <v>28</v>
      </c>
      <c r="C38" s="277"/>
      <c r="D38" s="277"/>
      <c r="E38" s="277"/>
      <c r="F38" s="277"/>
      <c r="G38" s="277"/>
      <c r="H38" s="277"/>
      <c r="I38" s="277"/>
    </row>
    <row r="39" spans="2:9" x14ac:dyDescent="0.2">
      <c r="B39" s="25" t="s">
        <v>124</v>
      </c>
      <c r="C39" s="10" t="s">
        <v>29</v>
      </c>
      <c r="D39" s="21" t="s">
        <v>92</v>
      </c>
      <c r="E39" s="59">
        <v>687.33</v>
      </c>
      <c r="F39" s="59"/>
      <c r="G39" s="59"/>
      <c r="H39" s="59"/>
      <c r="I39" s="59">
        <v>687.33</v>
      </c>
    </row>
    <row r="40" spans="2:9" x14ac:dyDescent="0.2">
      <c r="B40" s="25" t="s">
        <v>125</v>
      </c>
      <c r="C40" s="10" t="s">
        <v>31</v>
      </c>
      <c r="D40" s="21" t="s">
        <v>30</v>
      </c>
      <c r="E40" s="59">
        <v>64.13</v>
      </c>
      <c r="F40" s="59">
        <v>0.01</v>
      </c>
      <c r="G40" s="59"/>
      <c r="H40" s="59"/>
      <c r="I40" s="59">
        <v>64.14</v>
      </c>
    </row>
    <row r="41" spans="2:9" ht="45" x14ac:dyDescent="0.2">
      <c r="B41" s="25" t="s">
        <v>19</v>
      </c>
      <c r="C41" s="26" t="s">
        <v>19</v>
      </c>
      <c r="D41" s="26" t="s">
        <v>32</v>
      </c>
      <c r="E41" s="59">
        <v>751.46</v>
      </c>
      <c r="F41" s="59">
        <v>0.01</v>
      </c>
      <c r="G41" s="59"/>
      <c r="H41" s="59"/>
      <c r="I41" s="59">
        <v>751.47</v>
      </c>
    </row>
    <row r="42" spans="2:9" ht="17.850000000000001" customHeight="1" x14ac:dyDescent="0.2">
      <c r="B42" s="276" t="s">
        <v>33</v>
      </c>
      <c r="C42" s="277"/>
      <c r="D42" s="277"/>
      <c r="E42" s="277"/>
      <c r="F42" s="277"/>
      <c r="G42" s="277"/>
      <c r="H42" s="277"/>
      <c r="I42" s="277"/>
    </row>
    <row r="43" spans="2:9" x14ac:dyDescent="0.2">
      <c r="B43" s="25" t="s">
        <v>126</v>
      </c>
      <c r="C43" s="10" t="s">
        <v>34</v>
      </c>
      <c r="D43" s="21" t="s">
        <v>37</v>
      </c>
      <c r="E43" s="59">
        <v>13809.1</v>
      </c>
      <c r="F43" s="59"/>
      <c r="G43" s="59"/>
      <c r="H43" s="59"/>
      <c r="I43" s="59">
        <v>13809.1</v>
      </c>
    </row>
    <row r="44" spans="2:9" x14ac:dyDescent="0.2">
      <c r="B44" s="25" t="s">
        <v>127</v>
      </c>
      <c r="C44" s="10" t="s">
        <v>36</v>
      </c>
      <c r="D44" s="21" t="s">
        <v>93</v>
      </c>
      <c r="E44" s="59">
        <v>46.73</v>
      </c>
      <c r="F44" s="59"/>
      <c r="G44" s="59"/>
      <c r="H44" s="59"/>
      <c r="I44" s="59">
        <v>46.73</v>
      </c>
    </row>
    <row r="45" spans="2:9" x14ac:dyDescent="0.2">
      <c r="B45" s="25" t="s">
        <v>128</v>
      </c>
      <c r="C45" s="10" t="s">
        <v>94</v>
      </c>
      <c r="D45" s="21" t="s">
        <v>95</v>
      </c>
      <c r="E45" s="59">
        <v>8153.45</v>
      </c>
      <c r="F45" s="59"/>
      <c r="G45" s="59"/>
      <c r="H45" s="59"/>
      <c r="I45" s="59">
        <v>8153.45</v>
      </c>
    </row>
    <row r="46" spans="2:9" x14ac:dyDescent="0.2">
      <c r="B46" s="25" t="s">
        <v>130</v>
      </c>
      <c r="C46" s="10" t="s">
        <v>96</v>
      </c>
      <c r="D46" s="21" t="s">
        <v>97</v>
      </c>
      <c r="E46" s="59">
        <v>439.25</v>
      </c>
      <c r="F46" s="59"/>
      <c r="G46" s="59"/>
      <c r="H46" s="59"/>
      <c r="I46" s="59">
        <v>439.25</v>
      </c>
    </row>
    <row r="47" spans="2:9" x14ac:dyDescent="0.2">
      <c r="B47" s="25" t="s">
        <v>131</v>
      </c>
      <c r="C47" s="10" t="s">
        <v>98</v>
      </c>
      <c r="D47" s="21" t="s">
        <v>35</v>
      </c>
      <c r="E47" s="59">
        <v>48.47</v>
      </c>
      <c r="F47" s="59">
        <v>3076.29</v>
      </c>
      <c r="G47" s="59">
        <v>21.04</v>
      </c>
      <c r="H47" s="59"/>
      <c r="I47" s="59">
        <v>3145.8</v>
      </c>
    </row>
    <row r="48" spans="2:9" x14ac:dyDescent="0.2">
      <c r="B48" s="25" t="s">
        <v>132</v>
      </c>
      <c r="C48" s="25" t="s">
        <v>117</v>
      </c>
      <c r="D48" s="26" t="s">
        <v>118</v>
      </c>
      <c r="E48" s="59"/>
      <c r="F48" s="59">
        <v>2055.2600000000002</v>
      </c>
      <c r="G48" s="59">
        <v>148769.37</v>
      </c>
      <c r="H48" s="59"/>
      <c r="I48" s="59">
        <v>150824.63</v>
      </c>
    </row>
    <row r="49" spans="2:9" ht="22.5" x14ac:dyDescent="0.2">
      <c r="B49" s="25" t="s">
        <v>19</v>
      </c>
      <c r="C49" s="26" t="s">
        <v>19</v>
      </c>
      <c r="D49" s="26" t="s">
        <v>38</v>
      </c>
      <c r="E49" s="59">
        <v>22497</v>
      </c>
      <c r="F49" s="59">
        <v>5131.55</v>
      </c>
      <c r="G49" s="59">
        <v>148790.41</v>
      </c>
      <c r="H49" s="59"/>
      <c r="I49" s="59">
        <v>176418.96</v>
      </c>
    </row>
    <row r="50" spans="2:9" x14ac:dyDescent="0.2">
      <c r="B50" s="25" t="s">
        <v>19</v>
      </c>
      <c r="C50" s="26" t="s">
        <v>19</v>
      </c>
      <c r="D50" s="26" t="s">
        <v>39</v>
      </c>
      <c r="E50" s="59">
        <f>ROUND(E49+E41+E31+E27+E37+E34,2)</f>
        <v>32629.42</v>
      </c>
      <c r="F50" s="59">
        <f>ROUND(F49+F41+F31+F27+F37+F34,2)</f>
        <v>8839.6200000000008</v>
      </c>
      <c r="G50" s="59">
        <f>ROUND(G49+G41+G31+G27+G37+G34,2)</f>
        <v>150269.48000000001</v>
      </c>
      <c r="H50" s="59">
        <f>ROUND(H49+H41+H31+H27+H37+H34,2)</f>
        <v>71.28</v>
      </c>
      <c r="I50" s="59">
        <f>ROUND(I49+I41+I31+I27+I37+I34,2)</f>
        <v>191809.8</v>
      </c>
    </row>
    <row r="51" spans="2:9" ht="17.850000000000001" customHeight="1" x14ac:dyDescent="0.2">
      <c r="B51" s="276" t="s">
        <v>40</v>
      </c>
      <c r="C51" s="277"/>
      <c r="D51" s="277"/>
      <c r="E51" s="277"/>
      <c r="F51" s="277"/>
      <c r="G51" s="277"/>
      <c r="H51" s="277"/>
      <c r="I51" s="277"/>
    </row>
    <row r="52" spans="2:9" ht="70.5" customHeight="1" x14ac:dyDescent="0.2">
      <c r="B52" s="22" t="s">
        <v>133</v>
      </c>
      <c r="C52" s="26" t="s">
        <v>101</v>
      </c>
      <c r="D52" s="26" t="s">
        <v>102</v>
      </c>
      <c r="E52" s="59">
        <f>ROUND(E50*2.3/100,2)</f>
        <v>750.48</v>
      </c>
      <c r="F52" s="59">
        <f>ROUND(F50*2.3/100,2)</f>
        <v>203.31</v>
      </c>
      <c r="G52" s="59"/>
      <c r="H52" s="59"/>
      <c r="I52" s="59">
        <f>ROUND(E52+F52,2)</f>
        <v>953.79</v>
      </c>
    </row>
    <row r="53" spans="2:9" ht="27" customHeight="1" x14ac:dyDescent="0.2">
      <c r="B53" s="54"/>
      <c r="C53" s="26" t="s">
        <v>19</v>
      </c>
      <c r="D53" s="26" t="s">
        <v>56</v>
      </c>
      <c r="E53" s="59">
        <f>E52</f>
        <v>750.48</v>
      </c>
      <c r="F53" s="59">
        <f>F52</f>
        <v>203.31</v>
      </c>
      <c r="G53" s="59"/>
      <c r="H53" s="59"/>
      <c r="I53" s="59">
        <f>I52</f>
        <v>953.79</v>
      </c>
    </row>
    <row r="54" spans="2:9" x14ac:dyDescent="0.2">
      <c r="B54" s="25" t="s">
        <v>19</v>
      </c>
      <c r="C54" s="26" t="s">
        <v>19</v>
      </c>
      <c r="D54" s="26" t="s">
        <v>41</v>
      </c>
      <c r="E54" s="59">
        <f>ROUND(E50+E53,2)</f>
        <v>33379.9</v>
      </c>
      <c r="F54" s="59">
        <f>ROUND(F50+F53,2)</f>
        <v>9042.93</v>
      </c>
      <c r="G54" s="59">
        <f>ROUND(G50+G53,2)</f>
        <v>150269.48000000001</v>
      </c>
      <c r="H54" s="59">
        <f>ROUND(H50+H53,2)</f>
        <v>71.28</v>
      </c>
      <c r="I54" s="59">
        <f>ROUND(I50+I53,2)</f>
        <v>192763.59</v>
      </c>
    </row>
    <row r="55" spans="2:9" ht="17.850000000000001" customHeight="1" x14ac:dyDescent="0.2">
      <c r="B55" s="276" t="s">
        <v>42</v>
      </c>
      <c r="C55" s="277"/>
      <c r="D55" s="277"/>
      <c r="E55" s="277"/>
      <c r="F55" s="277"/>
      <c r="G55" s="277"/>
      <c r="H55" s="277"/>
      <c r="I55" s="277"/>
    </row>
    <row r="56" spans="2:9" x14ac:dyDescent="0.2">
      <c r="B56" s="25" t="s">
        <v>134</v>
      </c>
      <c r="C56" s="26" t="s">
        <v>43</v>
      </c>
      <c r="D56" s="26" t="s">
        <v>44</v>
      </c>
      <c r="E56" s="59"/>
      <c r="F56" s="59"/>
      <c r="G56" s="59"/>
      <c r="H56" s="59">
        <v>83.11</v>
      </c>
      <c r="I56" s="59">
        <v>83.11</v>
      </c>
    </row>
    <row r="57" spans="2:9" ht="45.75" customHeight="1" x14ac:dyDescent="0.2">
      <c r="B57" s="25" t="s">
        <v>135</v>
      </c>
      <c r="C57" s="26" t="s">
        <v>109</v>
      </c>
      <c r="D57" s="64" t="s">
        <v>62</v>
      </c>
      <c r="E57" s="60">
        <f>ROUND(E54*0.5/100,2)</f>
        <v>166.9</v>
      </c>
      <c r="F57" s="60">
        <f>ROUND(F54*0.5/100,2)</f>
        <v>45.21</v>
      </c>
      <c r="G57" s="60"/>
      <c r="H57" s="60"/>
      <c r="I57" s="60">
        <f>ROUND(E57+F57,2)</f>
        <v>212.11</v>
      </c>
    </row>
    <row r="58" spans="2:9" ht="22.5" x14ac:dyDescent="0.2">
      <c r="B58" s="25" t="s">
        <v>136</v>
      </c>
      <c r="C58" s="6" t="s">
        <v>57</v>
      </c>
      <c r="D58" s="64" t="s">
        <v>58</v>
      </c>
      <c r="E58" s="60"/>
      <c r="F58" s="60"/>
      <c r="G58" s="60"/>
      <c r="H58" s="60">
        <v>723.74</v>
      </c>
      <c r="I58" s="60">
        <f t="shared" ref="I58:I63" si="0">H58</f>
        <v>723.74</v>
      </c>
    </row>
    <row r="59" spans="2:9" ht="22.5" x14ac:dyDescent="0.2">
      <c r="B59" s="22" t="s">
        <v>137</v>
      </c>
      <c r="C59" s="6" t="s">
        <v>100</v>
      </c>
      <c r="D59" s="63" t="s">
        <v>152</v>
      </c>
      <c r="E59" s="79"/>
      <c r="F59" s="79"/>
      <c r="G59" s="79"/>
      <c r="H59" s="60">
        <v>52.62</v>
      </c>
      <c r="I59" s="60">
        <f t="shared" si="0"/>
        <v>52.62</v>
      </c>
    </row>
    <row r="60" spans="2:9" ht="22.5" x14ac:dyDescent="0.2">
      <c r="B60" s="22" t="s">
        <v>138</v>
      </c>
      <c r="C60" s="6" t="s">
        <v>83</v>
      </c>
      <c r="D60" s="63" t="s">
        <v>82</v>
      </c>
      <c r="E60" s="79"/>
      <c r="F60" s="79"/>
      <c r="G60" s="79"/>
      <c r="H60" s="60">
        <v>10.81</v>
      </c>
      <c r="I60" s="60">
        <f t="shared" si="0"/>
        <v>10.81</v>
      </c>
    </row>
    <row r="61" spans="2:9" ht="33.75" x14ac:dyDescent="0.2">
      <c r="B61" s="25" t="s">
        <v>139</v>
      </c>
      <c r="C61" s="6" t="s">
        <v>103</v>
      </c>
      <c r="D61" s="64" t="s">
        <v>59</v>
      </c>
      <c r="E61" s="60"/>
      <c r="F61" s="60"/>
      <c r="G61" s="60"/>
      <c r="H61" s="60">
        <f>96.2281+36.0993</f>
        <v>132.33000000000001</v>
      </c>
      <c r="I61" s="60">
        <f t="shared" si="0"/>
        <v>132.33000000000001</v>
      </c>
    </row>
    <row r="62" spans="2:9" ht="45" x14ac:dyDescent="0.2">
      <c r="B62" s="25" t="s">
        <v>140</v>
      </c>
      <c r="C62" s="6" t="s">
        <v>104</v>
      </c>
      <c r="D62" s="64" t="s">
        <v>60</v>
      </c>
      <c r="E62" s="60"/>
      <c r="F62" s="60"/>
      <c r="G62" s="60"/>
      <c r="H62" s="60">
        <v>0.27</v>
      </c>
      <c r="I62" s="60">
        <f t="shared" si="0"/>
        <v>0.27</v>
      </c>
    </row>
    <row r="63" spans="2:9" ht="45" x14ac:dyDescent="0.2">
      <c r="B63" s="25" t="s">
        <v>141</v>
      </c>
      <c r="C63" s="6" t="s">
        <v>105</v>
      </c>
      <c r="D63" s="64" t="s">
        <v>61</v>
      </c>
      <c r="E63" s="60"/>
      <c r="F63" s="60"/>
      <c r="G63" s="60"/>
      <c r="H63" s="60">
        <v>21.28</v>
      </c>
      <c r="I63" s="60">
        <f t="shared" si="0"/>
        <v>21.28</v>
      </c>
    </row>
    <row r="64" spans="2:9" ht="22.5" x14ac:dyDescent="0.2">
      <c r="B64" s="25"/>
      <c r="C64" s="26" t="s">
        <v>19</v>
      </c>
      <c r="D64" s="26" t="s">
        <v>45</v>
      </c>
      <c r="E64" s="59">
        <f>ROUND(SUM(E56:E63),2)</f>
        <v>166.9</v>
      </c>
      <c r="F64" s="59">
        <f>ROUND(SUM(F56:F63),2)</f>
        <v>45.21</v>
      </c>
      <c r="G64" s="59"/>
      <c r="H64" s="59">
        <f>ROUND(SUM(H56:H63),2)</f>
        <v>1024.1600000000001</v>
      </c>
      <c r="I64" s="59">
        <f>ROUND(SUM(I56:I63),2)</f>
        <v>1236.27</v>
      </c>
    </row>
    <row r="65" spans="2:9" x14ac:dyDescent="0.2">
      <c r="B65" s="25" t="s">
        <v>19</v>
      </c>
      <c r="C65" s="26" t="s">
        <v>19</v>
      </c>
      <c r="D65" s="26" t="s">
        <v>46</v>
      </c>
      <c r="E65" s="59">
        <f>ROUND(E64+E54,2)</f>
        <v>33546.800000000003</v>
      </c>
      <c r="F65" s="59">
        <f>ROUND(F64+F54,2)</f>
        <v>9088.14</v>
      </c>
      <c r="G65" s="59">
        <f>ROUND(G64+G54,2)</f>
        <v>150269.48000000001</v>
      </c>
      <c r="H65" s="59">
        <f>ROUND(H64+H54,2)</f>
        <v>1095.44</v>
      </c>
      <c r="I65" s="59">
        <f>ROUND(I64+I54,2)</f>
        <v>193999.86</v>
      </c>
    </row>
    <row r="66" spans="2:9" x14ac:dyDescent="0.2">
      <c r="B66" s="281" t="s">
        <v>63</v>
      </c>
      <c r="C66" s="282"/>
      <c r="D66" s="282"/>
      <c r="E66" s="282"/>
      <c r="F66" s="282"/>
      <c r="G66" s="282"/>
      <c r="H66" s="282"/>
      <c r="I66" s="283"/>
    </row>
    <row r="67" spans="2:9" ht="67.5" x14ac:dyDescent="0.2">
      <c r="B67" s="25" t="s">
        <v>142</v>
      </c>
      <c r="C67" s="6" t="s">
        <v>64</v>
      </c>
      <c r="D67" s="64" t="s">
        <v>151</v>
      </c>
      <c r="E67" s="7"/>
      <c r="F67" s="7"/>
      <c r="G67" s="7"/>
      <c r="H67" s="2">
        <f>(E65+F65+G65)*1.93/100</f>
        <v>3723.06</v>
      </c>
      <c r="I67" s="3">
        <f>H67</f>
        <v>3723.06</v>
      </c>
    </row>
    <row r="68" spans="2:9" x14ac:dyDescent="0.2">
      <c r="B68" s="25"/>
      <c r="C68" s="6"/>
      <c r="D68" s="8" t="s">
        <v>65</v>
      </c>
      <c r="E68" s="7"/>
      <c r="F68" s="7"/>
      <c r="G68" s="7"/>
      <c r="H68" s="2">
        <f>H67</f>
        <v>3723.06</v>
      </c>
      <c r="I68" s="3">
        <f>I67</f>
        <v>3723.06</v>
      </c>
    </row>
    <row r="69" spans="2:9" ht="65.099999999999994" customHeight="1" x14ac:dyDescent="0.2">
      <c r="B69" s="276" t="s">
        <v>47</v>
      </c>
      <c r="C69" s="277"/>
      <c r="D69" s="277"/>
      <c r="E69" s="277"/>
      <c r="F69" s="277"/>
      <c r="G69" s="277"/>
      <c r="H69" s="277"/>
      <c r="I69" s="277"/>
    </row>
    <row r="70" spans="2:9" ht="22.5" x14ac:dyDescent="0.2">
      <c r="B70" s="22" t="s">
        <v>143</v>
      </c>
      <c r="C70" s="6" t="s">
        <v>156</v>
      </c>
      <c r="D70" s="64" t="s">
        <v>66</v>
      </c>
      <c r="E70" s="79"/>
      <c r="F70" s="79"/>
      <c r="G70" s="79"/>
      <c r="H70" s="60">
        <v>3259.62</v>
      </c>
      <c r="I70" s="60">
        <f t="shared" ref="I70:I76" si="1">H70</f>
        <v>3259.62</v>
      </c>
    </row>
    <row r="71" spans="2:9" ht="22.5" x14ac:dyDescent="0.2">
      <c r="B71" s="22" t="s">
        <v>144</v>
      </c>
      <c r="C71" s="6" t="s">
        <v>156</v>
      </c>
      <c r="D71" s="64" t="s">
        <v>67</v>
      </c>
      <c r="E71" s="79"/>
      <c r="F71" s="79"/>
      <c r="G71" s="79"/>
      <c r="H71" s="60">
        <v>4138.53</v>
      </c>
      <c r="I71" s="60">
        <f t="shared" si="1"/>
        <v>4138.53</v>
      </c>
    </row>
    <row r="72" spans="2:9" ht="22.5" x14ac:dyDescent="0.2">
      <c r="B72" s="22" t="s">
        <v>145</v>
      </c>
      <c r="C72" s="6" t="s">
        <v>156</v>
      </c>
      <c r="D72" s="64" t="s">
        <v>99</v>
      </c>
      <c r="E72" s="79"/>
      <c r="F72" s="79"/>
      <c r="G72" s="79"/>
      <c r="H72" s="60">
        <v>5624.5</v>
      </c>
      <c r="I72" s="60">
        <f t="shared" si="1"/>
        <v>5624.5</v>
      </c>
    </row>
    <row r="73" spans="2:9" ht="33.75" x14ac:dyDescent="0.2">
      <c r="B73" s="22" t="s">
        <v>129</v>
      </c>
      <c r="C73" s="6" t="s">
        <v>155</v>
      </c>
      <c r="D73" s="65" t="s">
        <v>68</v>
      </c>
      <c r="E73" s="79"/>
      <c r="F73" s="79"/>
      <c r="G73" s="79"/>
      <c r="H73" s="60">
        <f>I65*0.2/100</f>
        <v>388</v>
      </c>
      <c r="I73" s="60">
        <f t="shared" si="1"/>
        <v>388</v>
      </c>
    </row>
    <row r="74" spans="2:9" ht="22.5" x14ac:dyDescent="0.2">
      <c r="B74" s="22" t="s">
        <v>146</v>
      </c>
      <c r="C74" s="6" t="s">
        <v>69</v>
      </c>
      <c r="D74" s="64" t="s">
        <v>70</v>
      </c>
      <c r="E74" s="79"/>
      <c r="F74" s="79"/>
      <c r="G74" s="79"/>
      <c r="H74" s="60">
        <v>131.01</v>
      </c>
      <c r="I74" s="60">
        <f t="shared" si="1"/>
        <v>131.01</v>
      </c>
    </row>
    <row r="75" spans="2:9" ht="38.25" customHeight="1" x14ac:dyDescent="0.2">
      <c r="B75" s="22" t="s">
        <v>147</v>
      </c>
      <c r="C75" s="6" t="s">
        <v>107</v>
      </c>
      <c r="D75" s="63" t="s">
        <v>153</v>
      </c>
      <c r="E75" s="79"/>
      <c r="F75" s="79"/>
      <c r="G75" s="79"/>
      <c r="H75" s="60">
        <f>ROUND((576.67*1.19+922.48*1.266)*11.88%*5.71,2)</f>
        <v>1257.72</v>
      </c>
      <c r="I75" s="60">
        <f t="shared" si="1"/>
        <v>1257.72</v>
      </c>
    </row>
    <row r="76" spans="2:9" ht="45" x14ac:dyDescent="0.2">
      <c r="B76" s="22" t="s">
        <v>148</v>
      </c>
      <c r="C76" s="6" t="s">
        <v>72</v>
      </c>
      <c r="D76" s="63" t="s">
        <v>73</v>
      </c>
      <c r="E76" s="79"/>
      <c r="F76" s="79"/>
      <c r="G76" s="79"/>
      <c r="H76" s="60">
        <v>205.9</v>
      </c>
      <c r="I76" s="60">
        <f t="shared" si="1"/>
        <v>205.9</v>
      </c>
    </row>
    <row r="77" spans="2:9" x14ac:dyDescent="0.2">
      <c r="B77" s="22"/>
      <c r="C77" s="62"/>
      <c r="D77" s="8" t="s">
        <v>71</v>
      </c>
      <c r="E77" s="78"/>
      <c r="F77" s="78"/>
      <c r="G77" s="78"/>
      <c r="H77" s="60">
        <f>ROUND(SUM(H70:H76),2)</f>
        <v>15005.28</v>
      </c>
      <c r="I77" s="60">
        <f>ROUND(SUM(I70:I76),2)</f>
        <v>15005.28</v>
      </c>
    </row>
    <row r="78" spans="2:9" x14ac:dyDescent="0.2">
      <c r="B78" s="25" t="s">
        <v>19</v>
      </c>
      <c r="C78" s="26" t="s">
        <v>19</v>
      </c>
      <c r="D78" s="26" t="s">
        <v>48</v>
      </c>
      <c r="E78" s="59">
        <f>ROUND(E65+E68+E77,2)</f>
        <v>33546.800000000003</v>
      </c>
      <c r="F78" s="59">
        <f>ROUND(F65+F68+F77,2)</f>
        <v>9088.14</v>
      </c>
      <c r="G78" s="59">
        <f>ROUND(G65+G68+G77,2)</f>
        <v>150269.48000000001</v>
      </c>
      <c r="H78" s="59">
        <f>ROUND(H65+H68+H77,2)</f>
        <v>19823.78</v>
      </c>
      <c r="I78" s="59">
        <f>ROUND(I65+I68+I77,2)</f>
        <v>212728.2</v>
      </c>
    </row>
    <row r="79" spans="2:9" ht="17.850000000000001" customHeight="1" x14ac:dyDescent="0.2">
      <c r="B79" s="276" t="s">
        <v>49</v>
      </c>
      <c r="C79" s="277"/>
      <c r="D79" s="277"/>
      <c r="E79" s="277"/>
      <c r="F79" s="277"/>
      <c r="G79" s="277"/>
      <c r="H79" s="277"/>
      <c r="I79" s="277"/>
    </row>
    <row r="80" spans="2:9" ht="39" customHeight="1" x14ac:dyDescent="0.2">
      <c r="B80" s="22" t="s">
        <v>149</v>
      </c>
      <c r="C80" s="26" t="s">
        <v>74</v>
      </c>
      <c r="D80" s="26" t="s">
        <v>75</v>
      </c>
      <c r="E80" s="59">
        <f>ROUND(E78*2/100,2)</f>
        <v>670.94</v>
      </c>
      <c r="F80" s="59">
        <f>ROUND(F78*2/100,2)</f>
        <v>181.76</v>
      </c>
      <c r="G80" s="59">
        <f>ROUND(G78*2/100,2)</f>
        <v>3005.39</v>
      </c>
      <c r="H80" s="59">
        <f>ROUND(H78*2/100,2)</f>
        <v>396.48</v>
      </c>
      <c r="I80" s="59">
        <f>ROUND(H80+G80+F80+E80,2)</f>
        <v>4254.57</v>
      </c>
    </row>
    <row r="81" spans="2:10" ht="17.850000000000001" customHeight="1" x14ac:dyDescent="0.2">
      <c r="B81" s="22"/>
      <c r="C81" s="26" t="s">
        <v>19</v>
      </c>
      <c r="D81" s="26" t="s">
        <v>76</v>
      </c>
      <c r="E81" s="59">
        <f>E80</f>
        <v>670.94</v>
      </c>
      <c r="F81" s="59">
        <f>F80</f>
        <v>181.76</v>
      </c>
      <c r="G81" s="59">
        <f>G80</f>
        <v>3005.39</v>
      </c>
      <c r="H81" s="59">
        <f>H80</f>
        <v>396.48</v>
      </c>
      <c r="I81" s="59">
        <f>I80</f>
        <v>4254.57</v>
      </c>
    </row>
    <row r="82" spans="2:10" ht="22.5" x14ac:dyDescent="0.2">
      <c r="B82" s="25" t="s">
        <v>19</v>
      </c>
      <c r="C82" s="26" t="s">
        <v>19</v>
      </c>
      <c r="D82" s="26" t="s">
        <v>50</v>
      </c>
      <c r="E82" s="59">
        <f>ROUND(E78+E81,2)</f>
        <v>34217.74</v>
      </c>
      <c r="F82" s="59">
        <f>ROUND(F78+F81,2)</f>
        <v>9269.9</v>
      </c>
      <c r="G82" s="59">
        <f>ROUND(G78+G81,2)</f>
        <v>153274.87</v>
      </c>
      <c r="H82" s="59">
        <f>ROUND(H78+H81,2)</f>
        <v>20220.259999999998</v>
      </c>
      <c r="I82" s="59">
        <f>ROUND(I78+I81,2)</f>
        <v>216982.77</v>
      </c>
      <c r="J82" s="272"/>
    </row>
    <row r="83" spans="2:10" ht="17.850000000000001" customHeight="1" x14ac:dyDescent="0.2">
      <c r="B83" s="276" t="s">
        <v>51</v>
      </c>
      <c r="C83" s="277"/>
      <c r="D83" s="277"/>
      <c r="E83" s="277"/>
      <c r="F83" s="277"/>
      <c r="G83" s="277"/>
      <c r="H83" s="277"/>
      <c r="I83" s="277"/>
    </row>
    <row r="84" spans="2:10" ht="24.75" customHeight="1" x14ac:dyDescent="0.2">
      <c r="B84" s="22" t="s">
        <v>150</v>
      </c>
      <c r="C84" s="26" t="s">
        <v>77</v>
      </c>
      <c r="D84" s="26" t="s">
        <v>78</v>
      </c>
      <c r="E84" s="59">
        <f>ROUND(E82*20/100,2)</f>
        <v>6843.55</v>
      </c>
      <c r="F84" s="59">
        <f>ROUND(F82*20/100,2)</f>
        <v>1853.98</v>
      </c>
      <c r="G84" s="59">
        <f>ROUND(G82*20/100,2)</f>
        <v>30654.97</v>
      </c>
      <c r="H84" s="59">
        <f>ROUND(H82*20%,2)</f>
        <v>4044.05</v>
      </c>
      <c r="I84" s="59">
        <f>ROUND(H84+G84+F84+E84,2)</f>
        <v>43396.55</v>
      </c>
    </row>
    <row r="85" spans="2:10" ht="17.850000000000001" customHeight="1" x14ac:dyDescent="0.2">
      <c r="B85" s="22"/>
      <c r="C85" s="26" t="s">
        <v>19</v>
      </c>
      <c r="D85" s="26" t="s">
        <v>79</v>
      </c>
      <c r="E85" s="59">
        <f>E84</f>
        <v>6843.55</v>
      </c>
      <c r="F85" s="59">
        <f>F84</f>
        <v>1853.98</v>
      </c>
      <c r="G85" s="59">
        <f>G84</f>
        <v>30654.97</v>
      </c>
      <c r="H85" s="59">
        <f>H84</f>
        <v>4044.05</v>
      </c>
      <c r="I85" s="59">
        <f>I84</f>
        <v>43396.55</v>
      </c>
    </row>
    <row r="86" spans="2:10" x14ac:dyDescent="0.2">
      <c r="B86" s="25" t="s">
        <v>19</v>
      </c>
      <c r="C86" s="26" t="s">
        <v>19</v>
      </c>
      <c r="D86" s="26" t="s">
        <v>52</v>
      </c>
      <c r="E86" s="59">
        <f>ROUND(E82+E85,2)</f>
        <v>41061.29</v>
      </c>
      <c r="F86" s="59">
        <f>ROUND(F82+F85,2)</f>
        <v>11123.88</v>
      </c>
      <c r="G86" s="59">
        <f>ROUND(G82+G85,2)</f>
        <v>183929.84</v>
      </c>
      <c r="H86" s="59">
        <f>ROUND(H82+H85,2)</f>
        <v>24264.31</v>
      </c>
      <c r="I86" s="59">
        <v>260379.32</v>
      </c>
    </row>
    <row r="87" spans="2:10" x14ac:dyDescent="0.2">
      <c r="B87" s="27"/>
      <c r="C87" s="40"/>
      <c r="D87" s="41"/>
      <c r="E87" s="42"/>
      <c r="F87" s="42"/>
      <c r="G87" s="42"/>
      <c r="H87" s="28"/>
      <c r="I87" s="28"/>
    </row>
    <row r="88" spans="2:10" ht="21" customHeight="1" x14ac:dyDescent="0.2">
      <c r="B88" s="29"/>
      <c r="C88" s="43"/>
      <c r="D88" s="43" t="s">
        <v>157</v>
      </c>
      <c r="E88" s="44"/>
      <c r="F88" s="44"/>
      <c r="G88" s="294" t="s">
        <v>111</v>
      </c>
      <c r="H88" s="294"/>
      <c r="I88" s="33"/>
    </row>
    <row r="89" spans="2:10" x14ac:dyDescent="0.2">
      <c r="B89" s="29"/>
      <c r="C89" s="43"/>
      <c r="D89" s="43"/>
      <c r="E89" s="278" t="s">
        <v>158</v>
      </c>
      <c r="F89" s="278"/>
      <c r="G89" s="45"/>
      <c r="H89" s="33"/>
      <c r="I89" s="33"/>
    </row>
    <row r="90" spans="2:10" x14ac:dyDescent="0.2">
      <c r="B90" s="29"/>
      <c r="C90" s="43"/>
      <c r="D90" s="46"/>
      <c r="E90" s="47"/>
      <c r="F90" s="47"/>
      <c r="G90" s="47"/>
      <c r="H90" s="34"/>
      <c r="I90" s="33"/>
    </row>
    <row r="91" spans="2:10" x14ac:dyDescent="0.2">
      <c r="B91" s="29"/>
      <c r="C91" s="43"/>
      <c r="D91" s="43" t="s">
        <v>162</v>
      </c>
      <c r="E91" s="44"/>
      <c r="F91" s="44"/>
      <c r="G91" s="295" t="s">
        <v>112</v>
      </c>
      <c r="H91" s="295"/>
      <c r="I91" s="33"/>
    </row>
    <row r="92" spans="2:10" x14ac:dyDescent="0.2">
      <c r="B92" s="29"/>
      <c r="C92" s="43"/>
      <c r="D92" s="43"/>
      <c r="E92" s="278" t="s">
        <v>158</v>
      </c>
      <c r="F92" s="278"/>
      <c r="G92" s="45"/>
      <c r="H92" s="33"/>
      <c r="I92" s="33"/>
    </row>
    <row r="93" spans="2:10" x14ac:dyDescent="0.2">
      <c r="B93" s="29"/>
      <c r="C93" s="43"/>
      <c r="D93" s="46"/>
      <c r="E93" s="47"/>
      <c r="F93" s="47"/>
      <c r="G93" s="47"/>
      <c r="H93" s="34"/>
      <c r="I93" s="33"/>
    </row>
    <row r="94" spans="2:10" ht="36" x14ac:dyDescent="0.2">
      <c r="B94" s="29"/>
      <c r="C94" s="43"/>
      <c r="D94" s="48" t="s">
        <v>159</v>
      </c>
      <c r="E94" s="45"/>
      <c r="F94" s="45"/>
      <c r="G94" s="45" t="s">
        <v>110</v>
      </c>
      <c r="H94" s="33"/>
      <c r="I94" s="33"/>
    </row>
    <row r="95" spans="2:10" ht="35.450000000000003" customHeight="1" x14ac:dyDescent="0.2">
      <c r="B95" s="30"/>
      <c r="C95" s="49"/>
      <c r="D95" s="48"/>
      <c r="E95" s="279" t="s">
        <v>160</v>
      </c>
      <c r="F95" s="279"/>
      <c r="G95" s="50"/>
      <c r="H95" s="31"/>
      <c r="I95" s="31"/>
    </row>
    <row r="96" spans="2:10" ht="43.9" customHeight="1" x14ac:dyDescent="0.2">
      <c r="B96" s="29"/>
      <c r="C96" s="43"/>
      <c r="D96" s="51" t="s">
        <v>161</v>
      </c>
      <c r="E96" s="44"/>
      <c r="F96" s="44"/>
      <c r="G96" s="295" t="s">
        <v>113</v>
      </c>
      <c r="H96" s="295"/>
      <c r="I96" s="33"/>
    </row>
    <row r="97" spans="2:9" ht="34.9" customHeight="1" x14ac:dyDescent="0.2">
      <c r="B97" s="30"/>
      <c r="C97" s="49"/>
      <c r="D97" s="48"/>
      <c r="E97" s="279" t="s">
        <v>160</v>
      </c>
      <c r="F97" s="279"/>
      <c r="G97" s="50"/>
      <c r="H97" s="35"/>
      <c r="I97" s="35"/>
    </row>
    <row r="98" spans="2:9" x14ac:dyDescent="0.2">
      <c r="B98" s="58"/>
      <c r="C98" s="58"/>
      <c r="D98" s="58"/>
      <c r="E98" s="58"/>
      <c r="F98" s="58"/>
      <c r="G98" s="58"/>
      <c r="H98" s="58"/>
      <c r="I98" s="58"/>
    </row>
  </sheetData>
  <mergeCells count="35">
    <mergeCell ref="D14:H14"/>
    <mergeCell ref="C16:I16"/>
    <mergeCell ref="B83:I83"/>
    <mergeCell ref="B42:I42"/>
    <mergeCell ref="B28:I28"/>
    <mergeCell ref="B38:I38"/>
    <mergeCell ref="B66:I66"/>
    <mergeCell ref="B32:I32"/>
    <mergeCell ref="D13:H13"/>
    <mergeCell ref="E89:F89"/>
    <mergeCell ref="E92:F92"/>
    <mergeCell ref="D3:H3"/>
    <mergeCell ref="B19:B22"/>
    <mergeCell ref="C19:C22"/>
    <mergeCell ref="D19:D22"/>
    <mergeCell ref="D9:H9"/>
    <mergeCell ref="D4:H4"/>
    <mergeCell ref="D8:H8"/>
    <mergeCell ref="E20:E22"/>
    <mergeCell ref="F20:F22"/>
    <mergeCell ref="G20:G22"/>
    <mergeCell ref="B35:I35"/>
    <mergeCell ref="B51:I51"/>
    <mergeCell ref="B55:I55"/>
    <mergeCell ref="E97:F97"/>
    <mergeCell ref="G88:H88"/>
    <mergeCell ref="H20:H22"/>
    <mergeCell ref="E19:I19"/>
    <mergeCell ref="I20:I22"/>
    <mergeCell ref="B69:I69"/>
    <mergeCell ref="B79:I79"/>
    <mergeCell ref="E95:F95"/>
    <mergeCell ref="B24:I24"/>
    <mergeCell ref="G91:H91"/>
    <mergeCell ref="G96:H96"/>
  </mergeCells>
  <pageMargins left="0.33" right="0.23622047244094491" top="0.35433070866141736" bottom="0.35433070866141736" header="0.19685039370078741" footer="0.19685039370078741"/>
  <pageSetup paperSize="9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P1" zoomScale="190" zoomScaleNormal="70" zoomScaleSheetLayoutView="190" workbookViewId="0">
      <selection activeCell="K40" sqref="K39:K40"/>
    </sheetView>
  </sheetViews>
  <sheetFormatPr defaultRowHeight="12.75" x14ac:dyDescent="0.2"/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7"/>
  <sheetViews>
    <sheetView workbookViewId="0">
      <selection activeCell="B7" sqref="B7:E7"/>
    </sheetView>
  </sheetViews>
  <sheetFormatPr defaultRowHeight="12.75" x14ac:dyDescent="0.2"/>
  <cols>
    <col min="6" max="6" width="28.5703125" customWidth="1"/>
  </cols>
  <sheetData>
    <row r="5" spans="1:7" x14ac:dyDescent="0.2">
      <c r="G5" s="24"/>
    </row>
    <row r="6" spans="1:7" x14ac:dyDescent="0.2">
      <c r="A6" s="81"/>
      <c r="B6" s="297"/>
      <c r="C6" s="298"/>
      <c r="D6" s="298"/>
      <c r="E6" s="299"/>
      <c r="F6" s="81" t="s">
        <v>177</v>
      </c>
      <c r="G6" s="24"/>
    </row>
    <row r="7" spans="1:7" ht="69" customHeight="1" x14ac:dyDescent="0.2">
      <c r="A7" s="80" t="s">
        <v>107</v>
      </c>
      <c r="B7" s="296" t="s">
        <v>176</v>
      </c>
      <c r="C7" s="296"/>
      <c r="D7" s="296"/>
      <c r="E7" s="296"/>
      <c r="F7" s="82">
        <f>((576.67*1.19+922.48*1.266)*11.88%*5.71)</f>
        <v>1257.72</v>
      </c>
      <c r="G7" s="24"/>
    </row>
  </sheetData>
  <mergeCells count="2">
    <mergeCell ref="B7:E7"/>
    <mergeCell ref="B6:E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68"/>
  <sheetViews>
    <sheetView showGridLines="0" topLeftCell="B30" zoomScale="80" zoomScaleNormal="80" zoomScaleSheetLayoutView="150" workbookViewId="0">
      <selection activeCell="L61" sqref="L61"/>
    </sheetView>
  </sheetViews>
  <sheetFormatPr defaultColWidth="8.85546875" defaultRowHeight="15.75" x14ac:dyDescent="0.25"/>
  <cols>
    <col min="1" max="1" width="4.5703125" style="91" hidden="1" customWidth="1"/>
    <col min="2" max="2" width="4.42578125" style="91" customWidth="1"/>
    <col min="3" max="3" width="28.42578125" style="91" customWidth="1"/>
    <col min="4" max="4" width="47.7109375" style="91" customWidth="1"/>
    <col min="5" max="5" width="28.5703125" style="91" customWidth="1"/>
    <col min="6" max="6" width="17.42578125" style="91" customWidth="1"/>
    <col min="7" max="7" width="21.85546875" style="91" customWidth="1"/>
    <col min="8" max="8" width="20" style="91" customWidth="1"/>
    <col min="9" max="9" width="20.28515625" style="91" customWidth="1"/>
    <col min="10" max="10" width="18" style="91" customWidth="1"/>
    <col min="11" max="11" width="15.5703125" style="91" customWidth="1"/>
    <col min="12" max="13" width="16" style="91" customWidth="1"/>
    <col min="14" max="14" width="28.7109375" style="91" customWidth="1"/>
    <col min="15" max="15" width="16" style="91" customWidth="1"/>
    <col min="16" max="16" width="24" style="91" customWidth="1"/>
    <col min="17" max="17" width="20.85546875" style="91" customWidth="1"/>
    <col min="18" max="18" width="22.85546875" style="91" customWidth="1"/>
    <col min="19" max="19" width="28.42578125" style="91" customWidth="1"/>
    <col min="20" max="20" width="18.42578125" style="91" customWidth="1"/>
    <col min="21" max="21" width="16" style="91" customWidth="1"/>
    <col min="22" max="22" width="11.85546875" style="91" bestFit="1" customWidth="1"/>
    <col min="23" max="16384" width="8.85546875" style="91"/>
  </cols>
  <sheetData>
    <row r="1" spans="1:22" s="83" customFormat="1" x14ac:dyDescent="0.25">
      <c r="A1" s="312" t="s">
        <v>186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V1" s="84"/>
    </row>
    <row r="2" spans="1:22" s="83" customFormat="1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V2" s="84"/>
    </row>
    <row r="3" spans="1:22" s="83" customFormat="1" x14ac:dyDescent="0.25">
      <c r="A3" s="100" t="s">
        <v>187</v>
      </c>
      <c r="B3" s="100"/>
      <c r="C3" s="313" t="s">
        <v>340</v>
      </c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V3" s="84"/>
    </row>
    <row r="4" spans="1:22" s="83" customFormat="1" x14ac:dyDescent="0.25">
      <c r="A4" s="86" t="s">
        <v>188</v>
      </c>
      <c r="B4" s="86"/>
      <c r="C4" s="86" t="s">
        <v>189</v>
      </c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V4" s="84"/>
    </row>
    <row r="5" spans="1:22" s="83" customFormat="1" x14ac:dyDescent="0.25">
      <c r="A5" s="101" t="s">
        <v>190</v>
      </c>
      <c r="B5" s="101" t="s">
        <v>190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V5" s="84"/>
    </row>
    <row r="6" spans="1:22" s="89" customFormat="1" ht="22.5" customHeight="1" x14ac:dyDescent="0.25">
      <c r="A6" s="88" t="s">
        <v>191</v>
      </c>
      <c r="B6" s="88" t="s">
        <v>343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V6" s="90"/>
    </row>
    <row r="7" spans="1:22" s="89" customFormat="1" ht="22.5" customHeight="1" x14ac:dyDescent="0.25">
      <c r="A7" s="314" t="s">
        <v>325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V7" s="90"/>
    </row>
    <row r="8" spans="1:22" s="83" customFormat="1" ht="27.75" customHeight="1" x14ac:dyDescent="0.25">
      <c r="A8" s="314" t="s">
        <v>342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V8" s="84"/>
    </row>
    <row r="9" spans="1:22" x14ac:dyDescent="0.25">
      <c r="B9" s="107"/>
      <c r="C9" s="108"/>
      <c r="D9" s="109"/>
      <c r="E9" s="110"/>
      <c r="F9" s="110"/>
      <c r="G9" s="110"/>
      <c r="H9" s="110"/>
      <c r="I9" s="110"/>
      <c r="J9" s="111"/>
    </row>
    <row r="10" spans="1:22" x14ac:dyDescent="0.25">
      <c r="B10" s="107"/>
      <c r="C10" s="316" t="s">
        <v>240</v>
      </c>
      <c r="D10" s="316"/>
      <c r="E10" s="316"/>
      <c r="F10" s="316"/>
      <c r="G10" s="316"/>
      <c r="H10" s="316"/>
      <c r="I10" s="316"/>
      <c r="J10" s="316"/>
    </row>
    <row r="11" spans="1:22" ht="12.75" customHeight="1" x14ac:dyDescent="0.25">
      <c r="B11" s="317" t="s">
        <v>4</v>
      </c>
      <c r="C11" s="318" t="s">
        <v>11</v>
      </c>
      <c r="D11" s="317" t="s">
        <v>12</v>
      </c>
      <c r="E11" s="319" t="s">
        <v>55</v>
      </c>
      <c r="F11" s="320"/>
      <c r="G11" s="320"/>
      <c r="H11" s="320"/>
      <c r="I11" s="320"/>
      <c r="J11" s="321"/>
      <c r="K11" s="93"/>
      <c r="L11" s="93"/>
      <c r="M11" s="93"/>
      <c r="N11" s="93"/>
      <c r="O11" s="93"/>
      <c r="P11" s="93"/>
    </row>
    <row r="12" spans="1:22" ht="179.25" customHeight="1" x14ac:dyDescent="0.25">
      <c r="B12" s="317"/>
      <c r="C12" s="318"/>
      <c r="D12" s="317"/>
      <c r="E12" s="125" t="s">
        <v>13</v>
      </c>
      <c r="F12" s="125" t="s">
        <v>5</v>
      </c>
      <c r="G12" s="126" t="s">
        <v>192</v>
      </c>
      <c r="H12" s="125" t="s">
        <v>14</v>
      </c>
      <c r="I12" s="125" t="s">
        <v>15</v>
      </c>
      <c r="J12" s="126" t="s">
        <v>16</v>
      </c>
      <c r="K12" s="125" t="s">
        <v>178</v>
      </c>
      <c r="L12" s="125" t="s">
        <v>179</v>
      </c>
      <c r="M12" s="125" t="s">
        <v>180</v>
      </c>
      <c r="N12" s="125" t="s">
        <v>198</v>
      </c>
      <c r="O12" s="125" t="s">
        <v>181</v>
      </c>
      <c r="P12" s="125" t="s">
        <v>182</v>
      </c>
      <c r="Q12" s="125" t="s">
        <v>183</v>
      </c>
      <c r="R12" s="125" t="s">
        <v>184</v>
      </c>
      <c r="S12" s="125" t="s">
        <v>345</v>
      </c>
      <c r="T12" s="125" t="s">
        <v>185</v>
      </c>
    </row>
    <row r="13" spans="1:22" ht="17.25" customHeight="1" x14ac:dyDescent="0.25">
      <c r="B13" s="112">
        <v>1</v>
      </c>
      <c r="C13" s="112">
        <v>2</v>
      </c>
      <c r="D13" s="112">
        <v>3</v>
      </c>
      <c r="E13" s="112"/>
      <c r="F13" s="112"/>
      <c r="G13" s="112">
        <v>4</v>
      </c>
      <c r="H13" s="112">
        <v>5</v>
      </c>
      <c r="I13" s="112">
        <v>6</v>
      </c>
      <c r="J13" s="112">
        <v>7</v>
      </c>
      <c r="K13" s="112">
        <v>8</v>
      </c>
      <c r="L13" s="112">
        <v>9</v>
      </c>
      <c r="M13" s="112">
        <v>10</v>
      </c>
      <c r="N13" s="112">
        <v>11</v>
      </c>
      <c r="O13" s="112">
        <v>12</v>
      </c>
      <c r="P13" s="112">
        <v>13</v>
      </c>
      <c r="Q13" s="112">
        <v>14</v>
      </c>
      <c r="R13" s="112">
        <v>15</v>
      </c>
      <c r="S13" s="112">
        <v>16</v>
      </c>
      <c r="T13" s="112">
        <v>17</v>
      </c>
    </row>
    <row r="14" spans="1:22" s="138" customFormat="1" ht="29.25" customHeight="1" x14ac:dyDescent="0.2">
      <c r="B14" s="139" t="s">
        <v>193</v>
      </c>
      <c r="C14" s="140"/>
      <c r="D14" s="102" t="s">
        <v>194</v>
      </c>
      <c r="E14" s="140"/>
      <c r="F14" s="140"/>
      <c r="G14" s="140"/>
      <c r="H14" s="140"/>
      <c r="I14" s="256">
        <f>I15+I16</f>
        <v>4221300.5999999996</v>
      </c>
      <c r="J14" s="256">
        <f t="shared" ref="J14:N14" si="0">J15+J16</f>
        <v>4221300.5999999996</v>
      </c>
      <c r="K14" s="141">
        <f t="shared" si="0"/>
        <v>0</v>
      </c>
      <c r="L14" s="141">
        <f t="shared" si="0"/>
        <v>0</v>
      </c>
      <c r="M14" s="141">
        <f t="shared" si="0"/>
        <v>0</v>
      </c>
      <c r="N14" s="256">
        <f t="shared" si="0"/>
        <v>4221300.5999999996</v>
      </c>
      <c r="O14" s="256"/>
      <c r="P14" s="256">
        <f t="shared" ref="P14" si="1">P15+P16</f>
        <v>4381570.4800000004</v>
      </c>
      <c r="Q14" s="141"/>
      <c r="R14" s="256">
        <f t="shared" ref="R14:T14" si="2">R15+R16</f>
        <v>4417743.41</v>
      </c>
      <c r="S14" s="256">
        <f t="shared" si="2"/>
        <v>4399656.95</v>
      </c>
      <c r="T14" s="141">
        <f t="shared" si="2"/>
        <v>0</v>
      </c>
      <c r="U14" s="268"/>
    </row>
    <row r="15" spans="1:22" s="103" customFormat="1" ht="27.75" customHeight="1" x14ac:dyDescent="0.2">
      <c r="B15" s="104"/>
      <c r="C15" s="104" t="s">
        <v>195</v>
      </c>
      <c r="D15" s="105" t="s">
        <v>196</v>
      </c>
      <c r="E15" s="104"/>
      <c r="F15" s="104"/>
      <c r="G15" s="104"/>
      <c r="H15" s="104"/>
      <c r="I15" s="257">
        <f>4138.53*1000</f>
        <v>4138530</v>
      </c>
      <c r="J15" s="257">
        <f>I15</f>
        <v>4138530</v>
      </c>
      <c r="K15" s="96"/>
      <c r="L15" s="96"/>
      <c r="M15" s="96"/>
      <c r="N15" s="170">
        <f>J15+K15+L15+M15</f>
        <v>4138530</v>
      </c>
      <c r="O15" s="258">
        <f>$O$45</f>
        <v>1.03796694230777</v>
      </c>
      <c r="P15" s="259">
        <f>N15*O15</f>
        <v>4295657.33</v>
      </c>
      <c r="Q15" s="97">
        <f>$H$57</f>
        <v>1.0082557000000001</v>
      </c>
      <c r="R15" s="170">
        <f>P15*Q15</f>
        <v>4331120.99</v>
      </c>
      <c r="S15" s="170">
        <f>P15+(R15-P15)*(1-50/100)</f>
        <v>4313389.16</v>
      </c>
      <c r="T15" s="98"/>
      <c r="U15" s="95"/>
    </row>
    <row r="16" spans="1:22" s="103" customFormat="1" ht="27" customHeight="1" x14ac:dyDescent="0.2">
      <c r="B16" s="104"/>
      <c r="C16" s="104"/>
      <c r="D16" s="106" t="s">
        <v>197</v>
      </c>
      <c r="E16" s="104"/>
      <c r="F16" s="104"/>
      <c r="G16" s="104"/>
      <c r="H16" s="104"/>
      <c r="I16" s="179">
        <f>I15*2%</f>
        <v>82770.600000000006</v>
      </c>
      <c r="J16" s="257">
        <f>I16</f>
        <v>82770.600000000006</v>
      </c>
      <c r="K16" s="96"/>
      <c r="L16" s="96"/>
      <c r="M16" s="96"/>
      <c r="N16" s="260">
        <f t="shared" ref="N16" si="3">J16+K16+L16+M16</f>
        <v>82770.600000000006</v>
      </c>
      <c r="O16" s="258">
        <f>$O$45</f>
        <v>1.03796694230777</v>
      </c>
      <c r="P16" s="259">
        <f>N16*O16</f>
        <v>85913.15</v>
      </c>
      <c r="Q16" s="97">
        <f>$H$57</f>
        <v>1.0082557000000001</v>
      </c>
      <c r="R16" s="170">
        <f>P16*Q16</f>
        <v>86622.42</v>
      </c>
      <c r="S16" s="170">
        <f>P16+(R16-P16)*(1-50/100)</f>
        <v>86267.79</v>
      </c>
      <c r="T16" s="98"/>
      <c r="U16" s="95"/>
    </row>
    <row r="17" spans="2:22" s="142" customFormat="1" ht="48" customHeight="1" x14ac:dyDescent="0.25">
      <c r="B17" s="139" t="s">
        <v>200</v>
      </c>
      <c r="C17" s="127"/>
      <c r="D17" s="102" t="s">
        <v>199</v>
      </c>
      <c r="E17" s="143">
        <f t="shared" ref="E17:N17" si="4">SUM(E18:E39)</f>
        <v>33282008.399999999</v>
      </c>
      <c r="F17" s="143">
        <f t="shared" si="4"/>
        <v>9016412.4000000004</v>
      </c>
      <c r="G17" s="143">
        <f t="shared" si="4"/>
        <v>42298420.799999997</v>
      </c>
      <c r="H17" s="143">
        <f t="shared" si="4"/>
        <v>153274869.59999999</v>
      </c>
      <c r="I17" s="143">
        <f t="shared" si="4"/>
        <v>1447064.95</v>
      </c>
      <c r="J17" s="143">
        <f t="shared" si="4"/>
        <v>197020355.34999999</v>
      </c>
      <c r="K17" s="143">
        <f t="shared" si="4"/>
        <v>972863.68</v>
      </c>
      <c r="L17" s="143">
        <f t="shared" si="4"/>
        <v>-145929.54</v>
      </c>
      <c r="M17" s="143">
        <f t="shared" si="4"/>
        <v>216356.42</v>
      </c>
      <c r="N17" s="143">
        <f t="shared" si="4"/>
        <v>198063645.91</v>
      </c>
      <c r="O17" s="143"/>
      <c r="P17" s="143">
        <f>SUM(P18:P39)</f>
        <v>205556240.91999999</v>
      </c>
      <c r="Q17" s="143"/>
      <c r="R17" s="143">
        <f>SUM(R18:R39)</f>
        <v>209612357.61000001</v>
      </c>
      <c r="S17" s="143">
        <f>SUM(S18:S39)</f>
        <v>207584299.31</v>
      </c>
      <c r="T17" s="143">
        <f>SUM(T18:T39)</f>
        <v>160669408.06</v>
      </c>
      <c r="U17" s="269"/>
    </row>
    <row r="18" spans="2:22" ht="23.25" customHeight="1" x14ac:dyDescent="0.25">
      <c r="B18" s="113"/>
      <c r="C18" s="114" t="s">
        <v>53</v>
      </c>
      <c r="D18" s="115" t="s">
        <v>88</v>
      </c>
      <c r="E18" s="129">
        <f>501.43*1000</f>
        <v>501430</v>
      </c>
      <c r="F18" s="129"/>
      <c r="G18" s="129">
        <f>E18+F18</f>
        <v>501430</v>
      </c>
      <c r="H18" s="129"/>
      <c r="I18" s="116"/>
      <c r="J18" s="129">
        <f>G18+H18+I18</f>
        <v>501430</v>
      </c>
      <c r="K18" s="130">
        <f>G18*2.3%</f>
        <v>11532.89</v>
      </c>
      <c r="L18" s="130">
        <f t="shared" ref="L18:L19" si="5">-K18*0.15</f>
        <v>-1729.93</v>
      </c>
      <c r="M18" s="130">
        <f t="shared" ref="M18:M19" si="6">(G18+K18)*0.5%</f>
        <v>2564.81</v>
      </c>
      <c r="N18" s="130">
        <f t="shared" ref="N18:N19" si="7">J18+K18+L18+M18</f>
        <v>513797.77</v>
      </c>
      <c r="O18" s="93">
        <f t="shared" ref="O18:O33" si="8">$O$45</f>
        <v>1.03796694230777</v>
      </c>
      <c r="P18" s="130">
        <f t="shared" ref="P18:P19" si="9">N18*O18</f>
        <v>533305.1</v>
      </c>
      <c r="Q18" s="155">
        <f t="shared" ref="Q18:Q33" si="10">$H$68</f>
        <v>1.0198016000000001</v>
      </c>
      <c r="R18" s="130">
        <f t="shared" ref="R18:R19" si="11">P18*Q18</f>
        <v>543865.39</v>
      </c>
      <c r="S18" s="130">
        <f t="shared" ref="S18:S38" si="12">P18+(R18-P18)*(1-50/100)</f>
        <v>538585.25</v>
      </c>
      <c r="T18" s="130">
        <f t="shared" ref="T18:T19" si="13">H18*O18*Q18*U18</f>
        <v>0</v>
      </c>
      <c r="U18" s="91">
        <f t="shared" ref="U18:U19" si="14">S18/R18</f>
        <v>0.990291457965362</v>
      </c>
    </row>
    <row r="19" spans="2:22" ht="35.25" customHeight="1" x14ac:dyDescent="0.25">
      <c r="B19" s="113"/>
      <c r="C19" s="114" t="s">
        <v>18</v>
      </c>
      <c r="D19" s="115" t="s">
        <v>54</v>
      </c>
      <c r="E19" s="129"/>
      <c r="F19" s="129"/>
      <c r="G19" s="129">
        <f>E19+F19</f>
        <v>0</v>
      </c>
      <c r="H19" s="129"/>
      <c r="I19" s="129">
        <f>71.28*1000</f>
        <v>71280</v>
      </c>
      <c r="J19" s="129">
        <f t="shared" ref="J19:J38" si="15">G19+H19+I19</f>
        <v>71280</v>
      </c>
      <c r="K19" s="130">
        <f t="shared" ref="K19" si="16">G19*2.3%</f>
        <v>0</v>
      </c>
      <c r="L19" s="130">
        <f t="shared" si="5"/>
        <v>0</v>
      </c>
      <c r="M19" s="130">
        <f t="shared" si="6"/>
        <v>0</v>
      </c>
      <c r="N19" s="130">
        <f t="shared" si="7"/>
        <v>71280</v>
      </c>
      <c r="O19" s="93">
        <f t="shared" si="8"/>
        <v>1.03796694230777</v>
      </c>
      <c r="P19" s="130">
        <f t="shared" si="9"/>
        <v>73986.28</v>
      </c>
      <c r="Q19" s="155">
        <f t="shared" si="10"/>
        <v>1.0198016000000001</v>
      </c>
      <c r="R19" s="130">
        <f t="shared" si="11"/>
        <v>75451.33</v>
      </c>
      <c r="S19" s="130">
        <f t="shared" si="12"/>
        <v>74718.81</v>
      </c>
      <c r="T19" s="130">
        <f t="shared" si="13"/>
        <v>0</v>
      </c>
      <c r="U19" s="91">
        <f t="shared" si="14"/>
        <v>0.99029148989156301</v>
      </c>
      <c r="V19" s="273">
        <f>O19*Q19*U19</f>
        <v>1.0482437</v>
      </c>
    </row>
    <row r="20" spans="2:22" ht="26.25" customHeight="1" x14ac:dyDescent="0.25">
      <c r="B20" s="113"/>
      <c r="C20" s="114" t="s">
        <v>22</v>
      </c>
      <c r="D20" s="114" t="s">
        <v>89</v>
      </c>
      <c r="E20" s="129">
        <f>7512.14*1000</f>
        <v>7512140</v>
      </c>
      <c r="F20" s="129"/>
      <c r="G20" s="129">
        <f t="shared" ref="G20:G21" si="17">E20+F20</f>
        <v>7512140</v>
      </c>
      <c r="H20" s="129"/>
      <c r="I20" s="117"/>
      <c r="J20" s="129">
        <f t="shared" si="15"/>
        <v>7512140</v>
      </c>
      <c r="K20" s="130">
        <f>G20*2.3%</f>
        <v>172779.22</v>
      </c>
      <c r="L20" s="130">
        <f>-K20*0.15</f>
        <v>-25916.880000000001</v>
      </c>
      <c r="M20" s="130">
        <f>(G20+K20)*0.5%</f>
        <v>38424.6</v>
      </c>
      <c r="N20" s="130">
        <f>J20+K20+L20+M20</f>
        <v>7697426.9400000004</v>
      </c>
      <c r="O20" s="93">
        <f t="shared" si="8"/>
        <v>1.03796694230777</v>
      </c>
      <c r="P20" s="130">
        <f t="shared" ref="P20" si="18">N20*O20</f>
        <v>7989674.7000000002</v>
      </c>
      <c r="Q20" s="155">
        <f t="shared" si="10"/>
        <v>1.0198016000000001</v>
      </c>
      <c r="R20" s="130">
        <f t="shared" ref="R20" si="19">P20*Q20</f>
        <v>8147883.04</v>
      </c>
      <c r="S20" s="130">
        <f t="shared" si="12"/>
        <v>8068778.8700000001</v>
      </c>
      <c r="T20" s="130">
        <f t="shared" ref="T20" si="20">H20*O20*Q20*U20</f>
        <v>0</v>
      </c>
      <c r="U20" s="91">
        <f t="shared" ref="U20" si="21">S20/R20</f>
        <v>0.99029144507700295</v>
      </c>
      <c r="V20" s="273">
        <f t="shared" ref="V20:V28" si="22">O20*Q20*U20</f>
        <v>1.0482435999999999</v>
      </c>
    </row>
    <row r="21" spans="2:22" ht="26.25" customHeight="1" x14ac:dyDescent="0.25">
      <c r="B21" s="113"/>
      <c r="C21" s="114" t="s">
        <v>108</v>
      </c>
      <c r="D21" s="114" t="s">
        <v>106</v>
      </c>
      <c r="E21" s="129"/>
      <c r="F21" s="129">
        <f>382.38*1000</f>
        <v>382380</v>
      </c>
      <c r="G21" s="129">
        <f t="shared" si="17"/>
        <v>382380</v>
      </c>
      <c r="H21" s="129">
        <f>1217.27*1000</f>
        <v>1217270</v>
      </c>
      <c r="I21" s="117"/>
      <c r="J21" s="129">
        <f t="shared" si="15"/>
        <v>1599650</v>
      </c>
      <c r="K21" s="130">
        <f t="shared" ref="K21:K36" si="23">G21*2.3%</f>
        <v>8794.74</v>
      </c>
      <c r="L21" s="130">
        <f t="shared" ref="L21:L38" si="24">-K21*0.15</f>
        <v>-1319.21</v>
      </c>
      <c r="M21" s="130">
        <f t="shared" ref="M21:M36" si="25">(G21+K21)*0.5%</f>
        <v>1955.87</v>
      </c>
      <c r="N21" s="130">
        <f t="shared" ref="N21:N36" si="26">J21+K21+L21+M21</f>
        <v>1609081.4</v>
      </c>
      <c r="O21" s="93">
        <f t="shared" si="8"/>
        <v>1.03796694230777</v>
      </c>
      <c r="P21" s="130">
        <f t="shared" ref="P21:P35" si="27">N21*O21</f>
        <v>1670173.3</v>
      </c>
      <c r="Q21" s="155">
        <f t="shared" si="10"/>
        <v>1.0198016000000001</v>
      </c>
      <c r="R21" s="130">
        <f t="shared" ref="R21:R38" si="28">P21*Q21</f>
        <v>1703245.4</v>
      </c>
      <c r="S21" s="130">
        <f t="shared" si="12"/>
        <v>1686709.35</v>
      </c>
      <c r="T21" s="130">
        <f t="shared" ref="T21:T36" si="29">H21*O21*Q21*U21</f>
        <v>1275995.54</v>
      </c>
      <c r="U21" s="91">
        <f t="shared" ref="U21:U36" si="30">S21/R21</f>
        <v>0.99029144596544905</v>
      </c>
      <c r="V21" s="273">
        <f t="shared" si="22"/>
        <v>1.0482435999999999</v>
      </c>
    </row>
    <row r="22" spans="2:22" ht="26.25" customHeight="1" x14ac:dyDescent="0.25">
      <c r="B22" s="113"/>
      <c r="C22" s="131" t="s">
        <v>90</v>
      </c>
      <c r="D22" s="118" t="s">
        <v>91</v>
      </c>
      <c r="E22" s="129">
        <f>409.02*1000</f>
        <v>409020</v>
      </c>
      <c r="F22" s="129">
        <f>3075.83*1000</f>
        <v>3075830</v>
      </c>
      <c r="G22" s="129">
        <f>E22+F22</f>
        <v>3484850</v>
      </c>
      <c r="H22" s="129">
        <f>261.8*1000</f>
        <v>261800</v>
      </c>
      <c r="I22" s="116"/>
      <c r="J22" s="129">
        <f t="shared" si="15"/>
        <v>3746650</v>
      </c>
      <c r="K22" s="130">
        <f t="shared" si="23"/>
        <v>80151.55</v>
      </c>
      <c r="L22" s="130">
        <f t="shared" si="24"/>
        <v>-12022.73</v>
      </c>
      <c r="M22" s="130">
        <f t="shared" si="25"/>
        <v>17825.009999999998</v>
      </c>
      <c r="N22" s="130">
        <f t="shared" si="26"/>
        <v>3832603.83</v>
      </c>
      <c r="O22" s="93">
        <f t="shared" si="8"/>
        <v>1.03796694230777</v>
      </c>
      <c r="P22" s="130">
        <f t="shared" si="27"/>
        <v>3978116.08</v>
      </c>
      <c r="Q22" s="155">
        <f t="shared" si="10"/>
        <v>1.0198016000000001</v>
      </c>
      <c r="R22" s="130">
        <f t="shared" si="28"/>
        <v>4056889.14</v>
      </c>
      <c r="S22" s="130">
        <f t="shared" si="12"/>
        <v>4017502.61</v>
      </c>
      <c r="T22" s="130">
        <f t="shared" si="29"/>
        <v>274430.19</v>
      </c>
      <c r="U22" s="91">
        <f t="shared" si="30"/>
        <v>0.99029144533143398</v>
      </c>
      <c r="V22" s="273">
        <f t="shared" si="22"/>
        <v>1.0482435999999999</v>
      </c>
    </row>
    <row r="23" spans="2:22" ht="26.25" customHeight="1" x14ac:dyDescent="0.25">
      <c r="B23" s="113"/>
      <c r="C23" s="131" t="s">
        <v>25</v>
      </c>
      <c r="D23" s="118" t="s">
        <v>26</v>
      </c>
      <c r="E23" s="129">
        <f>958.37*1000</f>
        <v>958370</v>
      </c>
      <c r="F23" s="129">
        <f>249.85*1000</f>
        <v>249850</v>
      </c>
      <c r="G23" s="129">
        <f>E23+F23</f>
        <v>1208220</v>
      </c>
      <c r="H23" s="129"/>
      <c r="I23" s="116"/>
      <c r="J23" s="129">
        <f t="shared" si="15"/>
        <v>1208220</v>
      </c>
      <c r="K23" s="130">
        <f t="shared" si="23"/>
        <v>27789.06</v>
      </c>
      <c r="L23" s="130">
        <f t="shared" si="24"/>
        <v>-4168.3599999999997</v>
      </c>
      <c r="M23" s="130">
        <f t="shared" si="25"/>
        <v>6180.05</v>
      </c>
      <c r="N23" s="130">
        <f t="shared" si="26"/>
        <v>1238020.75</v>
      </c>
      <c r="O23" s="93">
        <f t="shared" si="8"/>
        <v>1.03796694230777</v>
      </c>
      <c r="P23" s="130">
        <f t="shared" si="27"/>
        <v>1285024.6100000001</v>
      </c>
      <c r="Q23" s="155">
        <f t="shared" si="10"/>
        <v>1.0198016000000001</v>
      </c>
      <c r="R23" s="130">
        <f t="shared" si="28"/>
        <v>1310470.1499999999</v>
      </c>
      <c r="S23" s="130">
        <f t="shared" si="12"/>
        <v>1297747.3799999999</v>
      </c>
      <c r="T23" s="130">
        <f t="shared" si="29"/>
        <v>0</v>
      </c>
      <c r="U23" s="91">
        <f t="shared" si="30"/>
        <v>0.99029144616533205</v>
      </c>
      <c r="V23" s="273">
        <f t="shared" si="22"/>
        <v>1.0482435999999999</v>
      </c>
    </row>
    <row r="24" spans="2:22" ht="26.25" customHeight="1" x14ac:dyDescent="0.25">
      <c r="B24" s="113"/>
      <c r="C24" s="131" t="s">
        <v>29</v>
      </c>
      <c r="D24" s="118" t="s">
        <v>92</v>
      </c>
      <c r="E24" s="129">
        <f>687.33*1000</f>
        <v>687330</v>
      </c>
      <c r="F24" s="129"/>
      <c r="G24" s="129">
        <f t="shared" ref="G24:G25" si="31">E24+F24</f>
        <v>687330</v>
      </c>
      <c r="H24" s="129"/>
      <c r="I24" s="116"/>
      <c r="J24" s="129">
        <f t="shared" si="15"/>
        <v>687330</v>
      </c>
      <c r="K24" s="130">
        <f t="shared" si="23"/>
        <v>15808.59</v>
      </c>
      <c r="L24" s="130">
        <f t="shared" si="24"/>
        <v>-2371.29</v>
      </c>
      <c r="M24" s="130">
        <f t="shared" si="25"/>
        <v>3515.69</v>
      </c>
      <c r="N24" s="130">
        <f t="shared" si="26"/>
        <v>704282.99</v>
      </c>
      <c r="O24" s="93">
        <f t="shared" si="8"/>
        <v>1.03796694230777</v>
      </c>
      <c r="P24" s="130">
        <f t="shared" si="27"/>
        <v>731022.46</v>
      </c>
      <c r="Q24" s="155">
        <f t="shared" si="10"/>
        <v>1.0198016000000001</v>
      </c>
      <c r="R24" s="130">
        <f t="shared" si="28"/>
        <v>745497.87</v>
      </c>
      <c r="S24" s="130">
        <f t="shared" si="12"/>
        <v>738260.17</v>
      </c>
      <c r="T24" s="130">
        <f t="shared" si="29"/>
        <v>0</v>
      </c>
      <c r="U24" s="91">
        <f t="shared" si="30"/>
        <v>0.99029145448799205</v>
      </c>
      <c r="V24" s="273">
        <f t="shared" si="22"/>
        <v>1.0482437</v>
      </c>
    </row>
    <row r="25" spans="2:22" ht="26.25" customHeight="1" x14ac:dyDescent="0.25">
      <c r="B25" s="113"/>
      <c r="C25" s="131" t="s">
        <v>31</v>
      </c>
      <c r="D25" s="118" t="s">
        <v>30</v>
      </c>
      <c r="E25" s="129">
        <f>64.13*1000</f>
        <v>64130</v>
      </c>
      <c r="F25" s="129">
        <f>0.01*1000</f>
        <v>10</v>
      </c>
      <c r="G25" s="129">
        <f t="shared" si="31"/>
        <v>64140</v>
      </c>
      <c r="H25" s="129"/>
      <c r="I25" s="116"/>
      <c r="J25" s="129">
        <f t="shared" si="15"/>
        <v>64140</v>
      </c>
      <c r="K25" s="130">
        <f t="shared" si="23"/>
        <v>1475.22</v>
      </c>
      <c r="L25" s="130">
        <f t="shared" si="24"/>
        <v>-221.28</v>
      </c>
      <c r="M25" s="130">
        <f t="shared" si="25"/>
        <v>328.08</v>
      </c>
      <c r="N25" s="130">
        <f t="shared" si="26"/>
        <v>65722.02</v>
      </c>
      <c r="O25" s="93">
        <f t="shared" si="8"/>
        <v>1.03796694230777</v>
      </c>
      <c r="P25" s="130">
        <f t="shared" si="27"/>
        <v>68217.279999999999</v>
      </c>
      <c r="Q25" s="155">
        <f t="shared" si="10"/>
        <v>1.0198016000000001</v>
      </c>
      <c r="R25" s="130">
        <f t="shared" si="28"/>
        <v>69568.09</v>
      </c>
      <c r="S25" s="130">
        <f t="shared" si="12"/>
        <v>68892.69</v>
      </c>
      <c r="T25" s="130">
        <f t="shared" si="29"/>
        <v>0</v>
      </c>
      <c r="U25" s="91">
        <f t="shared" si="30"/>
        <v>0.99029152589930203</v>
      </c>
      <c r="V25" s="273">
        <f t="shared" si="22"/>
        <v>1.0482437</v>
      </c>
    </row>
    <row r="26" spans="2:22" ht="26.25" customHeight="1" x14ac:dyDescent="0.25">
      <c r="B26" s="113"/>
      <c r="C26" s="131" t="s">
        <v>34</v>
      </c>
      <c r="D26" s="118" t="s">
        <v>37</v>
      </c>
      <c r="E26" s="129">
        <f>13809.1*1000</f>
        <v>13809100</v>
      </c>
      <c r="F26" s="129"/>
      <c r="G26" s="129">
        <f t="shared" ref="G26:G31" si="32">E26+F26</f>
        <v>13809100</v>
      </c>
      <c r="H26" s="129"/>
      <c r="I26" s="116"/>
      <c r="J26" s="129">
        <f t="shared" si="15"/>
        <v>13809100</v>
      </c>
      <c r="K26" s="130">
        <f t="shared" si="23"/>
        <v>317609.3</v>
      </c>
      <c r="L26" s="130">
        <f t="shared" si="24"/>
        <v>-47641.4</v>
      </c>
      <c r="M26" s="130">
        <f t="shared" si="25"/>
        <v>70633.55</v>
      </c>
      <c r="N26" s="130">
        <f t="shared" si="26"/>
        <v>14149701.449999999</v>
      </c>
      <c r="O26" s="93">
        <f t="shared" si="8"/>
        <v>1.03796694230777</v>
      </c>
      <c r="P26" s="130">
        <f t="shared" si="27"/>
        <v>14686922.35</v>
      </c>
      <c r="Q26" s="155">
        <f t="shared" si="10"/>
        <v>1.0198016000000001</v>
      </c>
      <c r="R26" s="130">
        <f t="shared" si="28"/>
        <v>14977746.91</v>
      </c>
      <c r="S26" s="130">
        <f t="shared" si="12"/>
        <v>14832334.630000001</v>
      </c>
      <c r="T26" s="130">
        <f t="shared" si="29"/>
        <v>0</v>
      </c>
      <c r="U26" s="91">
        <f t="shared" si="30"/>
        <v>0.99029144497675303</v>
      </c>
      <c r="V26" s="273">
        <f t="shared" si="22"/>
        <v>1.0482435999999999</v>
      </c>
    </row>
    <row r="27" spans="2:22" ht="26.25" customHeight="1" x14ac:dyDescent="0.25">
      <c r="B27" s="113"/>
      <c r="C27" s="131" t="s">
        <v>36</v>
      </c>
      <c r="D27" s="118" t="s">
        <v>93</v>
      </c>
      <c r="E27" s="129">
        <f>46.73*1000</f>
        <v>46730</v>
      </c>
      <c r="F27" s="129"/>
      <c r="G27" s="129">
        <f t="shared" si="32"/>
        <v>46730</v>
      </c>
      <c r="H27" s="129"/>
      <c r="I27" s="116"/>
      <c r="J27" s="129">
        <f t="shared" si="15"/>
        <v>46730</v>
      </c>
      <c r="K27" s="130">
        <f t="shared" si="23"/>
        <v>1074.79</v>
      </c>
      <c r="L27" s="130">
        <f t="shared" si="24"/>
        <v>-161.22</v>
      </c>
      <c r="M27" s="130">
        <f t="shared" si="25"/>
        <v>239.02</v>
      </c>
      <c r="N27" s="130">
        <f t="shared" si="26"/>
        <v>47882.59</v>
      </c>
      <c r="O27" s="93">
        <f t="shared" si="8"/>
        <v>1.03796694230777</v>
      </c>
      <c r="P27" s="130">
        <f t="shared" si="27"/>
        <v>49700.55</v>
      </c>
      <c r="Q27" s="155">
        <f t="shared" si="10"/>
        <v>1.0198016000000001</v>
      </c>
      <c r="R27" s="130">
        <f t="shared" si="28"/>
        <v>50684.7</v>
      </c>
      <c r="S27" s="130">
        <f t="shared" si="12"/>
        <v>50192.63</v>
      </c>
      <c r="T27" s="130">
        <f t="shared" si="29"/>
        <v>0</v>
      </c>
      <c r="U27" s="91">
        <f t="shared" si="30"/>
        <v>0.99029154754787896</v>
      </c>
      <c r="V27" s="273">
        <f t="shared" si="22"/>
        <v>1.0482438000000001</v>
      </c>
    </row>
    <row r="28" spans="2:22" ht="26.25" customHeight="1" x14ac:dyDescent="0.25">
      <c r="B28" s="113"/>
      <c r="C28" s="131" t="s">
        <v>94</v>
      </c>
      <c r="D28" s="118" t="s">
        <v>95</v>
      </c>
      <c r="E28" s="129">
        <f>8153.45*1000</f>
        <v>8153450</v>
      </c>
      <c r="F28" s="129"/>
      <c r="G28" s="129">
        <f t="shared" si="32"/>
        <v>8153450</v>
      </c>
      <c r="H28" s="129"/>
      <c r="I28" s="116"/>
      <c r="J28" s="129">
        <f t="shared" si="15"/>
        <v>8153450</v>
      </c>
      <c r="K28" s="130">
        <f t="shared" si="23"/>
        <v>187529.35</v>
      </c>
      <c r="L28" s="130">
        <f t="shared" si="24"/>
        <v>-28129.4</v>
      </c>
      <c r="M28" s="130">
        <f t="shared" si="25"/>
        <v>41704.9</v>
      </c>
      <c r="N28" s="130">
        <f t="shared" si="26"/>
        <v>8354554.8499999996</v>
      </c>
      <c r="O28" s="93">
        <f t="shared" si="8"/>
        <v>1.03796694230777</v>
      </c>
      <c r="P28" s="130">
        <f t="shared" si="27"/>
        <v>8671751.75</v>
      </c>
      <c r="Q28" s="155">
        <f t="shared" si="10"/>
        <v>1.0198016000000001</v>
      </c>
      <c r="R28" s="130">
        <f t="shared" si="28"/>
        <v>8843466.3100000005</v>
      </c>
      <c r="S28" s="130">
        <f t="shared" si="12"/>
        <v>8757609.0299999993</v>
      </c>
      <c r="T28" s="130">
        <f t="shared" si="29"/>
        <v>0</v>
      </c>
      <c r="U28" s="91">
        <f t="shared" si="30"/>
        <v>0.99029144489385201</v>
      </c>
      <c r="V28" s="273">
        <f t="shared" si="22"/>
        <v>1.0482435999999999</v>
      </c>
    </row>
    <row r="29" spans="2:22" ht="26.25" customHeight="1" x14ac:dyDescent="0.25">
      <c r="B29" s="113"/>
      <c r="C29" s="131" t="s">
        <v>96</v>
      </c>
      <c r="D29" s="118" t="s">
        <v>97</v>
      </c>
      <c r="E29" s="129">
        <f>439.25*1000</f>
        <v>439250</v>
      </c>
      <c r="F29" s="129"/>
      <c r="G29" s="129">
        <f t="shared" si="32"/>
        <v>439250</v>
      </c>
      <c r="H29" s="129"/>
      <c r="I29" s="116"/>
      <c r="J29" s="129">
        <f t="shared" si="15"/>
        <v>439250</v>
      </c>
      <c r="K29" s="130">
        <f t="shared" si="23"/>
        <v>10102.75</v>
      </c>
      <c r="L29" s="130">
        <f t="shared" si="24"/>
        <v>-1515.41</v>
      </c>
      <c r="M29" s="130">
        <f t="shared" si="25"/>
        <v>2246.7600000000002</v>
      </c>
      <c r="N29" s="130">
        <f t="shared" si="26"/>
        <v>450084.1</v>
      </c>
      <c r="O29" s="93">
        <f t="shared" si="8"/>
        <v>1.03796694230777</v>
      </c>
      <c r="P29" s="130">
        <f t="shared" si="27"/>
        <v>467172.42</v>
      </c>
      <c r="Q29" s="155">
        <f t="shared" si="10"/>
        <v>1.0198016000000001</v>
      </c>
      <c r="R29" s="130">
        <f t="shared" si="28"/>
        <v>476423.18</v>
      </c>
      <c r="S29" s="130">
        <f t="shared" si="12"/>
        <v>471797.8</v>
      </c>
      <c r="T29" s="130">
        <f t="shared" si="29"/>
        <v>0</v>
      </c>
      <c r="U29" s="91">
        <f t="shared" si="30"/>
        <v>0.99029144635657695</v>
      </c>
    </row>
    <row r="30" spans="2:22" ht="26.25" customHeight="1" x14ac:dyDescent="0.25">
      <c r="B30" s="113"/>
      <c r="C30" s="131" t="s">
        <v>98</v>
      </c>
      <c r="D30" s="118" t="s">
        <v>35</v>
      </c>
      <c r="E30" s="129">
        <f>48.47*1000</f>
        <v>48470</v>
      </c>
      <c r="F30" s="129">
        <f>3076.29*1000</f>
        <v>3076290</v>
      </c>
      <c r="G30" s="129">
        <f t="shared" si="32"/>
        <v>3124760</v>
      </c>
      <c r="H30" s="129">
        <f>21.04*1000</f>
        <v>21040</v>
      </c>
      <c r="I30" s="116"/>
      <c r="J30" s="129">
        <f t="shared" si="15"/>
        <v>3145800</v>
      </c>
      <c r="K30" s="130">
        <f t="shared" si="23"/>
        <v>71869.48</v>
      </c>
      <c r="L30" s="130">
        <f t="shared" si="24"/>
        <v>-10780.42</v>
      </c>
      <c r="M30" s="130">
        <f t="shared" si="25"/>
        <v>15983.15</v>
      </c>
      <c r="N30" s="130">
        <f t="shared" si="26"/>
        <v>3222872.21</v>
      </c>
      <c r="O30" s="93">
        <f t="shared" si="8"/>
        <v>1.03796694230777</v>
      </c>
      <c r="P30" s="130">
        <f t="shared" si="27"/>
        <v>3345234.81</v>
      </c>
      <c r="Q30" s="155">
        <f t="shared" si="10"/>
        <v>1.0198016000000001</v>
      </c>
      <c r="R30" s="130">
        <f t="shared" si="28"/>
        <v>3411475.81</v>
      </c>
      <c r="S30" s="130">
        <f t="shared" si="12"/>
        <v>3378355.31</v>
      </c>
      <c r="T30" s="130">
        <f t="shared" si="29"/>
        <v>22055.05</v>
      </c>
      <c r="U30" s="91">
        <f t="shared" si="30"/>
        <v>0.99029144515610701</v>
      </c>
    </row>
    <row r="31" spans="2:22" ht="26.25" customHeight="1" x14ac:dyDescent="0.25">
      <c r="B31" s="113"/>
      <c r="C31" s="114" t="s">
        <v>117</v>
      </c>
      <c r="D31" s="114" t="s">
        <v>118</v>
      </c>
      <c r="E31" s="129"/>
      <c r="F31" s="129">
        <f>2055.26*1000</f>
        <v>2055260</v>
      </c>
      <c r="G31" s="129">
        <f t="shared" si="32"/>
        <v>2055260</v>
      </c>
      <c r="H31" s="129">
        <f>148769.37*1000</f>
        <v>148769370</v>
      </c>
      <c r="I31" s="116"/>
      <c r="J31" s="129">
        <f t="shared" si="15"/>
        <v>150824630</v>
      </c>
      <c r="K31" s="130">
        <f t="shared" si="23"/>
        <v>47270.98</v>
      </c>
      <c r="L31" s="130">
        <f t="shared" si="24"/>
        <v>-7090.65</v>
      </c>
      <c r="M31" s="130">
        <f t="shared" si="25"/>
        <v>10512.65</v>
      </c>
      <c r="N31" s="130">
        <f t="shared" si="26"/>
        <v>150875322.97999999</v>
      </c>
      <c r="O31" s="93">
        <f t="shared" si="8"/>
        <v>1.03796694230777</v>
      </c>
      <c r="P31" s="130">
        <f t="shared" si="27"/>
        <v>156603597.66</v>
      </c>
      <c r="Q31" s="155">
        <f t="shared" si="10"/>
        <v>1.0198016000000001</v>
      </c>
      <c r="R31" s="130">
        <f t="shared" si="28"/>
        <v>159704599.46000001</v>
      </c>
      <c r="S31" s="130">
        <f t="shared" si="12"/>
        <v>158154098.56</v>
      </c>
      <c r="T31" s="130">
        <f t="shared" si="29"/>
        <v>155946546.72999999</v>
      </c>
      <c r="U31" s="91">
        <f t="shared" si="30"/>
        <v>0.99029144492242205</v>
      </c>
    </row>
    <row r="32" spans="2:22" ht="26.25" customHeight="1" x14ac:dyDescent="0.25">
      <c r="B32" s="113"/>
      <c r="C32" s="114" t="s">
        <v>43</v>
      </c>
      <c r="D32" s="114" t="s">
        <v>44</v>
      </c>
      <c r="E32" s="129"/>
      <c r="F32" s="129"/>
      <c r="G32" s="129">
        <f t="shared" ref="G32:G36" si="33">E32+F32</f>
        <v>0</v>
      </c>
      <c r="H32" s="116"/>
      <c r="I32" s="129">
        <f>83.11*1000</f>
        <v>83110</v>
      </c>
      <c r="J32" s="129">
        <f t="shared" si="15"/>
        <v>83110</v>
      </c>
      <c r="K32" s="130">
        <f t="shared" si="23"/>
        <v>0</v>
      </c>
      <c r="L32" s="130">
        <f t="shared" si="24"/>
        <v>0</v>
      </c>
      <c r="M32" s="130">
        <f t="shared" si="25"/>
        <v>0</v>
      </c>
      <c r="N32" s="130">
        <f t="shared" si="26"/>
        <v>83110</v>
      </c>
      <c r="O32" s="93">
        <f t="shared" si="8"/>
        <v>1.03796694230777</v>
      </c>
      <c r="P32" s="130">
        <f t="shared" si="27"/>
        <v>86265.43</v>
      </c>
      <c r="Q32" s="155">
        <f t="shared" si="10"/>
        <v>1.0198016000000001</v>
      </c>
      <c r="R32" s="130">
        <f t="shared" si="28"/>
        <v>87973.62</v>
      </c>
      <c r="S32" s="130">
        <f t="shared" si="12"/>
        <v>87119.53</v>
      </c>
      <c r="T32" s="130">
        <f t="shared" si="29"/>
        <v>0</v>
      </c>
      <c r="U32" s="91">
        <f t="shared" si="30"/>
        <v>0.990291521481099</v>
      </c>
    </row>
    <row r="33" spans="2:21" s="250" customFormat="1" ht="28.5" customHeight="1" x14ac:dyDescent="0.2">
      <c r="B33" s="133"/>
      <c r="C33" s="251" t="s">
        <v>217</v>
      </c>
      <c r="D33" s="251" t="s">
        <v>201</v>
      </c>
      <c r="E33" s="135"/>
      <c r="F33" s="135"/>
      <c r="G33" s="135"/>
      <c r="H33" s="136"/>
      <c r="I33" s="135">
        <v>19414.7</v>
      </c>
      <c r="J33" s="137">
        <f t="shared" si="15"/>
        <v>19414.7</v>
      </c>
      <c r="K33" s="252">
        <f t="shared" si="23"/>
        <v>0</v>
      </c>
      <c r="L33" s="252">
        <f t="shared" si="24"/>
        <v>0</v>
      </c>
      <c r="M33" s="252">
        <f t="shared" si="25"/>
        <v>0</v>
      </c>
      <c r="N33" s="252">
        <f t="shared" si="26"/>
        <v>19414.7</v>
      </c>
      <c r="O33" s="253">
        <f t="shared" si="8"/>
        <v>1.03796694230777</v>
      </c>
      <c r="P33" s="252">
        <f t="shared" si="27"/>
        <v>20151.82</v>
      </c>
      <c r="Q33" s="254">
        <f t="shared" si="10"/>
        <v>1.0198016000000001</v>
      </c>
      <c r="R33" s="252">
        <f t="shared" si="28"/>
        <v>20550.86</v>
      </c>
      <c r="S33" s="252">
        <f>P33+(R33-P33)*(1-50/100)</f>
        <v>20351.34</v>
      </c>
      <c r="T33" s="252">
        <f t="shared" si="29"/>
        <v>0</v>
      </c>
      <c r="U33" s="250">
        <f t="shared" si="30"/>
        <v>0.99029140386339098</v>
      </c>
    </row>
    <row r="34" spans="2:21" s="250" customFormat="1" ht="32.25" customHeight="1" x14ac:dyDescent="0.2">
      <c r="B34" s="133"/>
      <c r="C34" s="251" t="s">
        <v>218</v>
      </c>
      <c r="D34" s="251" t="s">
        <v>202</v>
      </c>
      <c r="E34" s="135"/>
      <c r="F34" s="135"/>
      <c r="G34" s="135"/>
      <c r="H34" s="136"/>
      <c r="I34" s="135">
        <v>704327.68000000005</v>
      </c>
      <c r="J34" s="137">
        <f t="shared" si="15"/>
        <v>704327.68000000005</v>
      </c>
      <c r="K34" s="252">
        <f t="shared" si="23"/>
        <v>0</v>
      </c>
      <c r="L34" s="252">
        <f t="shared" si="24"/>
        <v>0</v>
      </c>
      <c r="M34" s="252">
        <f t="shared" si="25"/>
        <v>0</v>
      </c>
      <c r="N34" s="252">
        <f t="shared" si="26"/>
        <v>704327.68000000005</v>
      </c>
      <c r="O34" s="255">
        <v>1</v>
      </c>
      <c r="P34" s="252">
        <f t="shared" si="27"/>
        <v>704327.68000000005</v>
      </c>
      <c r="Q34" s="254">
        <v>1</v>
      </c>
      <c r="R34" s="252">
        <f t="shared" si="28"/>
        <v>704327.68000000005</v>
      </c>
      <c r="S34" s="252">
        <f>P34+(R34-P34)*(1-50/100)</f>
        <v>704327.68000000005</v>
      </c>
      <c r="T34" s="252">
        <f t="shared" si="29"/>
        <v>0</v>
      </c>
      <c r="U34" s="250">
        <f t="shared" si="30"/>
        <v>1</v>
      </c>
    </row>
    <row r="35" spans="2:21" ht="63" x14ac:dyDescent="0.25">
      <c r="B35" s="113"/>
      <c r="C35" s="156" t="s">
        <v>104</v>
      </c>
      <c r="D35" s="119" t="s">
        <v>60</v>
      </c>
      <c r="E35" s="123"/>
      <c r="F35" s="123"/>
      <c r="G35" s="123">
        <f t="shared" si="33"/>
        <v>0</v>
      </c>
      <c r="H35" s="120"/>
      <c r="I35" s="129">
        <f>0.27199*1000</f>
        <v>271.99</v>
      </c>
      <c r="J35" s="129">
        <f t="shared" si="15"/>
        <v>271.99</v>
      </c>
      <c r="K35" s="130">
        <f t="shared" si="23"/>
        <v>0</v>
      </c>
      <c r="L35" s="130">
        <f t="shared" si="24"/>
        <v>0</v>
      </c>
      <c r="M35" s="130">
        <f t="shared" si="25"/>
        <v>0</v>
      </c>
      <c r="N35" s="130">
        <f t="shared" si="26"/>
        <v>271.99</v>
      </c>
      <c r="O35" s="93">
        <f>$O$45</f>
        <v>1.03796694230777</v>
      </c>
      <c r="P35" s="130">
        <f t="shared" si="27"/>
        <v>282.32</v>
      </c>
      <c r="Q35" s="155">
        <f>$H$68</f>
        <v>1.0198016000000001</v>
      </c>
      <c r="R35" s="130">
        <f t="shared" si="28"/>
        <v>287.91000000000003</v>
      </c>
      <c r="S35" s="130">
        <f t="shared" si="12"/>
        <v>285.12</v>
      </c>
      <c r="T35" s="130">
        <f t="shared" si="29"/>
        <v>0</v>
      </c>
      <c r="U35" s="91">
        <f t="shared" si="30"/>
        <v>0.99030947170990902</v>
      </c>
    </row>
    <row r="36" spans="2:21" ht="47.25" x14ac:dyDescent="0.25">
      <c r="B36" s="113"/>
      <c r="C36" s="156" t="s">
        <v>105</v>
      </c>
      <c r="D36" s="119" t="s">
        <v>61</v>
      </c>
      <c r="E36" s="123"/>
      <c r="F36" s="123"/>
      <c r="G36" s="123">
        <f t="shared" si="33"/>
        <v>0</v>
      </c>
      <c r="H36" s="120"/>
      <c r="I36" s="129">
        <f>21.27958*1000</f>
        <v>21279.58</v>
      </c>
      <c r="J36" s="129">
        <f t="shared" si="15"/>
        <v>21279.58</v>
      </c>
      <c r="K36" s="130">
        <f t="shared" si="23"/>
        <v>0</v>
      </c>
      <c r="L36" s="130">
        <f t="shared" si="24"/>
        <v>0</v>
      </c>
      <c r="M36" s="130">
        <f t="shared" si="25"/>
        <v>0</v>
      </c>
      <c r="N36" s="130">
        <f t="shared" si="26"/>
        <v>21279.58</v>
      </c>
      <c r="O36" s="93">
        <f>$O$45</f>
        <v>1.03796694230777</v>
      </c>
      <c r="P36" s="130">
        <f>N36*O36</f>
        <v>22087.5</v>
      </c>
      <c r="Q36" s="155">
        <f>$H$68</f>
        <v>1.0198016000000001</v>
      </c>
      <c r="R36" s="130">
        <f t="shared" si="28"/>
        <v>22524.87</v>
      </c>
      <c r="S36" s="130">
        <f t="shared" si="12"/>
        <v>22306.19</v>
      </c>
      <c r="T36" s="130">
        <f t="shared" si="29"/>
        <v>0</v>
      </c>
      <c r="U36" s="91">
        <f t="shared" si="30"/>
        <v>0.990291619885043</v>
      </c>
    </row>
    <row r="37" spans="2:21" ht="31.5" x14ac:dyDescent="0.25">
      <c r="B37" s="114"/>
      <c r="C37" s="156" t="s">
        <v>155</v>
      </c>
      <c r="D37" s="124" t="s">
        <v>68</v>
      </c>
      <c r="E37" s="122"/>
      <c r="F37" s="122"/>
      <c r="G37" s="122"/>
      <c r="H37" s="121"/>
      <c r="I37" s="129">
        <f>387.99972*1000</f>
        <v>387999.72</v>
      </c>
      <c r="J37" s="129">
        <f t="shared" si="15"/>
        <v>387999.72</v>
      </c>
      <c r="K37" s="130">
        <f t="shared" ref="K37:K38" si="34">G37*2.3%</f>
        <v>0</v>
      </c>
      <c r="L37" s="130">
        <f t="shared" si="24"/>
        <v>0</v>
      </c>
      <c r="M37" s="130">
        <f t="shared" ref="M37:M38" si="35">(G37+K37)*0.5%</f>
        <v>0</v>
      </c>
      <c r="N37" s="130">
        <f t="shared" ref="N37:N38" si="36">J37+K37+L37+M37</f>
        <v>387999.72</v>
      </c>
      <c r="O37" s="93">
        <f>$O$45</f>
        <v>1.03796694230777</v>
      </c>
      <c r="P37" s="130">
        <f t="shared" ref="P37:P38" si="37">N37*O37</f>
        <v>402730.88</v>
      </c>
      <c r="Q37" s="155">
        <f>$H$68</f>
        <v>1.0198016000000001</v>
      </c>
      <c r="R37" s="130">
        <f t="shared" si="28"/>
        <v>410705.6</v>
      </c>
      <c r="S37" s="130">
        <f t="shared" si="12"/>
        <v>406718.24</v>
      </c>
      <c r="T37" s="130"/>
    </row>
    <row r="38" spans="2:21" ht="40.5" customHeight="1" x14ac:dyDescent="0.25">
      <c r="B38" s="114"/>
      <c r="C38" s="156" t="s">
        <v>69</v>
      </c>
      <c r="D38" s="119" t="s">
        <v>70</v>
      </c>
      <c r="E38" s="122"/>
      <c r="F38" s="122"/>
      <c r="G38" s="122"/>
      <c r="H38" s="121"/>
      <c r="I38" s="129">
        <f>131.00746*1000</f>
        <v>131007.46</v>
      </c>
      <c r="J38" s="129">
        <f t="shared" si="15"/>
        <v>131007.46</v>
      </c>
      <c r="K38" s="130">
        <f t="shared" si="34"/>
        <v>0</v>
      </c>
      <c r="L38" s="130">
        <f t="shared" si="24"/>
        <v>0</v>
      </c>
      <c r="M38" s="130">
        <f t="shared" si="35"/>
        <v>0</v>
      </c>
      <c r="N38" s="130">
        <f t="shared" si="36"/>
        <v>131007.46</v>
      </c>
      <c r="O38" s="93">
        <f>$O$45</f>
        <v>1.03796694230777</v>
      </c>
      <c r="P38" s="130">
        <f t="shared" si="37"/>
        <v>135981.41</v>
      </c>
      <c r="Q38" s="155">
        <f>$H$68</f>
        <v>1.0198016000000001</v>
      </c>
      <c r="R38" s="130">
        <f t="shared" si="28"/>
        <v>138674.06</v>
      </c>
      <c r="S38" s="130">
        <f t="shared" si="12"/>
        <v>137327.74</v>
      </c>
      <c r="T38" s="130"/>
    </row>
    <row r="39" spans="2:21" ht="46.5" customHeight="1" x14ac:dyDescent="0.25">
      <c r="B39" s="114"/>
      <c r="C39" s="114" t="s">
        <v>74</v>
      </c>
      <c r="D39" s="114" t="s">
        <v>75</v>
      </c>
      <c r="E39" s="129">
        <f>ROUND((E18+E19+E20+E21+E22+E23+E24+E25+E26+E27+E28+E29+E30+E31+E32+E33+E34+E35+E36+E37+E38)*2%,2)</f>
        <v>652588.4</v>
      </c>
      <c r="F39" s="129">
        <f>ROUND((F18+F19+F20+F21+F22+F23+F24+F25+F26+F27+F28+F29+F30+F31+F32+F33+F34+F35+F36+F37+F38)*2%,2)</f>
        <v>176792.4</v>
      </c>
      <c r="G39" s="129">
        <f>ROUND((G18+G19+G20+G21+G22+G23+G24+G25+G26+G27+G28+G29+G30+G31+G32+G33+G34+G35+G36+G37+G38)*2%,2)</f>
        <v>829380.8</v>
      </c>
      <c r="H39" s="129">
        <f t="shared" ref="H39:T39" si="38">ROUND((H18+H19+H20+H21+H22+H23+H24+H25+H26+H27+H28+H29+H30+H31+H32+H33+H34+H35+H36+H37+H38)*2%,2)</f>
        <v>3005389.6</v>
      </c>
      <c r="I39" s="129">
        <f t="shared" si="38"/>
        <v>28373.82</v>
      </c>
      <c r="J39" s="129">
        <f t="shared" si="38"/>
        <v>3863144.22</v>
      </c>
      <c r="K39" s="129">
        <f t="shared" si="38"/>
        <v>19075.759999999998</v>
      </c>
      <c r="L39" s="129">
        <f t="shared" si="38"/>
        <v>-2861.36</v>
      </c>
      <c r="M39" s="129">
        <f t="shared" si="38"/>
        <v>4242.28</v>
      </c>
      <c r="N39" s="129">
        <f t="shared" si="38"/>
        <v>3883600.9</v>
      </c>
      <c r="O39" s="129"/>
      <c r="P39" s="129">
        <f t="shared" si="38"/>
        <v>4030514.53</v>
      </c>
      <c r="Q39" s="129"/>
      <c r="R39" s="129">
        <f t="shared" si="38"/>
        <v>4110046.23</v>
      </c>
      <c r="S39" s="129">
        <f t="shared" si="38"/>
        <v>4070280.38</v>
      </c>
      <c r="T39" s="129">
        <f t="shared" si="38"/>
        <v>3150380.55</v>
      </c>
    </row>
    <row r="40" spans="2:21" s="142" customFormat="1" ht="25.5" customHeight="1" x14ac:dyDescent="0.25">
      <c r="B40" s="190"/>
      <c r="C40" s="190"/>
      <c r="D40" s="151" t="s">
        <v>214</v>
      </c>
      <c r="E40" s="191">
        <f t="shared" ref="E40:N40" si="39">E14+E17</f>
        <v>33282008.399999999</v>
      </c>
      <c r="F40" s="191">
        <f t="shared" si="39"/>
        <v>9016412.4000000004</v>
      </c>
      <c r="G40" s="191">
        <f t="shared" si="39"/>
        <v>42298420.799999997</v>
      </c>
      <c r="H40" s="191">
        <f t="shared" si="39"/>
        <v>153274869.59999999</v>
      </c>
      <c r="I40" s="191">
        <f t="shared" si="39"/>
        <v>5668365.5499999998</v>
      </c>
      <c r="J40" s="191">
        <f t="shared" si="39"/>
        <v>201241655.94999999</v>
      </c>
      <c r="K40" s="191">
        <f t="shared" si="39"/>
        <v>972863.68</v>
      </c>
      <c r="L40" s="191">
        <f t="shared" si="39"/>
        <v>-145929.54</v>
      </c>
      <c r="M40" s="191">
        <f t="shared" si="39"/>
        <v>216356.42</v>
      </c>
      <c r="N40" s="191">
        <f t="shared" si="39"/>
        <v>202284946.50999999</v>
      </c>
      <c r="O40" s="191"/>
      <c r="P40" s="191">
        <f>P14+P17</f>
        <v>209937811.40000001</v>
      </c>
      <c r="Q40" s="191"/>
      <c r="R40" s="191">
        <f>R14+R17</f>
        <v>214030101.02000001</v>
      </c>
      <c r="S40" s="191">
        <f>S14+S17</f>
        <v>211983956.25999999</v>
      </c>
      <c r="T40" s="191">
        <f>T14+T17</f>
        <v>160669408.06</v>
      </c>
      <c r="U40" s="269"/>
    </row>
    <row r="41" spans="2:21" ht="27" customHeight="1" x14ac:dyDescent="0.25">
      <c r="B41" s="153"/>
      <c r="C41" s="153"/>
      <c r="D41" s="152" t="s">
        <v>215</v>
      </c>
      <c r="E41" s="154">
        <f>E40*20%</f>
        <v>6656401.6799999997</v>
      </c>
      <c r="F41" s="154">
        <f t="shared" ref="F41:T41" si="40">F40*20%</f>
        <v>1803282.48</v>
      </c>
      <c r="G41" s="154">
        <f t="shared" si="40"/>
        <v>8459684.1600000001</v>
      </c>
      <c r="H41" s="154">
        <f t="shared" si="40"/>
        <v>30654973.920000002</v>
      </c>
      <c r="I41" s="154">
        <f t="shared" si="40"/>
        <v>1133673.1100000001</v>
      </c>
      <c r="J41" s="154">
        <f t="shared" si="40"/>
        <v>40248331.189999998</v>
      </c>
      <c r="K41" s="154">
        <f t="shared" si="40"/>
        <v>194572.74</v>
      </c>
      <c r="L41" s="154">
        <f t="shared" si="40"/>
        <v>-29185.91</v>
      </c>
      <c r="M41" s="154">
        <f t="shared" si="40"/>
        <v>43271.28</v>
      </c>
      <c r="N41" s="154">
        <f t="shared" si="40"/>
        <v>40456989.299999997</v>
      </c>
      <c r="O41" s="154"/>
      <c r="P41" s="154">
        <f t="shared" si="40"/>
        <v>41987562.280000001</v>
      </c>
      <c r="Q41" s="154"/>
      <c r="R41" s="154">
        <f t="shared" si="40"/>
        <v>42806020.200000003</v>
      </c>
      <c r="S41" s="154">
        <f>S40*20%-0.01</f>
        <v>42396791.240000002</v>
      </c>
      <c r="T41" s="154">
        <f t="shared" si="40"/>
        <v>32133881.609999999</v>
      </c>
    </row>
    <row r="42" spans="2:21" s="142" customFormat="1" ht="24.75" customHeight="1" x14ac:dyDescent="0.25">
      <c r="B42" s="190"/>
      <c r="C42" s="190"/>
      <c r="D42" s="151" t="s">
        <v>216</v>
      </c>
      <c r="E42" s="191">
        <f>E40+E41</f>
        <v>39938410.079999998</v>
      </c>
      <c r="F42" s="191">
        <f t="shared" ref="F42:T42" si="41">F40+F41</f>
        <v>10819694.880000001</v>
      </c>
      <c r="G42" s="191">
        <f t="shared" si="41"/>
        <v>50758104.960000001</v>
      </c>
      <c r="H42" s="191">
        <f t="shared" si="41"/>
        <v>183929843.52000001</v>
      </c>
      <c r="I42" s="191">
        <f t="shared" si="41"/>
        <v>6802038.6600000001</v>
      </c>
      <c r="J42" s="191">
        <f t="shared" si="41"/>
        <v>241489987.13999999</v>
      </c>
      <c r="K42" s="191">
        <f t="shared" si="41"/>
        <v>1167436.42</v>
      </c>
      <c r="L42" s="191">
        <f t="shared" si="41"/>
        <v>-175115.45</v>
      </c>
      <c r="M42" s="191">
        <f t="shared" si="41"/>
        <v>259627.7</v>
      </c>
      <c r="N42" s="191">
        <f t="shared" si="41"/>
        <v>242741935.81</v>
      </c>
      <c r="O42" s="191"/>
      <c r="P42" s="191">
        <f t="shared" si="41"/>
        <v>251925373.68000001</v>
      </c>
      <c r="Q42" s="191"/>
      <c r="R42" s="191">
        <f t="shared" si="41"/>
        <v>256836121.22</v>
      </c>
      <c r="S42" s="191">
        <f t="shared" si="41"/>
        <v>254380747.5</v>
      </c>
      <c r="T42" s="191">
        <f t="shared" si="41"/>
        <v>192803289.66999999</v>
      </c>
      <c r="U42" s="269">
        <f>N42-S42</f>
        <v>-11638811.689999999</v>
      </c>
    </row>
    <row r="45" spans="2:21" s="99" customFormat="1" ht="42.75" customHeight="1" x14ac:dyDescent="0.25">
      <c r="C45" s="315" t="s">
        <v>203</v>
      </c>
      <c r="D45" s="315"/>
      <c r="E45" s="315"/>
      <c r="F45" s="315"/>
      <c r="G45" s="315"/>
      <c r="H45" s="315"/>
      <c r="I45" s="315"/>
      <c r="J45" s="91"/>
      <c r="K45" s="91"/>
      <c r="L45" s="91"/>
      <c r="M45" s="91"/>
      <c r="N45" s="91"/>
      <c r="O45" s="92">
        <f>1.0082*1.0039*1.0187*1*1.0067*1</f>
        <v>1.03796694230777</v>
      </c>
    </row>
    <row r="46" spans="2:21" s="99" customFormat="1" x14ac:dyDescent="0.2"/>
    <row r="47" spans="2:21" s="99" customFormat="1" ht="15.75" customHeight="1" x14ac:dyDescent="0.2">
      <c r="C47" s="315" t="s">
        <v>204</v>
      </c>
      <c r="D47" s="315"/>
      <c r="E47" s="315"/>
      <c r="F47" s="315"/>
      <c r="G47" s="315"/>
      <c r="H47" s="315"/>
      <c r="I47" s="315"/>
    </row>
    <row r="48" spans="2:21" s="99" customFormat="1" x14ac:dyDescent="0.2"/>
    <row r="49" spans="3:21" s="99" customFormat="1" x14ac:dyDescent="0.2"/>
    <row r="50" spans="3:21" x14ac:dyDescent="0.25">
      <c r="C50" s="144" t="s">
        <v>205</v>
      </c>
      <c r="U50" s="92"/>
    </row>
    <row r="51" spans="3:21" s="99" customFormat="1" ht="34.5" customHeight="1" x14ac:dyDescent="0.2">
      <c r="C51" s="309" t="s">
        <v>206</v>
      </c>
      <c r="D51" s="310"/>
      <c r="E51" s="310"/>
      <c r="F51" s="310"/>
      <c r="G51" s="311"/>
      <c r="H51" s="145">
        <v>44657</v>
      </c>
      <c r="U51" s="92"/>
    </row>
    <row r="52" spans="3:21" s="99" customFormat="1" ht="27.75" customHeight="1" x14ac:dyDescent="0.2">
      <c r="C52" s="309" t="s">
        <v>207</v>
      </c>
      <c r="D52" s="310"/>
      <c r="E52" s="310"/>
      <c r="F52" s="310"/>
      <c r="G52" s="311"/>
      <c r="H52" s="146">
        <f>(H54-H53)/30.5</f>
        <v>3</v>
      </c>
      <c r="U52" s="92"/>
    </row>
    <row r="53" spans="3:21" s="99" customFormat="1" ht="30" customHeight="1" x14ac:dyDescent="0.2">
      <c r="C53" s="309" t="s">
        <v>208</v>
      </c>
      <c r="D53" s="310"/>
      <c r="E53" s="310"/>
      <c r="F53" s="310"/>
      <c r="G53" s="311"/>
      <c r="H53" s="145">
        <v>44676</v>
      </c>
      <c r="U53" s="92"/>
    </row>
    <row r="54" spans="3:21" s="99" customFormat="1" ht="32.25" customHeight="1" x14ac:dyDescent="0.2">
      <c r="C54" s="309" t="s">
        <v>209</v>
      </c>
      <c r="D54" s="310"/>
      <c r="E54" s="310"/>
      <c r="F54" s="310"/>
      <c r="G54" s="311"/>
      <c r="H54" s="145">
        <f>H53+90</f>
        <v>44766</v>
      </c>
      <c r="U54" s="92"/>
    </row>
    <row r="55" spans="3:21" s="99" customFormat="1" ht="34.5" customHeight="1" x14ac:dyDescent="0.2">
      <c r="C55" s="300" t="s">
        <v>210</v>
      </c>
      <c r="D55" s="301"/>
      <c r="E55" s="301"/>
      <c r="F55" s="301"/>
      <c r="G55" s="302"/>
      <c r="H55" s="274">
        <v>1.048</v>
      </c>
      <c r="U55" s="92"/>
    </row>
    <row r="56" spans="3:21" s="99" customFormat="1" ht="34.5" customHeight="1" x14ac:dyDescent="0.2">
      <c r="C56" s="303" t="s">
        <v>211</v>
      </c>
      <c r="D56" s="303"/>
      <c r="E56" s="303"/>
      <c r="F56" s="147">
        <f>H55</f>
        <v>1.048</v>
      </c>
      <c r="G56" s="148" t="s">
        <v>212</v>
      </c>
      <c r="H56" s="149">
        <f>H55^(1/12)</f>
        <v>1.0039146000000001</v>
      </c>
      <c r="U56" s="92"/>
    </row>
    <row r="57" spans="3:21" s="99" customFormat="1" ht="46.5" customHeight="1" x14ac:dyDescent="0.2">
      <c r="C57" s="304" t="s">
        <v>213</v>
      </c>
      <c r="D57" s="305"/>
      <c r="E57" s="306" t="str">
        <f>CONCATENATE("(",H56,"^",ROUND((H53-H51)/30.5,1),"+",H56,"^",ROUND((H54-H51)/30.5,1),")","/2")</f>
        <v>(1,0039146^0,6+1,0039146^3,6)/2</v>
      </c>
      <c r="F57" s="307"/>
      <c r="G57" s="308"/>
      <c r="H57" s="150">
        <f>(H56^ROUND((H53-H51)/30.5,1)+H56^ROUND((H54-H51)/30.5,1))/2</f>
        <v>1.0082557000000001</v>
      </c>
      <c r="U57" s="92"/>
    </row>
    <row r="58" spans="3:21" x14ac:dyDescent="0.25">
      <c r="U58" s="92"/>
    </row>
    <row r="59" spans="3:21" x14ac:dyDescent="0.25">
      <c r="U59" s="92"/>
    </row>
    <row r="60" spans="3:21" x14ac:dyDescent="0.25">
      <c r="U60" s="92"/>
    </row>
    <row r="61" spans="3:21" x14ac:dyDescent="0.25">
      <c r="C61" s="144" t="s">
        <v>192</v>
      </c>
      <c r="U61" s="92"/>
    </row>
    <row r="62" spans="3:21" s="99" customFormat="1" ht="34.5" customHeight="1" x14ac:dyDescent="0.2">
      <c r="C62" s="309" t="s">
        <v>206</v>
      </c>
      <c r="D62" s="310"/>
      <c r="E62" s="310"/>
      <c r="F62" s="310"/>
      <c r="G62" s="311"/>
      <c r="H62" s="145">
        <v>44657</v>
      </c>
      <c r="U62" s="92"/>
    </row>
    <row r="63" spans="3:21" s="99" customFormat="1" ht="34.5" customHeight="1" x14ac:dyDescent="0.2">
      <c r="C63" s="309" t="s">
        <v>207</v>
      </c>
      <c r="D63" s="310"/>
      <c r="E63" s="310"/>
      <c r="F63" s="310"/>
      <c r="G63" s="311"/>
      <c r="H63" s="146">
        <f>(H65-H64)/30.5</f>
        <v>6.2</v>
      </c>
      <c r="U63" s="92"/>
    </row>
    <row r="64" spans="3:21" s="99" customFormat="1" ht="34.5" customHeight="1" x14ac:dyDescent="0.2">
      <c r="C64" s="309" t="s">
        <v>208</v>
      </c>
      <c r="D64" s="310"/>
      <c r="E64" s="310"/>
      <c r="F64" s="310"/>
      <c r="G64" s="311"/>
      <c r="H64" s="145">
        <f>H53+40</f>
        <v>44716</v>
      </c>
      <c r="U64" s="92"/>
    </row>
    <row r="65" spans="3:21" s="99" customFormat="1" ht="34.5" customHeight="1" x14ac:dyDescent="0.2">
      <c r="C65" s="309" t="s">
        <v>209</v>
      </c>
      <c r="D65" s="310"/>
      <c r="E65" s="310"/>
      <c r="F65" s="310"/>
      <c r="G65" s="311"/>
      <c r="H65" s="145">
        <v>44905</v>
      </c>
      <c r="U65" s="92"/>
    </row>
    <row r="66" spans="3:21" s="99" customFormat="1" ht="34.5" customHeight="1" x14ac:dyDescent="0.2">
      <c r="C66" s="300" t="s">
        <v>210</v>
      </c>
      <c r="D66" s="301"/>
      <c r="E66" s="301"/>
      <c r="F66" s="301"/>
      <c r="G66" s="302"/>
      <c r="H66" s="274">
        <v>1.048</v>
      </c>
      <c r="U66" s="92"/>
    </row>
    <row r="67" spans="3:21" s="99" customFormat="1" ht="34.5" customHeight="1" x14ac:dyDescent="0.2">
      <c r="C67" s="303" t="s">
        <v>211</v>
      </c>
      <c r="D67" s="303"/>
      <c r="E67" s="303"/>
      <c r="F67" s="147">
        <f>H66</f>
        <v>1.048</v>
      </c>
      <c r="G67" s="148" t="s">
        <v>212</v>
      </c>
      <c r="H67" s="149">
        <f>H66^(1/12)</f>
        <v>1.0039146000000001</v>
      </c>
      <c r="U67" s="92"/>
    </row>
    <row r="68" spans="3:21" s="99" customFormat="1" ht="46.5" customHeight="1" x14ac:dyDescent="0.2">
      <c r="C68" s="304" t="s">
        <v>213</v>
      </c>
      <c r="D68" s="305"/>
      <c r="E68" s="306" t="str">
        <f>CONCATENATE("(",H67,"^",ROUND((H64-H62)/30.5,1),"+",H67,"^",ROUND((H65-H62)/30.5,1),")","/2")</f>
        <v>(1,0039146^1,9+1,0039146^8,1)/2</v>
      </c>
      <c r="F68" s="307"/>
      <c r="G68" s="308"/>
      <c r="H68" s="150">
        <f>(H67^ROUND((H64-H62)/30.5,1)+H67^ROUND((H65-H62)/30.5,1))/2</f>
        <v>1.0198016000000001</v>
      </c>
      <c r="U68" s="92"/>
    </row>
  </sheetData>
  <mergeCells count="27">
    <mergeCell ref="C55:G55"/>
    <mergeCell ref="C56:E56"/>
    <mergeCell ref="C10:J10"/>
    <mergeCell ref="B11:B12"/>
    <mergeCell ref="C11:C12"/>
    <mergeCell ref="D11:D12"/>
    <mergeCell ref="E11:J11"/>
    <mergeCell ref="C47:I47"/>
    <mergeCell ref="C51:G51"/>
    <mergeCell ref="C52:G52"/>
    <mergeCell ref="C53:G53"/>
    <mergeCell ref="C54:G54"/>
    <mergeCell ref="A1:P1"/>
    <mergeCell ref="C3:P3"/>
    <mergeCell ref="A7:P7"/>
    <mergeCell ref="A8:P8"/>
    <mergeCell ref="C45:I45"/>
    <mergeCell ref="C66:G66"/>
    <mergeCell ref="C67:E67"/>
    <mergeCell ref="C68:D68"/>
    <mergeCell ref="E68:G68"/>
    <mergeCell ref="C57:D57"/>
    <mergeCell ref="E57:G57"/>
    <mergeCell ref="C62:G62"/>
    <mergeCell ref="C63:G63"/>
    <mergeCell ref="C64:G64"/>
    <mergeCell ref="C65:G65"/>
  </mergeCells>
  <pageMargins left="0.33" right="0.23622047244094491" top="0.35433070866141736" bottom="0.35433070866141736" header="0.19685039370078741" footer="0.19685039370078741"/>
  <pageSetup paperSize="9" scale="48" fitToHeight="0" orientation="portrait" r:id="rId1"/>
  <headerFooter alignWithMargins="0">
    <oddHeader>&amp;LГРАНД-Смета, версия 2021.2</oddHeader>
    <oddFooter>&amp;RСтраница &amp;P</oddFooter>
  </headerFooter>
  <ignoredErrors>
    <ignoredError sqref="S17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G25"/>
  <sheetViews>
    <sheetView view="pageBreakPreview" topLeftCell="B1" zoomScale="60" zoomScaleNormal="100" workbookViewId="0">
      <selection activeCell="F27" sqref="A1:F27"/>
    </sheetView>
  </sheetViews>
  <sheetFormatPr defaultRowHeight="15.75" x14ac:dyDescent="0.25"/>
  <cols>
    <col min="1" max="1" width="4.5703125" style="91" hidden="1" customWidth="1"/>
    <col min="2" max="2" width="19" style="91" customWidth="1"/>
    <col min="3" max="3" width="47" style="91" customWidth="1"/>
    <col min="4" max="4" width="19" style="91" customWidth="1"/>
    <col min="5" max="5" width="20.140625" style="91" customWidth="1"/>
    <col min="6" max="6" width="26.85546875" style="91" customWidth="1"/>
    <col min="7" max="16384" width="9.140625" style="91"/>
  </cols>
  <sheetData>
    <row r="1" spans="1:7" s="83" customFormat="1" x14ac:dyDescent="0.25">
      <c r="A1" s="312" t="s">
        <v>219</v>
      </c>
      <c r="B1" s="312"/>
      <c r="C1" s="312"/>
      <c r="D1" s="312"/>
      <c r="E1" s="312"/>
      <c r="F1" s="312"/>
    </row>
    <row r="2" spans="1:7" s="83" customFormat="1" x14ac:dyDescent="0.25">
      <c r="A2" s="85"/>
      <c r="B2" s="322" t="s">
        <v>220</v>
      </c>
      <c r="C2" s="322"/>
      <c r="D2" s="322"/>
      <c r="E2" s="322"/>
      <c r="F2" s="322"/>
    </row>
    <row r="3" spans="1:7" s="83" customFormat="1" x14ac:dyDescent="0.25">
      <c r="A3" s="85"/>
      <c r="B3" s="85"/>
      <c r="C3" s="85"/>
      <c r="D3" s="85"/>
    </row>
    <row r="4" spans="1:7" s="83" customFormat="1" ht="38.25" customHeight="1" x14ac:dyDescent="0.25">
      <c r="A4" s="85"/>
      <c r="B4" s="312" t="s">
        <v>340</v>
      </c>
      <c r="C4" s="312"/>
      <c r="D4" s="312"/>
      <c r="E4" s="312"/>
      <c r="F4" s="312"/>
    </row>
    <row r="5" spans="1:7" s="83" customFormat="1" x14ac:dyDescent="0.25">
      <c r="A5" s="85"/>
      <c r="C5" s="85"/>
      <c r="D5" s="85"/>
    </row>
    <row r="6" spans="1:7" s="161" customFormat="1" x14ac:dyDescent="0.25">
      <c r="A6" s="157" t="s">
        <v>221</v>
      </c>
      <c r="B6" s="157" t="s">
        <v>221</v>
      </c>
      <c r="C6" s="157"/>
      <c r="D6" s="158">
        <f>(D8-D7)/30.5</f>
        <v>7.5</v>
      </c>
      <c r="E6" s="159" t="s">
        <v>222</v>
      </c>
      <c r="F6" s="160"/>
      <c r="G6" s="160"/>
    </row>
    <row r="7" spans="1:7" s="161" customFormat="1" x14ac:dyDescent="0.25">
      <c r="A7" s="157" t="s">
        <v>223</v>
      </c>
      <c r="B7" s="157" t="s">
        <v>223</v>
      </c>
      <c r="C7" s="157"/>
      <c r="D7" s="162">
        <f>НМЦК!H53</f>
        <v>44676</v>
      </c>
      <c r="E7" s="159"/>
      <c r="F7" s="160"/>
      <c r="G7" s="160"/>
    </row>
    <row r="8" spans="1:7" s="161" customFormat="1" x14ac:dyDescent="0.25">
      <c r="A8" s="157" t="s">
        <v>224</v>
      </c>
      <c r="B8" s="157" t="s">
        <v>224</v>
      </c>
      <c r="C8" s="157"/>
      <c r="D8" s="162">
        <f>НМЦК!H65</f>
        <v>44905</v>
      </c>
      <c r="E8" s="159"/>
      <c r="F8" s="160"/>
      <c r="G8" s="160"/>
    </row>
    <row r="9" spans="1:7" x14ac:dyDescent="0.25">
      <c r="B9" s="163" t="s">
        <v>225</v>
      </c>
      <c r="C9" s="164" t="s">
        <v>226</v>
      </c>
      <c r="D9" s="165" t="s">
        <v>227</v>
      </c>
      <c r="E9" s="165" t="s">
        <v>228</v>
      </c>
      <c r="F9" s="165" t="s">
        <v>229</v>
      </c>
    </row>
    <row r="10" spans="1:7" s="166" customFormat="1" x14ac:dyDescent="0.25">
      <c r="B10" s="94">
        <v>1</v>
      </c>
      <c r="C10" s="94">
        <v>2</v>
      </c>
      <c r="D10" s="94">
        <v>3</v>
      </c>
      <c r="E10" s="94">
        <v>4</v>
      </c>
      <c r="F10" s="94">
        <v>5</v>
      </c>
    </row>
    <row r="11" spans="1:7" s="103" customFormat="1" ht="94.5" x14ac:dyDescent="0.2">
      <c r="B11" s="167" t="s">
        <v>230</v>
      </c>
      <c r="C11" s="168" t="s">
        <v>340</v>
      </c>
      <c r="D11" s="169">
        <f>D12+D16</f>
        <v>211983956.25999999</v>
      </c>
      <c r="E11" s="169">
        <f t="shared" ref="E11:F11" si="0">E12+E16</f>
        <v>42396791.25</v>
      </c>
      <c r="F11" s="169">
        <f t="shared" si="0"/>
        <v>254380747.50999999</v>
      </c>
    </row>
    <row r="12" spans="1:7" s="103" customFormat="1" ht="30" customHeight="1" x14ac:dyDescent="0.2">
      <c r="B12" s="128" t="s">
        <v>193</v>
      </c>
      <c r="C12" s="192" t="s">
        <v>194</v>
      </c>
      <c r="D12" s="170">
        <f>НМЦК!S14</f>
        <v>4399656.95</v>
      </c>
      <c r="E12" s="170">
        <f>D12*20%</f>
        <v>879931.39</v>
      </c>
      <c r="F12" s="170">
        <f>D12+E12</f>
        <v>5279588.34</v>
      </c>
    </row>
    <row r="13" spans="1:7" s="171" customFormat="1" x14ac:dyDescent="0.2">
      <c r="B13" s="172"/>
      <c r="C13" s="173" t="s">
        <v>231</v>
      </c>
      <c r="D13" s="174"/>
      <c r="E13" s="175"/>
      <c r="F13" s="174"/>
    </row>
    <row r="14" spans="1:7" s="171" customFormat="1" x14ac:dyDescent="0.2">
      <c r="B14" s="172"/>
      <c r="C14" s="176" t="s">
        <v>49</v>
      </c>
      <c r="D14" s="177">
        <f>НМЦК!S16</f>
        <v>86267.79</v>
      </c>
      <c r="E14" s="177">
        <f t="shared" ref="E14:E15" si="1">D14*20%</f>
        <v>17253.560000000001</v>
      </c>
      <c r="F14" s="177">
        <f t="shared" ref="F14:F15" si="2">D14+E14</f>
        <v>103521.35</v>
      </c>
    </row>
    <row r="15" spans="1:7" s="171" customFormat="1" ht="31.5" x14ac:dyDescent="0.2">
      <c r="B15" s="172"/>
      <c r="C15" s="176" t="s">
        <v>232</v>
      </c>
      <c r="D15" s="177">
        <f>НМЦК!S14-НМЦК!N14</f>
        <v>178356.35</v>
      </c>
      <c r="E15" s="177">
        <f t="shared" si="1"/>
        <v>35671.269999999997</v>
      </c>
      <c r="F15" s="177">
        <f t="shared" si="2"/>
        <v>214027.62</v>
      </c>
    </row>
    <row r="16" spans="1:7" s="103" customFormat="1" ht="31.5" x14ac:dyDescent="0.2">
      <c r="B16" s="128" t="s">
        <v>200</v>
      </c>
      <c r="C16" s="178" t="s">
        <v>233</v>
      </c>
      <c r="D16" s="179">
        <f>НМЦК!S17</f>
        <v>207584299.31</v>
      </c>
      <c r="E16" s="179">
        <f>D16*20%</f>
        <v>41516859.859999999</v>
      </c>
      <c r="F16" s="179">
        <f>D16+E16</f>
        <v>249101159.16999999</v>
      </c>
    </row>
    <row r="17" spans="1:6" s="182" customFormat="1" x14ac:dyDescent="0.25">
      <c r="A17" s="180"/>
      <c r="B17" s="181"/>
      <c r="C17" s="173" t="s">
        <v>231</v>
      </c>
      <c r="D17" s="174"/>
      <c r="E17" s="175"/>
      <c r="F17" s="174"/>
    </row>
    <row r="18" spans="1:6" s="182" customFormat="1" x14ac:dyDescent="0.25">
      <c r="A18" s="180"/>
      <c r="B18" s="181"/>
      <c r="C18" s="176" t="s">
        <v>234</v>
      </c>
      <c r="D18" s="175">
        <f>НМЦК!T17</f>
        <v>160669408.06</v>
      </c>
      <c r="E18" s="175">
        <f t="shared" ref="E18:E20" si="3">D18*20%</f>
        <v>32133881.609999999</v>
      </c>
      <c r="F18" s="175">
        <f t="shared" ref="F18:F20" si="4">D18+E18</f>
        <v>192803289.66999999</v>
      </c>
    </row>
    <row r="19" spans="1:6" s="182" customFormat="1" x14ac:dyDescent="0.25">
      <c r="A19" s="180"/>
      <c r="B19" s="181"/>
      <c r="C19" s="176" t="s">
        <v>235</v>
      </c>
      <c r="D19" s="175">
        <f>НМЦК!S39</f>
        <v>4070280.38</v>
      </c>
      <c r="E19" s="175">
        <f t="shared" si="3"/>
        <v>814056.08</v>
      </c>
      <c r="F19" s="175">
        <f t="shared" si="4"/>
        <v>4884336.46</v>
      </c>
    </row>
    <row r="20" spans="1:6" s="182" customFormat="1" ht="31.5" x14ac:dyDescent="0.25">
      <c r="A20" s="180"/>
      <c r="B20" s="181"/>
      <c r="C20" s="176" t="s">
        <v>236</v>
      </c>
      <c r="D20" s="175">
        <f>НМЦК!S17-НМЦК!N17</f>
        <v>9520653.4000000004</v>
      </c>
      <c r="E20" s="175">
        <f t="shared" si="3"/>
        <v>1904130.68</v>
      </c>
      <c r="F20" s="175">
        <f t="shared" si="4"/>
        <v>11424784.08</v>
      </c>
    </row>
    <row r="21" spans="1:6" x14ac:dyDescent="0.25">
      <c r="B21" s="181"/>
      <c r="C21" s="183" t="s">
        <v>237</v>
      </c>
      <c r="D21" s="184">
        <f>D11</f>
        <v>211983956.25999999</v>
      </c>
      <c r="E21" s="184">
        <f t="shared" ref="E21" si="5">E11</f>
        <v>42396791.25</v>
      </c>
      <c r="F21" s="184">
        <f>F11</f>
        <v>254380747.50999999</v>
      </c>
    </row>
    <row r="22" spans="1:6" x14ac:dyDescent="0.25">
      <c r="B22" s="181"/>
      <c r="C22" s="173" t="s">
        <v>231</v>
      </c>
      <c r="D22" s="185"/>
      <c r="E22" s="186"/>
      <c r="F22" s="186"/>
    </row>
    <row r="23" spans="1:6" x14ac:dyDescent="0.25">
      <c r="B23" s="181"/>
      <c r="C23" s="176" t="s">
        <v>234</v>
      </c>
      <c r="D23" s="187">
        <f>D18</f>
        <v>160669408.06</v>
      </c>
      <c r="E23" s="188">
        <f>D23*20%</f>
        <v>32133881.609999999</v>
      </c>
      <c r="F23" s="188">
        <f t="shared" ref="F23:F24" si="6">D23+E23</f>
        <v>192803289.66999999</v>
      </c>
    </row>
    <row r="24" spans="1:6" x14ac:dyDescent="0.25">
      <c r="B24" s="181"/>
      <c r="C24" s="189" t="s">
        <v>238</v>
      </c>
      <c r="D24" s="187">
        <f>D14+D19</f>
        <v>4156548.17</v>
      </c>
      <c r="E24" s="188">
        <f>D24*0.2</f>
        <v>831309.63</v>
      </c>
      <c r="F24" s="188">
        <f t="shared" si="6"/>
        <v>4987857.8</v>
      </c>
    </row>
    <row r="25" spans="1:6" ht="31.5" x14ac:dyDescent="0.25">
      <c r="B25" s="181"/>
      <c r="C25" s="176" t="s">
        <v>239</v>
      </c>
      <c r="D25" s="187">
        <f>D15+D20</f>
        <v>9699009.75</v>
      </c>
      <c r="E25" s="188">
        <f>D25*0.2</f>
        <v>1939801.95</v>
      </c>
      <c r="F25" s="188">
        <f>D25+E25</f>
        <v>11638811.699999999</v>
      </c>
    </row>
  </sheetData>
  <mergeCells count="3">
    <mergeCell ref="A1:F1"/>
    <mergeCell ref="B2:F2"/>
    <mergeCell ref="B4:F4"/>
  </mergeCells>
  <pageMargins left="0.7" right="0.7" top="0.75" bottom="0.75" header="0.3" footer="0.3"/>
  <pageSetup paperSize="9" scale="67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16</vt:i4>
      </vt:variant>
    </vt:vector>
  </HeadingPairs>
  <TitlesOfParts>
    <vt:vector size="29" baseType="lpstr">
      <vt:lpstr>титул</vt:lpstr>
      <vt:lpstr>Содержание </vt:lpstr>
      <vt:lpstr>ССР БЦ</vt:lpstr>
      <vt:lpstr>скан бц </vt:lpstr>
      <vt:lpstr>ССР ТЦ</vt:lpstr>
      <vt:lpstr>скан тц </vt:lpstr>
      <vt:lpstr>стоимость экспертизы </vt:lpstr>
      <vt:lpstr>НМЦК</vt:lpstr>
      <vt:lpstr>НМЦ</vt:lpstr>
      <vt:lpstr>ВОР</vt:lpstr>
      <vt:lpstr>Протокол</vt:lpstr>
      <vt:lpstr>Смета контракта</vt:lpstr>
      <vt:lpstr>ПЗ</vt:lpstr>
      <vt:lpstr>ВОР!Print_Titles</vt:lpstr>
      <vt:lpstr>НМЦК!Print_Titles</vt:lpstr>
      <vt:lpstr>'Смета контракта'!Print_Titles</vt:lpstr>
      <vt:lpstr>'Содержание '!Print_Titles</vt:lpstr>
      <vt:lpstr>'ССР ТЦ'!Print_Titles</vt:lpstr>
      <vt:lpstr>ВОР!Заголовки_для_печати</vt:lpstr>
      <vt:lpstr>НМЦК!Заголовки_для_печати</vt:lpstr>
      <vt:lpstr>'Смета контракта'!Заголовки_для_печати</vt:lpstr>
      <vt:lpstr>'Содержание '!Заголовки_для_печати</vt:lpstr>
      <vt:lpstr>'ССР ТЦ'!Заголовки_для_печати</vt:lpstr>
      <vt:lpstr>ВОР!Область_печати</vt:lpstr>
      <vt:lpstr>НМЦ!Область_печати</vt:lpstr>
      <vt:lpstr>НМЦК!Область_печати</vt:lpstr>
      <vt:lpstr>ПЗ!Область_печати</vt:lpstr>
      <vt:lpstr>'Смета контракта'!Область_печати</vt:lpstr>
      <vt:lpstr>'ССР ТЦ'!Область_печати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Будников Василий Геннадьевич</cp:lastModifiedBy>
  <cp:lastPrinted>2022-04-08T13:16:06Z</cp:lastPrinted>
  <dcterms:created xsi:type="dcterms:W3CDTF">2003-01-28T12:33:10Z</dcterms:created>
  <dcterms:modified xsi:type="dcterms:W3CDTF">2022-04-12T13:21:00Z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